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syngenta-my.sharepoint.com/personal/hugues_leze_syngenta_com1/Documents/Bureau/InterraScan/"/>
    </mc:Choice>
  </mc:AlternateContent>
  <xr:revisionPtr revIDLastSave="0" documentId="8_{7F954065-037F-4338-8EAE-0AFF97791F5A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Offre standard" sheetId="1" r:id="rId1"/>
    <sheet name="Offre carbone" sheetId="4" r:id="rId2"/>
    <sheet name="Offre Premium" sheetId="5" r:id="rId3"/>
    <sheet name="Tarifs Agriculteur" sheetId="6" r:id="rId4"/>
    <sheet name="Tarif Distributeur" sheetId="7" r:id="rId5"/>
    <sheet name="CALCULATEUR TARIFS INTERNE" sheetId="9" r:id="rId6"/>
    <sheet name="Grilles PolCom" sheetId="13" r:id="rId7"/>
    <sheet name="CAS CONCRETS" sheetId="14" r:id="rId8"/>
    <sheet name="CALCULATEUR TARIFS EXTERNE" sheetId="10" r:id="rId9"/>
    <sheet name="MODELE FR" sheetId="15" r:id="rId10"/>
    <sheet name="PRICE LIST" sheetId="16" r:id="rId11"/>
    <sheet name="CALCULATEUR FR" sheetId="17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7" l="1"/>
  <c r="C19" i="17" s="1"/>
  <c r="C20" i="17" s="1"/>
  <c r="C21" i="17" s="1"/>
  <c r="C8" i="17"/>
  <c r="C6" i="17"/>
  <c r="H24" i="15"/>
  <c r="H9" i="15"/>
  <c r="C13" i="17" l="1"/>
  <c r="H11" i="15"/>
  <c r="M5" i="15"/>
  <c r="N5" i="15" s="1"/>
  <c r="C15" i="17" l="1"/>
  <c r="C14" i="17"/>
  <c r="L10" i="15"/>
  <c r="M6" i="15"/>
  <c r="N6" i="15" s="1"/>
  <c r="M7" i="15"/>
  <c r="N7" i="15" s="1"/>
  <c r="M8" i="15"/>
  <c r="N8" i="15" s="1"/>
  <c r="M9" i="15"/>
  <c r="N9" i="15" s="1"/>
  <c r="M10" i="15" l="1"/>
  <c r="N10" i="15"/>
  <c r="H15" i="15" s="1"/>
  <c r="H22" i="15" l="1"/>
  <c r="H23" i="15" s="1"/>
  <c r="M23" i="13"/>
  <c r="N23" i="13" s="1"/>
  <c r="M17" i="14"/>
  <c r="M18" i="14" s="1"/>
  <c r="N17" i="14"/>
  <c r="N18" i="14" s="1"/>
  <c r="O17" i="14"/>
  <c r="O19" i="14" s="1"/>
  <c r="L17" i="14"/>
  <c r="L18" i="14" s="1"/>
  <c r="F17" i="14"/>
  <c r="F18" i="14" s="1"/>
  <c r="G17" i="14"/>
  <c r="G19" i="14" s="1"/>
  <c r="H17" i="14"/>
  <c r="H19" i="14" s="1"/>
  <c r="E17" i="14"/>
  <c r="E18" i="14" s="1"/>
  <c r="M26" i="14"/>
  <c r="M27" i="14" s="1"/>
  <c r="N26" i="14"/>
  <c r="N28" i="14" s="1"/>
  <c r="O26" i="14"/>
  <c r="O28" i="14" s="1"/>
  <c r="L26" i="14"/>
  <c r="L28" i="14" s="1"/>
  <c r="F26" i="14"/>
  <c r="F28" i="14" s="1"/>
  <c r="G26" i="14"/>
  <c r="G27" i="14" s="1"/>
  <c r="H26" i="14"/>
  <c r="H28" i="14" s="1"/>
  <c r="E26" i="14"/>
  <c r="E27" i="14" s="1"/>
  <c r="M8" i="14"/>
  <c r="M9" i="14" s="1"/>
  <c r="N8" i="14"/>
  <c r="N9" i="14" s="1"/>
  <c r="O8" i="14"/>
  <c r="O9" i="14" s="1"/>
  <c r="L8" i="14"/>
  <c r="L10" i="14" s="1"/>
  <c r="F8" i="14"/>
  <c r="F9" i="14" s="1"/>
  <c r="G8" i="14"/>
  <c r="G10" i="14" s="1"/>
  <c r="H8" i="14"/>
  <c r="H10" i="14" s="1"/>
  <c r="E8" i="14"/>
  <c r="E9" i="14" s="1"/>
  <c r="O25" i="14"/>
  <c r="N25" i="14"/>
  <c r="M25" i="14"/>
  <c r="L25" i="14"/>
  <c r="H25" i="14"/>
  <c r="G25" i="14"/>
  <c r="F25" i="14"/>
  <c r="E25" i="14"/>
  <c r="O16" i="14"/>
  <c r="N16" i="14"/>
  <c r="M16" i="14"/>
  <c r="L16" i="14"/>
  <c r="H16" i="14"/>
  <c r="G16" i="14"/>
  <c r="F16" i="14"/>
  <c r="E16" i="14"/>
  <c r="O7" i="14"/>
  <c r="N7" i="14"/>
  <c r="M7" i="14"/>
  <c r="L7" i="14"/>
  <c r="F7" i="14"/>
  <c r="G7" i="14"/>
  <c r="H7" i="14"/>
  <c r="E7" i="14"/>
  <c r="D32" i="13"/>
  <c r="H13" i="10" s="1"/>
  <c r="D33" i="13"/>
  <c r="H14" i="9" s="1"/>
  <c r="D34" i="13"/>
  <c r="H34" i="13" s="1"/>
  <c r="L15" i="10" s="1"/>
  <c r="D30" i="13"/>
  <c r="H11" i="10" s="1"/>
  <c r="F14" i="13"/>
  <c r="I7" i="10" s="1"/>
  <c r="F15" i="13"/>
  <c r="J7" i="10" s="1"/>
  <c r="J7" i="9" s="1"/>
  <c r="F13" i="13"/>
  <c r="H7" i="10" s="1"/>
  <c r="H7" i="9" s="1"/>
  <c r="C15" i="9" s="1"/>
  <c r="D14" i="13"/>
  <c r="I5" i="10" s="1"/>
  <c r="I5" i="9" s="1"/>
  <c r="D15" i="13"/>
  <c r="E15" i="13" s="1"/>
  <c r="J6" i="10" s="1"/>
  <c r="J6" i="9" s="1"/>
  <c r="D13" i="13"/>
  <c r="H5" i="10" s="1"/>
  <c r="H5" i="9" s="1"/>
  <c r="H15" i="9"/>
  <c r="F34" i="13"/>
  <c r="J15" i="10" s="1"/>
  <c r="E34" i="13"/>
  <c r="I15" i="10" s="1"/>
  <c r="D31" i="13"/>
  <c r="G31" i="13" s="1"/>
  <c r="I9" i="13"/>
  <c r="J9" i="13" s="1"/>
  <c r="I10" i="13"/>
  <c r="J10" i="13" s="1"/>
  <c r="M24" i="13"/>
  <c r="N24" i="13" s="1"/>
  <c r="M25" i="13"/>
  <c r="N25" i="13" s="1"/>
  <c r="M26" i="13"/>
  <c r="N26" i="13" s="1"/>
  <c r="M22" i="13"/>
  <c r="N22" i="13" s="1"/>
  <c r="I8" i="13"/>
  <c r="J8" i="13" s="1"/>
  <c r="E14" i="13" l="1"/>
  <c r="I6" i="10" s="1"/>
  <c r="I6" i="9" s="1"/>
  <c r="H16" i="15"/>
  <c r="H18" i="15" s="1"/>
  <c r="G34" i="13"/>
  <c r="K15" i="9" s="1"/>
  <c r="J5" i="10"/>
  <c r="J5" i="9" s="1"/>
  <c r="H11" i="9"/>
  <c r="G30" i="13"/>
  <c r="K11" i="10" s="1"/>
  <c r="E13" i="13"/>
  <c r="H6" i="10" s="1"/>
  <c r="H6" i="9" s="1"/>
  <c r="H31" i="13"/>
  <c r="L12" i="9" s="1"/>
  <c r="H12" i="10"/>
  <c r="E31" i="13"/>
  <c r="I12" i="9" s="1"/>
  <c r="I7" i="9"/>
  <c r="F31" i="13"/>
  <c r="J12" i="9" s="1"/>
  <c r="N27" i="14"/>
  <c r="F10" i="14"/>
  <c r="L27" i="14"/>
  <c r="F19" i="14"/>
  <c r="O10" i="14"/>
  <c r="H15" i="10"/>
  <c r="E30" i="13"/>
  <c r="I11" i="10" s="1"/>
  <c r="H30" i="13"/>
  <c r="F30" i="13"/>
  <c r="J11" i="10" s="1"/>
  <c r="J15" i="9"/>
  <c r="H12" i="9"/>
  <c r="H18" i="14"/>
  <c r="O27" i="14"/>
  <c r="O18" i="14"/>
  <c r="M28" i="14"/>
  <c r="L9" i="14"/>
  <c r="E19" i="14"/>
  <c r="H27" i="14"/>
  <c r="G28" i="14"/>
  <c r="E28" i="14"/>
  <c r="M19" i="14"/>
  <c r="N19" i="14"/>
  <c r="L19" i="14"/>
  <c r="G18" i="14"/>
  <c r="F27" i="14"/>
  <c r="M10" i="14"/>
  <c r="N10" i="14"/>
  <c r="H9" i="14"/>
  <c r="G9" i="14"/>
  <c r="E10" i="14"/>
  <c r="K12" i="9"/>
  <c r="K12" i="10"/>
  <c r="J12" i="10"/>
  <c r="I12" i="10"/>
  <c r="F32" i="13"/>
  <c r="F33" i="13"/>
  <c r="J14" i="9" s="1"/>
  <c r="I15" i="9"/>
  <c r="H33" i="13"/>
  <c r="H14" i="10"/>
  <c r="H13" i="9"/>
  <c r="E32" i="13"/>
  <c r="H32" i="13"/>
  <c r="K15" i="10"/>
  <c r="E33" i="13"/>
  <c r="I14" i="9" s="1"/>
  <c r="G33" i="13"/>
  <c r="G32" i="13"/>
  <c r="L15" i="9"/>
  <c r="N27" i="13"/>
  <c r="K30" i="13" s="1"/>
  <c r="J11" i="13"/>
  <c r="K29" i="13" s="1"/>
  <c r="J11" i="9" l="1"/>
  <c r="H17" i="15"/>
  <c r="L12" i="10"/>
  <c r="K11" i="9"/>
  <c r="C16" i="9" s="1"/>
  <c r="J14" i="10"/>
  <c r="L11" i="10"/>
  <c r="L11" i="9"/>
  <c r="I11" i="9"/>
  <c r="J13" i="10"/>
  <c r="J13" i="9"/>
  <c r="K14" i="9"/>
  <c r="K14" i="10"/>
  <c r="C16" i="10" s="1"/>
  <c r="L14" i="10"/>
  <c r="L14" i="9"/>
  <c r="K13" i="9"/>
  <c r="K13" i="10"/>
  <c r="L13" i="9"/>
  <c r="L13" i="10"/>
  <c r="I13" i="10"/>
  <c r="I13" i="9"/>
  <c r="I14" i="10"/>
  <c r="K31" i="13"/>
  <c r="C30" i="10"/>
  <c r="C15" i="10" l="1"/>
  <c r="C17" i="10" s="1"/>
  <c r="C17" i="9"/>
  <c r="C32" i="10" l="1"/>
  <c r="C33" i="10" s="1"/>
  <c r="C21" i="9"/>
  <c r="E9" i="1"/>
  <c r="E32" i="5"/>
  <c r="H32" i="5" s="1"/>
  <c r="K44" i="5"/>
  <c r="K45" i="5"/>
  <c r="K46" i="5"/>
  <c r="K43" i="5"/>
  <c r="K55" i="5"/>
  <c r="K56" i="5"/>
  <c r="K57" i="5"/>
  <c r="K54" i="5"/>
  <c r="K44" i="4"/>
  <c r="K45" i="4"/>
  <c r="K46" i="4"/>
  <c r="K43" i="4"/>
  <c r="K44" i="1"/>
  <c r="K45" i="1"/>
  <c r="K46" i="1"/>
  <c r="K43" i="1"/>
  <c r="K55" i="1"/>
  <c r="K56" i="1"/>
  <c r="K57" i="1"/>
  <c r="K54" i="1"/>
  <c r="K55" i="4"/>
  <c r="K56" i="4"/>
  <c r="K57" i="4"/>
  <c r="K54" i="4"/>
  <c r="I57" i="5"/>
  <c r="G57" i="5"/>
  <c r="E57" i="5"/>
  <c r="H57" i="5" s="1"/>
  <c r="I56" i="5"/>
  <c r="G56" i="5"/>
  <c r="E56" i="5"/>
  <c r="H56" i="5" s="1"/>
  <c r="I55" i="5"/>
  <c r="G55" i="5"/>
  <c r="E55" i="5"/>
  <c r="H55" i="5" s="1"/>
  <c r="I54" i="5"/>
  <c r="G54" i="5"/>
  <c r="E54" i="5"/>
  <c r="H54" i="5" s="1"/>
  <c r="I46" i="5"/>
  <c r="G46" i="5"/>
  <c r="E46" i="5"/>
  <c r="H46" i="5" s="1"/>
  <c r="I45" i="5"/>
  <c r="G45" i="5"/>
  <c r="E45" i="5"/>
  <c r="H45" i="5" s="1"/>
  <c r="I44" i="5"/>
  <c r="G44" i="5"/>
  <c r="E44" i="5"/>
  <c r="H44" i="5" s="1"/>
  <c r="I43" i="5"/>
  <c r="G43" i="5"/>
  <c r="E43" i="5"/>
  <c r="H43" i="5" s="1"/>
  <c r="K35" i="5"/>
  <c r="I35" i="5"/>
  <c r="G35" i="5"/>
  <c r="E35" i="5"/>
  <c r="H35" i="5" s="1"/>
  <c r="K34" i="5"/>
  <c r="I34" i="5"/>
  <c r="G34" i="5"/>
  <c r="E34" i="5"/>
  <c r="H34" i="5" s="1"/>
  <c r="K33" i="5"/>
  <c r="I33" i="5"/>
  <c r="G33" i="5"/>
  <c r="E33" i="5"/>
  <c r="H33" i="5" s="1"/>
  <c r="K32" i="5"/>
  <c r="I32" i="5"/>
  <c r="G32" i="5"/>
  <c r="F32" i="5"/>
  <c r="K24" i="5"/>
  <c r="I24" i="5"/>
  <c r="G24" i="5"/>
  <c r="E24" i="5"/>
  <c r="H24" i="5" s="1"/>
  <c r="K23" i="5"/>
  <c r="I23" i="5"/>
  <c r="G23" i="5"/>
  <c r="E23" i="5"/>
  <c r="H23" i="5" s="1"/>
  <c r="K22" i="5"/>
  <c r="I22" i="5"/>
  <c r="G22" i="5"/>
  <c r="F22" i="5"/>
  <c r="E22" i="5"/>
  <c r="H22" i="5" s="1"/>
  <c r="K21" i="5"/>
  <c r="I21" i="5"/>
  <c r="G21" i="5"/>
  <c r="E21" i="5"/>
  <c r="H21" i="5" s="1"/>
  <c r="K11" i="5"/>
  <c r="I11" i="5"/>
  <c r="G11" i="5"/>
  <c r="E11" i="5"/>
  <c r="H11" i="5" s="1"/>
  <c r="K10" i="5"/>
  <c r="I10" i="5"/>
  <c r="G10" i="5"/>
  <c r="E10" i="5"/>
  <c r="H10" i="5" s="1"/>
  <c r="K9" i="5"/>
  <c r="I9" i="5"/>
  <c r="G9" i="5"/>
  <c r="E9" i="5"/>
  <c r="H9" i="5" s="1"/>
  <c r="I57" i="4"/>
  <c r="L57" i="4" s="1"/>
  <c r="G57" i="4"/>
  <c r="E57" i="4"/>
  <c r="F57" i="4" s="1"/>
  <c r="I56" i="4"/>
  <c r="L56" i="4" s="1"/>
  <c r="G56" i="4"/>
  <c r="E56" i="4"/>
  <c r="H56" i="4" s="1"/>
  <c r="I55" i="4"/>
  <c r="L55" i="4" s="1"/>
  <c r="G55" i="4"/>
  <c r="E55" i="4"/>
  <c r="F55" i="4" s="1"/>
  <c r="I54" i="4"/>
  <c r="L54" i="4" s="1"/>
  <c r="G54" i="4"/>
  <c r="E54" i="4"/>
  <c r="H54" i="4" s="1"/>
  <c r="I46" i="4"/>
  <c r="L46" i="4" s="1"/>
  <c r="G46" i="4"/>
  <c r="E46" i="4"/>
  <c r="H46" i="4" s="1"/>
  <c r="I45" i="4"/>
  <c r="L45" i="4" s="1"/>
  <c r="G45" i="4"/>
  <c r="E45" i="4"/>
  <c r="F45" i="4" s="1"/>
  <c r="I44" i="4"/>
  <c r="L44" i="4" s="1"/>
  <c r="G44" i="4"/>
  <c r="E44" i="4"/>
  <c r="H44" i="4" s="1"/>
  <c r="I43" i="4"/>
  <c r="L43" i="4" s="1"/>
  <c r="G43" i="4"/>
  <c r="E43" i="4"/>
  <c r="K35" i="4"/>
  <c r="I35" i="4"/>
  <c r="L35" i="4" s="1"/>
  <c r="G35" i="4"/>
  <c r="E35" i="4"/>
  <c r="H35" i="4" s="1"/>
  <c r="K34" i="4"/>
  <c r="I34" i="4"/>
  <c r="L34" i="4" s="1"/>
  <c r="G34" i="4"/>
  <c r="E34" i="4"/>
  <c r="F34" i="4" s="1"/>
  <c r="K33" i="4"/>
  <c r="I33" i="4"/>
  <c r="L33" i="4" s="1"/>
  <c r="G33" i="4"/>
  <c r="E33" i="4"/>
  <c r="H33" i="4" s="1"/>
  <c r="K32" i="4"/>
  <c r="I32" i="4"/>
  <c r="L32" i="4" s="1"/>
  <c r="G32" i="4"/>
  <c r="E32" i="4"/>
  <c r="F32" i="4" s="1"/>
  <c r="K24" i="4"/>
  <c r="I24" i="4"/>
  <c r="L24" i="4" s="1"/>
  <c r="G24" i="4"/>
  <c r="E24" i="4"/>
  <c r="H24" i="4" s="1"/>
  <c r="K23" i="4"/>
  <c r="I23" i="4"/>
  <c r="L23" i="4" s="1"/>
  <c r="G23" i="4"/>
  <c r="E23" i="4"/>
  <c r="K22" i="4"/>
  <c r="I22" i="4"/>
  <c r="G22" i="4"/>
  <c r="E22" i="4"/>
  <c r="K21" i="4"/>
  <c r="I21" i="4"/>
  <c r="L21" i="4" s="1"/>
  <c r="G21" i="4"/>
  <c r="E21" i="4"/>
  <c r="K11" i="4"/>
  <c r="I11" i="4"/>
  <c r="L11" i="4" s="1"/>
  <c r="G11" i="4"/>
  <c r="E11" i="4"/>
  <c r="H11" i="4" s="1"/>
  <c r="K10" i="4"/>
  <c r="I10" i="4"/>
  <c r="L10" i="4" s="1"/>
  <c r="G10" i="4"/>
  <c r="E10" i="4"/>
  <c r="K9" i="4"/>
  <c r="I9" i="4"/>
  <c r="L9" i="4" s="1"/>
  <c r="G9" i="4"/>
  <c r="E9" i="4"/>
  <c r="H9" i="4" s="1"/>
  <c r="I55" i="1"/>
  <c r="L55" i="1" s="1"/>
  <c r="I56" i="1"/>
  <c r="L56" i="1" s="1"/>
  <c r="I57" i="1"/>
  <c r="L57" i="1" s="1"/>
  <c r="I54" i="1"/>
  <c r="G54" i="1"/>
  <c r="G55" i="1"/>
  <c r="G56" i="1"/>
  <c r="G57" i="1"/>
  <c r="E55" i="1"/>
  <c r="H55" i="1" s="1"/>
  <c r="E56" i="1"/>
  <c r="H56" i="1" s="1"/>
  <c r="E57" i="1"/>
  <c r="H57" i="1" s="1"/>
  <c r="E54" i="1"/>
  <c r="H54" i="1" s="1"/>
  <c r="G44" i="1"/>
  <c r="G45" i="1"/>
  <c r="G46" i="1"/>
  <c r="G43" i="1"/>
  <c r="K33" i="1"/>
  <c r="K34" i="1"/>
  <c r="K35" i="1"/>
  <c r="K32" i="1"/>
  <c r="G33" i="1"/>
  <c r="G34" i="1"/>
  <c r="G35" i="1"/>
  <c r="G32" i="1"/>
  <c r="K22" i="1"/>
  <c r="K23" i="1"/>
  <c r="K24" i="1"/>
  <c r="K21" i="1"/>
  <c r="G22" i="1"/>
  <c r="G23" i="1"/>
  <c r="G24" i="1"/>
  <c r="G21" i="1"/>
  <c r="K10" i="1"/>
  <c r="K11" i="1"/>
  <c r="K9" i="1"/>
  <c r="G10" i="1"/>
  <c r="G11" i="1"/>
  <c r="G9" i="1"/>
  <c r="I32" i="1"/>
  <c r="E32" i="1"/>
  <c r="H32" i="1" s="1"/>
  <c r="I21" i="1"/>
  <c r="L21" i="1" s="1"/>
  <c r="E21" i="1"/>
  <c r="H21" i="1" s="1"/>
  <c r="F32" i="1"/>
  <c r="I44" i="1"/>
  <c r="L44" i="1" s="1"/>
  <c r="I45" i="1"/>
  <c r="L45" i="1" s="1"/>
  <c r="I46" i="1"/>
  <c r="L46" i="1" s="1"/>
  <c r="I43" i="1"/>
  <c r="L43" i="1" s="1"/>
  <c r="E43" i="1"/>
  <c r="H43" i="1" s="1"/>
  <c r="E44" i="1"/>
  <c r="H44" i="1" s="1"/>
  <c r="E45" i="1"/>
  <c r="H45" i="1" s="1"/>
  <c r="E46" i="1"/>
  <c r="H46" i="1" s="1"/>
  <c r="I33" i="1"/>
  <c r="L33" i="1" s="1"/>
  <c r="I34" i="1"/>
  <c r="L34" i="1" s="1"/>
  <c r="I35" i="1"/>
  <c r="L35" i="1" s="1"/>
  <c r="F21" i="5" l="1"/>
  <c r="J43" i="1"/>
  <c r="F35" i="5"/>
  <c r="F54" i="1"/>
  <c r="C22" i="10"/>
  <c r="C35" i="10"/>
  <c r="C18" i="10"/>
  <c r="C34" i="10"/>
  <c r="C18" i="9"/>
  <c r="F22" i="4"/>
  <c r="H22" i="4"/>
  <c r="J43" i="5"/>
  <c r="L43" i="5"/>
  <c r="J22" i="5"/>
  <c r="L22" i="5"/>
  <c r="J46" i="5"/>
  <c r="L46" i="5"/>
  <c r="J45" i="1"/>
  <c r="F10" i="4"/>
  <c r="H10" i="4"/>
  <c r="F21" i="4"/>
  <c r="H21" i="4"/>
  <c r="F23" i="4"/>
  <c r="H23" i="4"/>
  <c r="F43" i="4"/>
  <c r="H43" i="4"/>
  <c r="J21" i="5"/>
  <c r="L21" i="5"/>
  <c r="F23" i="5"/>
  <c r="J35" i="5"/>
  <c r="L35" i="5"/>
  <c r="J54" i="5"/>
  <c r="L54" i="5"/>
  <c r="F57" i="5"/>
  <c r="J22" i="4"/>
  <c r="L22" i="4"/>
  <c r="J33" i="5"/>
  <c r="L33" i="5"/>
  <c r="J56" i="5"/>
  <c r="L56" i="5"/>
  <c r="J54" i="1"/>
  <c r="L54" i="1"/>
  <c r="F9" i="5"/>
  <c r="F34" i="5"/>
  <c r="J24" i="5"/>
  <c r="L24" i="5"/>
  <c r="J46" i="1"/>
  <c r="J10" i="5"/>
  <c r="L10" i="5"/>
  <c r="J44" i="5"/>
  <c r="L44" i="5"/>
  <c r="J23" i="5"/>
  <c r="L23" i="5"/>
  <c r="J32" i="5"/>
  <c r="L32" i="5"/>
  <c r="J45" i="5"/>
  <c r="L45" i="5"/>
  <c r="J57" i="5"/>
  <c r="L57" i="5"/>
  <c r="J32" i="1"/>
  <c r="L32" i="1"/>
  <c r="J9" i="5"/>
  <c r="L9" i="5"/>
  <c r="J11" i="5"/>
  <c r="L11" i="5"/>
  <c r="J34" i="5"/>
  <c r="L34" i="5"/>
  <c r="J55" i="5"/>
  <c r="L55" i="5"/>
  <c r="F55" i="5"/>
  <c r="F56" i="5"/>
  <c r="F54" i="5"/>
  <c r="F43" i="5"/>
  <c r="F45" i="5"/>
  <c r="F44" i="5"/>
  <c r="F46" i="5"/>
  <c r="F33" i="5"/>
  <c r="F24" i="5"/>
  <c r="F11" i="5"/>
  <c r="F10" i="5"/>
  <c r="F11" i="4"/>
  <c r="F54" i="4"/>
  <c r="F9" i="4"/>
  <c r="F24" i="4"/>
  <c r="F33" i="4"/>
  <c r="F35" i="4"/>
  <c r="F44" i="4"/>
  <c r="F46" i="4"/>
  <c r="F56" i="4"/>
  <c r="H32" i="4"/>
  <c r="H34" i="4"/>
  <c r="H45" i="4"/>
  <c r="H55" i="4"/>
  <c r="H57" i="4"/>
  <c r="J9" i="4"/>
  <c r="J10" i="4"/>
  <c r="J11" i="4"/>
  <c r="J21" i="4"/>
  <c r="J23" i="4"/>
  <c r="J24" i="4"/>
  <c r="J32" i="4"/>
  <c r="J33" i="4"/>
  <c r="J34" i="4"/>
  <c r="J35" i="4"/>
  <c r="J43" i="4"/>
  <c r="J44" i="4"/>
  <c r="J45" i="4"/>
  <c r="J46" i="4"/>
  <c r="J54" i="4"/>
  <c r="J55" i="4"/>
  <c r="J56" i="4"/>
  <c r="J57" i="4"/>
  <c r="J34" i="1"/>
  <c r="J44" i="1"/>
  <c r="J33" i="1"/>
  <c r="F21" i="1"/>
  <c r="J57" i="1"/>
  <c r="J56" i="1"/>
  <c r="J55" i="1"/>
  <c r="J35" i="1"/>
  <c r="E33" i="1" l="1"/>
  <c r="H33" i="1" s="1"/>
  <c r="E34" i="1"/>
  <c r="H34" i="1" s="1"/>
  <c r="E35" i="1"/>
  <c r="H35" i="1" s="1"/>
  <c r="F46" i="1"/>
  <c r="F44" i="1"/>
  <c r="E22" i="1"/>
  <c r="H22" i="1" s="1"/>
  <c r="E23" i="1"/>
  <c r="H23" i="1" s="1"/>
  <c r="E24" i="1"/>
  <c r="H24" i="1" s="1"/>
  <c r="I24" i="1"/>
  <c r="L24" i="1" s="1"/>
  <c r="I22" i="1"/>
  <c r="L22" i="1" s="1"/>
  <c r="I23" i="1"/>
  <c r="L23" i="1" s="1"/>
  <c r="J21" i="1"/>
  <c r="I10" i="1"/>
  <c r="I11" i="1"/>
  <c r="L11" i="1" s="1"/>
  <c r="I9" i="1"/>
  <c r="L9" i="1" s="1"/>
  <c r="E11" i="1"/>
  <c r="E10" i="1"/>
  <c r="F11" i="1" l="1"/>
  <c r="H11" i="1"/>
  <c r="J10" i="1"/>
  <c r="L10" i="1"/>
  <c r="F9" i="1"/>
  <c r="H9" i="1"/>
  <c r="F10" i="1"/>
  <c r="H10" i="1"/>
  <c r="J9" i="1"/>
  <c r="J24" i="1"/>
  <c r="F22" i="1"/>
  <c r="J23" i="1"/>
  <c r="J22" i="1"/>
  <c r="F57" i="1"/>
  <c r="F56" i="1"/>
  <c r="F55" i="1"/>
  <c r="F45" i="1"/>
  <c r="F43" i="1"/>
  <c r="F33" i="1"/>
  <c r="F34" i="1"/>
  <c r="F35" i="1"/>
  <c r="F24" i="1"/>
  <c r="F23" i="1"/>
  <c r="J11" i="1"/>
</calcChain>
</file>

<file path=xl/sharedStrings.xml><?xml version="1.0" encoding="utf-8"?>
<sst xmlns="http://schemas.openxmlformats.org/spreadsheetml/2006/main" count="694" uniqueCount="221">
  <si>
    <t>Offre standard</t>
  </si>
  <si>
    <t>Prix distri</t>
  </si>
  <si>
    <t>50€/ha</t>
  </si>
  <si>
    <t>Abonnement</t>
  </si>
  <si>
    <t>600€/ferme</t>
  </si>
  <si>
    <t>Tarifs Agri</t>
  </si>
  <si>
    <t>STANDARD</t>
  </si>
  <si>
    <t>Surfaces (has)</t>
  </si>
  <si>
    <t>Tarifs 25-50 ha</t>
  </si>
  <si>
    <t>25/50</t>
  </si>
  <si>
    <t>50/100</t>
  </si>
  <si>
    <t>100/200</t>
  </si>
  <si>
    <t>200/500</t>
  </si>
  <si>
    <t>&gt; 500</t>
  </si>
  <si>
    <t>Surface</t>
  </si>
  <si>
    <t>Coût scan/ha</t>
  </si>
  <si>
    <t>Prix Agri</t>
  </si>
  <si>
    <t>Coûts distri</t>
  </si>
  <si>
    <t>Total facturé 25ha</t>
  </si>
  <si>
    <t>Cout ha agri 5 ans</t>
  </si>
  <si>
    <t>Cout ha agri 10 ans</t>
  </si>
  <si>
    <t>Marge brute distri 5 ans</t>
  </si>
  <si>
    <t>Total facturé 50ha</t>
  </si>
  <si>
    <t>Marge distri 5 ans</t>
  </si>
  <si>
    <t>PACK 0</t>
  </si>
  <si>
    <t>Passage scan</t>
  </si>
  <si>
    <t>Cout presta</t>
  </si>
  <si>
    <t>PACK 1</t>
  </si>
  <si>
    <t>Abonnement annuel payé par agri</t>
  </si>
  <si>
    <t>PACK 2-5</t>
  </si>
  <si>
    <t>PACK 5+</t>
  </si>
  <si>
    <t>PACK 2+</t>
  </si>
  <si>
    <t>Tarifs 50-100 ha</t>
  </si>
  <si>
    <t>Total facturé 100ha</t>
  </si>
  <si>
    <t>Ta</t>
  </si>
  <si>
    <t>Tarifs 100-200 ha</t>
  </si>
  <si>
    <t>Total facturé 200ha</t>
  </si>
  <si>
    <t>Tarifs 200-500 ha</t>
  </si>
  <si>
    <t>Total facturé 500ha</t>
  </si>
  <si>
    <t>Tarifs &gt;500 ha</t>
  </si>
  <si>
    <t>Total facturé 1000ha</t>
  </si>
  <si>
    <t>Offre carbone</t>
  </si>
  <si>
    <t>65€/ha</t>
  </si>
  <si>
    <t>CARBONE</t>
  </si>
  <si>
    <t>Offre premium</t>
  </si>
  <si>
    <t>80€/ha</t>
  </si>
  <si>
    <t>PREMIUM</t>
  </si>
  <si>
    <t>Coût scan</t>
  </si>
  <si>
    <t>Prix à l'hectare recommandé (tarifs agriculteur). Facturé sur l'ensemble des hectares tous les ans</t>
  </si>
  <si>
    <t>Engagement 5 ans</t>
  </si>
  <si>
    <t>25 à 49 has</t>
  </si>
  <si>
    <t>50 à 99 has</t>
  </si>
  <si>
    <t>100 à 199 has</t>
  </si>
  <si>
    <t>200 à 499 has</t>
  </si>
  <si>
    <t>&gt; 500 has</t>
  </si>
  <si>
    <t>Accès application simple</t>
  </si>
  <si>
    <t>PACK 1 carte/an</t>
  </si>
  <si>
    <t>PACK 2-5 cartes/an</t>
  </si>
  <si>
    <t>PACK + 5 cartes/an</t>
  </si>
  <si>
    <t>Distributor pays</t>
  </si>
  <si>
    <t>1 subscription per committed farmer</t>
  </si>
  <si>
    <t>every year</t>
  </si>
  <si>
    <t>for 5 years</t>
  </si>
  <si>
    <t>This allows Syngenta to generate sales every year</t>
  </si>
  <si>
    <t>Duration of contract between farmer and customer</t>
  </si>
  <si>
    <t>1 farm creation on the Interra Scan platform</t>
  </si>
  <si>
    <t>However, Syngenta does have some ideas</t>
  </si>
  <si>
    <t>Syngenta does not wish to definitively fix the GTM from the customer to the farmer</t>
  </si>
  <si>
    <t>Farmer price</t>
  </si>
  <si>
    <t>Set a clear and simple price per hectare</t>
  </si>
  <si>
    <t>Different prices depending on the Interra Scan package BUT ALSO on the annual advice provided by the offer provider</t>
  </si>
  <si>
    <t>Recommended price per hectare (farmer's rates). Invoiced on all hectares every year</t>
  </si>
  <si>
    <t>5-year contract</t>
  </si>
  <si>
    <t>Simple application access</t>
  </si>
  <si>
    <t>PACK 1 map/year</t>
  </si>
  <si>
    <t>PACK + 5 maps/year</t>
  </si>
  <si>
    <t>PACK 2-5 maps/year</t>
  </si>
  <si>
    <t>CALCUL DU TARIF POUR LE DISTRIBUTEUR</t>
  </si>
  <si>
    <t>NOM DU DISTRIBUTEUR</t>
  </si>
  <si>
    <t>ADRESSE</t>
  </si>
  <si>
    <t>OFFRE DEMANDEE</t>
  </si>
  <si>
    <t>DUREE D'ACCES A LA PLATEFORME</t>
  </si>
  <si>
    <t>0-1000</t>
  </si>
  <si>
    <t>1000-3000</t>
  </si>
  <si>
    <t>&gt;3000</t>
  </si>
  <si>
    <t>NORIAP</t>
  </si>
  <si>
    <t>AMIENS</t>
  </si>
  <si>
    <t>SURFACE TOTALE ENGAGEE INTERRA SCAN CHEZ LE CLIENT</t>
  </si>
  <si>
    <t>€</t>
  </si>
  <si>
    <t>MARGE NETTE SYNGENTA SUR LA DUREE DU CONTRAT</t>
  </si>
  <si>
    <t>PRIX DE REVIENT SYNGENTA</t>
  </si>
  <si>
    <t>(&lt;1000; 1000-3000; &gt;3000)</t>
  </si>
  <si>
    <t>an(s)</t>
  </si>
  <si>
    <t>%</t>
  </si>
  <si>
    <t>RAISON SOCIALE</t>
  </si>
  <si>
    <t>GAEC DES MITANS</t>
  </si>
  <si>
    <t>MARGE BRUTE SOUHAITEE PAR LE DISTRIBUTEUR</t>
  </si>
  <si>
    <t>CALCUL DU TARIF POUR L'AGRICULTEUR</t>
  </si>
  <si>
    <t xml:space="preserve">SURFACE TOTALE ENGAGEE INTERRA SCAN </t>
  </si>
  <si>
    <t>INVESTISSEMENT TOTAL</t>
  </si>
  <si>
    <t>has</t>
  </si>
  <si>
    <t>SOURDON</t>
  </si>
  <si>
    <t>PRIX/HA AMORTI SUR 5 ANS</t>
  </si>
  <si>
    <t>ABONNEMENT ANNUEL /HA</t>
  </si>
  <si>
    <t>PRIX HA/ANNEE DE CONTRAT</t>
  </si>
  <si>
    <t>MARGE BRUTE EN VALEUR (sur la durée du contrat)</t>
  </si>
  <si>
    <t>PRIX HA/DUREE DU CONTRAT</t>
  </si>
  <si>
    <t>€/ha</t>
  </si>
  <si>
    <t>50-99</t>
  </si>
  <si>
    <t>0-49</t>
  </si>
  <si>
    <t>100-199</t>
  </si>
  <si>
    <t>200-399</t>
  </si>
  <si>
    <t>&gt;399</t>
  </si>
  <si>
    <t>SURFACE A SCANNER SUR L'EXPLOITATION</t>
  </si>
  <si>
    <t>OFFRE DEMANDEE PAR L'AGRICULTEUR</t>
  </si>
  <si>
    <t>SURFACE DE L'EXPLOITATION A SCANNER</t>
  </si>
  <si>
    <t>PRIX/HA (SCAN + ABONNEMENT) facturé</t>
  </si>
  <si>
    <t>COUT DE PASSAGE DU SCANNER (analyses incluses)</t>
  </si>
  <si>
    <t>PASSAGE DE SCANNER (analyses incluses)</t>
  </si>
  <si>
    <t>CONDITIONS COMMERCIALES INTERRA SCAN</t>
  </si>
  <si>
    <t>Remise Volume</t>
  </si>
  <si>
    <t>Prix unitaire facturé</t>
  </si>
  <si>
    <t>Montant 
 facturé</t>
  </si>
  <si>
    <t>Agi-code</t>
  </si>
  <si>
    <t>libellé article</t>
  </si>
  <si>
    <t>Tarif</t>
  </si>
  <si>
    <t>Quantité</t>
  </si>
  <si>
    <t>Offre Interra Scan Standard - Ha</t>
  </si>
  <si>
    <t>Offre Interra Scan Carbone - Ha</t>
  </si>
  <si>
    <t>Offre Interra Scan Premium - Ha</t>
  </si>
  <si>
    <t>GGGGG</t>
  </si>
  <si>
    <t>HHHHH</t>
  </si>
  <si>
    <t>IIIII</t>
  </si>
  <si>
    <t>&lt; 1000 ha</t>
  </si>
  <si>
    <t>0-49 ha</t>
  </si>
  <si>
    <t>&gt; 399 ha</t>
  </si>
  <si>
    <t>200-399 ha</t>
  </si>
  <si>
    <t>100-199 ha</t>
  </si>
  <si>
    <t>JJJJJJJ</t>
  </si>
  <si>
    <t>KKKKKK</t>
  </si>
  <si>
    <t>LLLLLLL</t>
  </si>
  <si>
    <t>MMMMM</t>
  </si>
  <si>
    <t>NNNNN</t>
  </si>
  <si>
    <t>Montant facturé
 facturé</t>
  </si>
  <si>
    <t>&gt;= 1000 ha</t>
  </si>
  <si>
    <t>&gt;= 3000 ha</t>
  </si>
  <si>
    <t>Exploitations 100-199 ha</t>
  </si>
  <si>
    <t>Exploitations 200-399 ha</t>
  </si>
  <si>
    <t>Exploitations &gt;399 ha</t>
  </si>
  <si>
    <t>Quantités (surfaces totales)</t>
  </si>
  <si>
    <t>Exploitation            100-199 ha</t>
  </si>
  <si>
    <t>Exploitation 200-399 ha</t>
  </si>
  <si>
    <t>Exploitation &gt;399 ha</t>
  </si>
  <si>
    <t>TARIFS ABONNEMENTS ASSOCIES AU CALCULATEUR</t>
  </si>
  <si>
    <t>ABONNEMENT</t>
  </si>
  <si>
    <t>PASSAGE DU SCANNER</t>
  </si>
  <si>
    <t>TOTAL FACTURE CLIENT</t>
  </si>
  <si>
    <t>Exploitations                0-99 ha</t>
  </si>
  <si>
    <t>SCANNING</t>
  </si>
  <si>
    <t>Exploitation             0-49 ha</t>
  </si>
  <si>
    <t>Exploitation             50-99 ha</t>
  </si>
  <si>
    <t>TARIFS SCANNING ASSOCIES AU CALCULATEUR</t>
  </si>
  <si>
    <t>&lt;1000 ha</t>
  </si>
  <si>
    <t>1000-3000 ha</t>
  </si>
  <si>
    <t>&gt; 3000ha</t>
  </si>
  <si>
    <t>Accès plateforme 1 an</t>
  </si>
  <si>
    <t>Accès plateforme 2 ans</t>
  </si>
  <si>
    <t>Accès plateforme 3 ans</t>
  </si>
  <si>
    <t>Accès plateforme 4 ans</t>
  </si>
  <si>
    <t>Accès plateforme 5 ans</t>
  </si>
  <si>
    <t>OFFRE STANDARD 3 ANS</t>
  </si>
  <si>
    <t>OFFRE CARBONE 3 ANS</t>
  </si>
  <si>
    <t>OFFRE PREMIUM 3 ANS</t>
  </si>
  <si>
    <t>Prix d'achat distri</t>
  </si>
  <si>
    <t>Amorti sur 5 ans</t>
  </si>
  <si>
    <t xml:space="preserve">soit </t>
  </si>
  <si>
    <t>€/ha/5 ans</t>
  </si>
  <si>
    <t>Investissement total</t>
  </si>
  <si>
    <t>OFFRE STANDARD 1 AN</t>
  </si>
  <si>
    <t>OFFRE CARBONE 1 AN</t>
  </si>
  <si>
    <t>OFFRE PREMIUM 1 AN</t>
  </si>
  <si>
    <t xml:space="preserve">Prix d'achat AGRI </t>
  </si>
  <si>
    <t>Indiquez ici le niveau de marge du distributeur</t>
  </si>
  <si>
    <t>Prix d'achat AGRI</t>
  </si>
  <si>
    <t>SAU</t>
  </si>
  <si>
    <t>Tarif annuel</t>
  </si>
  <si>
    <t>ABONNEMENT PLATEFORME</t>
  </si>
  <si>
    <t>Tarif/Ha + Forfait Parcelle + Abonnement</t>
  </si>
  <si>
    <t>Tarif/ha</t>
  </si>
  <si>
    <t>SIMULATEUR TARIF DISTRI</t>
  </si>
  <si>
    <t>Offre</t>
  </si>
  <si>
    <t>Nombre de parcelles</t>
  </si>
  <si>
    <t>Surface totale</t>
  </si>
  <si>
    <t>Durée de l'abonnement</t>
  </si>
  <si>
    <t>Prix/ha</t>
  </si>
  <si>
    <t>Prix/ha/5ans</t>
  </si>
  <si>
    <t>€/ha/an</t>
  </si>
  <si>
    <t>Facturé au distri</t>
  </si>
  <si>
    <t>Coût total agri</t>
  </si>
  <si>
    <t>Abonnement fixe/ha/an</t>
  </si>
  <si>
    <t>MARGE NETTE SYNGENTA</t>
  </si>
  <si>
    <t>Niveau de marge brute distributeur</t>
  </si>
  <si>
    <t>Prix/ha sur la durée de l'abonnement</t>
  </si>
  <si>
    <t>Forfait par parcelle</t>
  </si>
  <si>
    <t>Nombre de jours de scan</t>
  </si>
  <si>
    <t>Jour 1</t>
  </si>
  <si>
    <t>Jour 2</t>
  </si>
  <si>
    <t>Jour 3</t>
  </si>
  <si>
    <t>Jour 4</t>
  </si>
  <si>
    <t>Jour 5</t>
  </si>
  <si>
    <t>Nombre de parcelles scannées</t>
  </si>
  <si>
    <t>Forfait remisé</t>
  </si>
  <si>
    <t>TOTAL</t>
  </si>
  <si>
    <t>Forfait théorique</t>
  </si>
  <si>
    <t>Ratio Ha/jours</t>
  </si>
  <si>
    <t>Taille moyenne parcelle</t>
  </si>
  <si>
    <t xml:space="preserve"> </t>
  </si>
  <si>
    <t>PREMIUM CARBONE</t>
  </si>
  <si>
    <t>TEST</t>
  </si>
  <si>
    <t>Abonnement inclus 3  ans</t>
  </si>
  <si>
    <t>Abonnement N+4/ha/an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</si>
</sst>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0.0"/>
    <numFmt numFmtId="165" formatCode="#,##0&quot; ha&quot;"/>
  </numFmts>
  <fonts count="20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Roboto"/>
    </font>
    <font>
      <b/>
      <sz val="10"/>
      <color theme="1"/>
      <name val="Roboto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2" fillId="0" borderId="0" applyFont="0" applyFill="0" applyBorder="0" applyAlignment="0" applyProtection="0"/>
  </cellStyleXfs>
  <cellXfs count="312">
    <xf numFmtId="0" fontId="0" fillId="0" borderId="0" xfId="0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16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4" fillId="17" borderId="1" xfId="0" applyFont="1" applyFill="1" applyBorder="1" applyAlignment="1">
      <alignment horizontal="center"/>
    </xf>
    <xf numFmtId="0" fontId="7" fillId="0" borderId="0" xfId="0" applyFont="1"/>
    <xf numFmtId="0" fontId="4" fillId="2" borderId="0" xfId="0" applyFont="1" applyFill="1"/>
    <xf numFmtId="0" fontId="4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right"/>
    </xf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164" fontId="0" fillId="21" borderId="0" xfId="0" applyNumberFormat="1" applyFill="1" applyAlignment="1">
      <alignment horizontal="center"/>
    </xf>
    <xf numFmtId="164" fontId="0" fillId="21" borderId="0" xfId="0" applyNumberFormat="1" applyFill="1" applyBorder="1" applyAlignment="1">
      <alignment horizontal="center"/>
    </xf>
    <xf numFmtId="0" fontId="0" fillId="0" borderId="0" xfId="0" applyFill="1"/>
    <xf numFmtId="0" fontId="10" fillId="21" borderId="0" xfId="0" applyFont="1" applyFill="1"/>
    <xf numFmtId="0" fontId="9" fillId="19" borderId="0" xfId="0" applyFont="1" applyFill="1"/>
    <xf numFmtId="0" fontId="0" fillId="11" borderId="0" xfId="0" applyFill="1"/>
    <xf numFmtId="0" fontId="0" fillId="8" borderId="0" xfId="0" applyFill="1"/>
    <xf numFmtId="0" fontId="0" fillId="17" borderId="0" xfId="0" applyFill="1"/>
    <xf numFmtId="164" fontId="0" fillId="0" borderId="2" xfId="0" applyNumberFormat="1" applyBorder="1" applyAlignment="1" applyProtection="1">
      <alignment horizontal="center"/>
      <protection locked="0"/>
    </xf>
    <xf numFmtId="164" fontId="4" fillId="0" borderId="2" xfId="0" applyNumberFormat="1" applyFont="1" applyBorder="1" applyAlignment="1">
      <alignment horizontal="right"/>
    </xf>
    <xf numFmtId="0" fontId="0" fillId="23" borderId="0" xfId="0" applyFill="1"/>
    <xf numFmtId="3" fontId="4" fillId="22" borderId="2" xfId="0" applyNumberFormat="1" applyFont="1" applyFill="1" applyBorder="1" applyAlignment="1">
      <alignment horizontal="center"/>
    </xf>
    <xf numFmtId="164" fontId="4" fillId="2" borderId="2" xfId="0" applyNumberFormat="1" applyFont="1" applyFill="1" applyBorder="1" applyAlignment="1">
      <alignment horizontal="right"/>
    </xf>
    <xf numFmtId="164" fontId="4" fillId="0" borderId="2" xfId="0" applyNumberFormat="1" applyFont="1" applyFill="1" applyBorder="1" applyAlignment="1">
      <alignment horizontal="right"/>
    </xf>
    <xf numFmtId="164" fontId="0" fillId="2" borderId="2" xfId="0" applyNumberFormat="1" applyFill="1" applyBorder="1" applyAlignment="1" applyProtection="1">
      <alignment horizontal="center"/>
      <protection locked="0"/>
    </xf>
    <xf numFmtId="3" fontId="4" fillId="0" borderId="2" xfId="0" applyNumberFormat="1" applyFont="1" applyFill="1" applyBorder="1" applyAlignment="1">
      <alignment horizontal="right"/>
    </xf>
    <xf numFmtId="9" fontId="4" fillId="2" borderId="2" xfId="0" applyNumberFormat="1" applyFont="1" applyFill="1" applyBorder="1" applyAlignment="1" applyProtection="1">
      <alignment horizontal="center"/>
      <protection locked="0"/>
    </xf>
    <xf numFmtId="164" fontId="4" fillId="16" borderId="2" xfId="0" applyNumberFormat="1" applyFont="1" applyFill="1" applyBorder="1" applyAlignment="1" applyProtection="1">
      <alignment horizontal="center"/>
      <protection locked="0"/>
    </xf>
    <xf numFmtId="0" fontId="11" fillId="21" borderId="0" xfId="0" applyFont="1" applyFill="1"/>
    <xf numFmtId="0" fontId="0" fillId="2" borderId="0" xfId="0" applyFill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0" fillId="24" borderId="1" xfId="0" applyFill="1" applyBorder="1"/>
    <xf numFmtId="44" fontId="0" fillId="24" borderId="1" xfId="1" applyFont="1" applyFill="1" applyBorder="1"/>
    <xf numFmtId="0" fontId="0" fillId="6" borderId="1" xfId="0" applyFill="1" applyBorder="1"/>
    <xf numFmtId="44" fontId="0" fillId="6" borderId="1" xfId="1" applyFont="1" applyFill="1" applyBorder="1"/>
    <xf numFmtId="0" fontId="0" fillId="5" borderId="1" xfId="0" applyFill="1" applyBorder="1"/>
    <xf numFmtId="44" fontId="0" fillId="5" borderId="1" xfId="1" applyFont="1" applyFill="1" applyBorder="1"/>
    <xf numFmtId="165" fontId="0" fillId="24" borderId="1" xfId="0" applyNumberFormat="1" applyFill="1" applyBorder="1"/>
    <xf numFmtId="44" fontId="0" fillId="24" borderId="1" xfId="0" applyNumberFormat="1" applyFill="1" applyBorder="1"/>
    <xf numFmtId="165" fontId="0" fillId="6" borderId="1" xfId="1" applyNumberFormat="1" applyFont="1" applyFill="1" applyBorder="1"/>
    <xf numFmtId="165" fontId="0" fillId="5" borderId="1" xfId="1" applyNumberFormat="1" applyFont="1" applyFill="1" applyBorder="1"/>
    <xf numFmtId="44" fontId="0" fillId="2" borderId="1" xfId="1" applyFont="1" applyFill="1" applyBorder="1"/>
    <xf numFmtId="165" fontId="0" fillId="2" borderId="1" xfId="1" applyNumberFormat="1" applyFont="1" applyFill="1" applyBorder="1"/>
    <xf numFmtId="44" fontId="0" fillId="6" borderId="12" xfId="1" applyFont="1" applyFill="1" applyBorder="1"/>
    <xf numFmtId="44" fontId="0" fillId="5" borderId="12" xfId="1" applyFont="1" applyFill="1" applyBorder="1"/>
    <xf numFmtId="44" fontId="0" fillId="2" borderId="12" xfId="1" applyFont="1" applyFill="1" applyBorder="1"/>
    <xf numFmtId="0" fontId="4" fillId="0" borderId="6" xfId="0" applyFont="1" applyBorder="1" applyAlignment="1">
      <alignment horizontal="center" vertical="center"/>
    </xf>
    <xf numFmtId="44" fontId="0" fillId="6" borderId="6" xfId="1" applyFont="1" applyFill="1" applyBorder="1"/>
    <xf numFmtId="44" fontId="0" fillId="6" borderId="7" xfId="1" applyFont="1" applyFill="1" applyBorder="1"/>
    <xf numFmtId="44" fontId="0" fillId="5" borderId="6" xfId="1" applyFont="1" applyFill="1" applyBorder="1"/>
    <xf numFmtId="44" fontId="0" fillId="5" borderId="7" xfId="1" applyFont="1" applyFill="1" applyBorder="1"/>
    <xf numFmtId="44" fontId="0" fillId="2" borderId="6" xfId="1" applyFont="1" applyFill="1" applyBorder="1"/>
    <xf numFmtId="44" fontId="0" fillId="2" borderId="7" xfId="1" applyFont="1" applyFill="1" applyBorder="1"/>
    <xf numFmtId="44" fontId="0" fillId="25" borderId="8" xfId="1" applyFont="1" applyFill="1" applyBorder="1"/>
    <xf numFmtId="44" fontId="0" fillId="25" borderId="9" xfId="1" applyFont="1" applyFill="1" applyBorder="1"/>
    <xf numFmtId="44" fontId="0" fillId="25" borderId="10" xfId="1" applyFont="1" applyFill="1" applyBorder="1"/>
    <xf numFmtId="0" fontId="4" fillId="0" borderId="4" xfId="0" applyFont="1" applyBorder="1" applyAlignment="1">
      <alignment horizontal="center" vertical="center" wrapText="1"/>
    </xf>
    <xf numFmtId="165" fontId="0" fillId="25" borderId="9" xfId="1" applyNumberFormat="1" applyFont="1" applyFill="1" applyBorder="1"/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2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4" fontId="0" fillId="25" borderId="13" xfId="1" applyFont="1" applyFill="1" applyBorder="1"/>
    <xf numFmtId="0" fontId="4" fillId="0" borderId="23" xfId="0" applyFont="1" applyBorder="1" applyAlignment="1">
      <alignment horizontal="center" vertical="center"/>
    </xf>
    <xf numFmtId="44" fontId="0" fillId="24" borderId="31" xfId="1" applyFont="1" applyFill="1" applyBorder="1"/>
    <xf numFmtId="44" fontId="0" fillId="6" borderId="31" xfId="1" applyFont="1" applyFill="1" applyBorder="1"/>
    <xf numFmtId="44" fontId="0" fillId="5" borderId="31" xfId="1" applyFont="1" applyFill="1" applyBorder="1"/>
    <xf numFmtId="44" fontId="0" fillId="2" borderId="31" xfId="1" applyFont="1" applyFill="1" applyBorder="1"/>
    <xf numFmtId="44" fontId="0" fillId="25" borderId="32" xfId="1" applyFont="1" applyFill="1" applyBorder="1"/>
    <xf numFmtId="165" fontId="0" fillId="24" borderId="6" xfId="0" applyNumberFormat="1" applyFill="1" applyBorder="1"/>
    <xf numFmtId="165" fontId="0" fillId="24" borderId="7" xfId="0" applyNumberFormat="1" applyFill="1" applyBorder="1"/>
    <xf numFmtId="165" fontId="0" fillId="6" borderId="6" xfId="1" applyNumberFormat="1" applyFont="1" applyFill="1" applyBorder="1"/>
    <xf numFmtId="165" fontId="0" fillId="6" borderId="7" xfId="1" applyNumberFormat="1" applyFont="1" applyFill="1" applyBorder="1"/>
    <xf numFmtId="165" fontId="0" fillId="5" borderId="6" xfId="1" applyNumberFormat="1" applyFont="1" applyFill="1" applyBorder="1"/>
    <xf numFmtId="165" fontId="0" fillId="5" borderId="7" xfId="1" applyNumberFormat="1" applyFont="1" applyFill="1" applyBorder="1"/>
    <xf numFmtId="165" fontId="0" fillId="2" borderId="6" xfId="1" applyNumberFormat="1" applyFont="1" applyFill="1" applyBorder="1"/>
    <xf numFmtId="165" fontId="0" fillId="2" borderId="7" xfId="1" applyNumberFormat="1" applyFont="1" applyFill="1" applyBorder="1"/>
    <xf numFmtId="165" fontId="0" fillId="25" borderId="8" xfId="1" applyNumberFormat="1" applyFont="1" applyFill="1" applyBorder="1"/>
    <xf numFmtId="165" fontId="0" fillId="25" borderId="10" xfId="1" applyNumberFormat="1" applyFont="1" applyFill="1" applyBorder="1"/>
    <xf numFmtId="44" fontId="0" fillId="6" borderId="37" xfId="1" applyFont="1" applyFill="1" applyBorder="1"/>
    <xf numFmtId="44" fontId="0" fillId="5" borderId="37" xfId="1" applyFont="1" applyFill="1" applyBorder="1"/>
    <xf numFmtId="44" fontId="0" fillId="2" borderId="37" xfId="1" applyFont="1" applyFill="1" applyBorder="1"/>
    <xf numFmtId="44" fontId="0" fillId="25" borderId="38" xfId="1" applyFont="1" applyFill="1" applyBorder="1"/>
    <xf numFmtId="0" fontId="4" fillId="0" borderId="39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0" fillId="24" borderId="6" xfId="0" applyFill="1" applyBorder="1"/>
    <xf numFmtId="0" fontId="0" fillId="24" borderId="7" xfId="0" applyFill="1" applyBorder="1" applyAlignment="1">
      <alignment horizontal="center"/>
    </xf>
    <xf numFmtId="0" fontId="0" fillId="6" borderId="6" xfId="0" applyFill="1" applyBorder="1"/>
    <xf numFmtId="0" fontId="0" fillId="6" borderId="7" xfId="0" applyFill="1" applyBorder="1" applyAlignment="1">
      <alignment horizontal="center"/>
    </xf>
    <xf numFmtId="0" fontId="0" fillId="5" borderId="6" xfId="0" applyFill="1" applyBorder="1"/>
    <xf numFmtId="0" fontId="0" fillId="5" borderId="7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 applyAlignment="1">
      <alignment horizontal="center"/>
    </xf>
    <xf numFmtId="0" fontId="0" fillId="25" borderId="8" xfId="0" applyFill="1" applyBorder="1"/>
    <xf numFmtId="0" fontId="0" fillId="25" borderId="10" xfId="0" applyFill="1" applyBorder="1" applyAlignment="1">
      <alignment horizontal="center"/>
    </xf>
    <xf numFmtId="44" fontId="0" fillId="24" borderId="26" xfId="1" applyFont="1" applyFill="1" applyBorder="1"/>
    <xf numFmtId="44" fontId="0" fillId="24" borderId="18" xfId="1" applyFont="1" applyFill="1" applyBorder="1"/>
    <xf numFmtId="44" fontId="0" fillId="24" borderId="27" xfId="1" applyFont="1" applyFill="1" applyBorder="1"/>
    <xf numFmtId="44" fontId="0" fillId="24" borderId="36" xfId="1" applyFont="1" applyFill="1" applyBorder="1"/>
    <xf numFmtId="44" fontId="0" fillId="24" borderId="34" xfId="0" applyNumberFormat="1" applyFill="1" applyBorder="1"/>
    <xf numFmtId="0" fontId="4" fillId="0" borderId="43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4" fontId="10" fillId="21" borderId="0" xfId="0" applyNumberFormat="1" applyFont="1" applyFill="1"/>
    <xf numFmtId="0" fontId="0" fillId="0" borderId="37" xfId="0" applyFill="1" applyBorder="1" applyAlignment="1">
      <alignment horizontal="center"/>
    </xf>
    <xf numFmtId="4" fontId="0" fillId="0" borderId="6" xfId="0" applyNumberFormat="1" applyFill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4" fontId="0" fillId="0" borderId="7" xfId="0" applyNumberFormat="1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2" fontId="0" fillId="0" borderId="37" xfId="0" applyNumberFormat="1" applyFill="1" applyBorder="1" applyAlignment="1">
      <alignment horizontal="center"/>
    </xf>
    <xf numFmtId="2" fontId="0" fillId="0" borderId="38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4" fontId="0" fillId="0" borderId="6" xfId="1" applyNumberFormat="1" applyFon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4" fontId="0" fillId="0" borderId="8" xfId="1" applyNumberFormat="1" applyFont="1" applyFill="1" applyBorder="1" applyAlignment="1">
      <alignment horizontal="center"/>
    </xf>
    <xf numFmtId="2" fontId="0" fillId="0" borderId="2" xfId="0" applyNumberFormat="1" applyBorder="1" applyAlignment="1">
      <alignment horizontal="right"/>
    </xf>
    <xf numFmtId="0" fontId="4" fillId="0" borderId="8" xfId="0" applyFont="1" applyBorder="1" applyAlignment="1">
      <alignment vertical="center"/>
    </xf>
    <xf numFmtId="0" fontId="4" fillId="0" borderId="6" xfId="0" applyFont="1" applyBorder="1" applyAlignment="1">
      <alignment horizontal="right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 wrapText="1"/>
    </xf>
    <xf numFmtId="3" fontId="4" fillId="0" borderId="16" xfId="0" applyNumberFormat="1" applyFont="1" applyBorder="1" applyAlignment="1">
      <alignment horizontal="center" vertical="center"/>
    </xf>
    <xf numFmtId="0" fontId="13" fillId="21" borderId="0" xfId="0" applyFont="1" applyFill="1"/>
    <xf numFmtId="2" fontId="10" fillId="21" borderId="0" xfId="0" applyNumberFormat="1" applyFont="1" applyFill="1"/>
    <xf numFmtId="0" fontId="0" fillId="28" borderId="7" xfId="0" applyFill="1" applyBorder="1" applyAlignment="1">
      <alignment vertical="center"/>
    </xf>
    <xf numFmtId="0" fontId="4" fillId="28" borderId="7" xfId="0" applyFont="1" applyFill="1" applyBorder="1" applyAlignment="1">
      <alignment horizontal="center" vertical="center"/>
    </xf>
    <xf numFmtId="0" fontId="4" fillId="28" borderId="28" xfId="0" applyFont="1" applyFill="1" applyBorder="1" applyAlignment="1">
      <alignment horizontal="center" vertical="center"/>
    </xf>
    <xf numFmtId="0" fontId="4" fillId="28" borderId="10" xfId="0" applyFont="1" applyFill="1" applyBorder="1" applyAlignment="1">
      <alignment horizontal="center" vertical="center"/>
    </xf>
    <xf numFmtId="0" fontId="4" fillId="28" borderId="1" xfId="0" applyFont="1" applyFill="1" applyBorder="1" applyAlignment="1">
      <alignment horizontal="center" vertical="center"/>
    </xf>
    <xf numFmtId="0" fontId="4" fillId="26" borderId="6" xfId="0" applyFont="1" applyFill="1" applyBorder="1" applyAlignment="1">
      <alignment vertical="center"/>
    </xf>
    <xf numFmtId="0" fontId="4" fillId="26" borderId="6" xfId="0" applyFont="1" applyFill="1" applyBorder="1" applyAlignment="1">
      <alignment horizontal="center" vertical="center" wrapText="1"/>
    </xf>
    <xf numFmtId="0" fontId="4" fillId="27" borderId="6" xfId="0" applyFont="1" applyFill="1" applyBorder="1" applyAlignment="1">
      <alignment vertical="center"/>
    </xf>
    <xf numFmtId="0" fontId="4" fillId="27" borderId="6" xfId="0" applyFont="1" applyFill="1" applyBorder="1" applyAlignment="1">
      <alignment horizontal="center" vertical="center" wrapText="1"/>
    </xf>
    <xf numFmtId="0" fontId="4" fillId="17" borderId="6" xfId="0" applyFont="1" applyFill="1" applyBorder="1" applyAlignment="1">
      <alignment vertical="center"/>
    </xf>
    <xf numFmtId="0" fontId="4" fillId="17" borderId="6" xfId="0" applyFont="1" applyFill="1" applyBorder="1" applyAlignment="1">
      <alignment horizontal="center" vertical="center" wrapText="1"/>
    </xf>
    <xf numFmtId="0" fontId="4" fillId="16" borderId="6" xfId="0" applyFont="1" applyFill="1" applyBorder="1" applyAlignment="1">
      <alignment vertical="center"/>
    </xf>
    <xf numFmtId="0" fontId="4" fillId="16" borderId="6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vertical="center"/>
    </xf>
    <xf numFmtId="0" fontId="4" fillId="7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vertical="center"/>
    </xf>
    <xf numFmtId="0" fontId="4" fillId="8" borderId="6" xfId="0" applyFont="1" applyFill="1" applyBorder="1" applyAlignment="1">
      <alignment horizontal="center" vertical="center" wrapText="1"/>
    </xf>
    <xf numFmtId="0" fontId="16" fillId="2" borderId="20" xfId="0" applyFont="1" applyFill="1" applyBorder="1"/>
    <xf numFmtId="0" fontId="16" fillId="2" borderId="21" xfId="0" applyFont="1" applyFill="1" applyBorder="1"/>
    <xf numFmtId="0" fontId="16" fillId="2" borderId="22" xfId="0" applyFont="1" applyFill="1" applyBorder="1"/>
    <xf numFmtId="9" fontId="16" fillId="2" borderId="2" xfId="0" applyNumberFormat="1" applyFont="1" applyFill="1" applyBorder="1" applyProtection="1">
      <protection locked="0"/>
    </xf>
    <xf numFmtId="0" fontId="0" fillId="14" borderId="0" xfId="0" applyFill="1"/>
    <xf numFmtId="44" fontId="0" fillId="14" borderId="0" xfId="0" applyNumberFormat="1" applyFill="1" applyBorder="1"/>
    <xf numFmtId="44" fontId="15" fillId="14" borderId="0" xfId="0" applyNumberFormat="1" applyFont="1" applyFill="1" applyBorder="1"/>
    <xf numFmtId="0" fontId="14" fillId="17" borderId="0" xfId="0" applyFont="1" applyFill="1"/>
    <xf numFmtId="44" fontId="16" fillId="14" borderId="2" xfId="0" applyNumberFormat="1" applyFont="1" applyFill="1" applyBorder="1"/>
    <xf numFmtId="44" fontId="15" fillId="2" borderId="1" xfId="0" applyNumberFormat="1" applyFont="1" applyFill="1" applyBorder="1"/>
    <xf numFmtId="0" fontId="4" fillId="2" borderId="49" xfId="0" applyFont="1" applyFill="1" applyBorder="1" applyAlignment="1">
      <alignment horizontal="center" vertical="center"/>
    </xf>
    <xf numFmtId="44" fontId="4" fillId="2" borderId="47" xfId="0" applyNumberFormat="1" applyFont="1" applyFill="1" applyBorder="1" applyAlignment="1">
      <alignment horizontal="center"/>
    </xf>
    <xf numFmtId="0" fontId="4" fillId="5" borderId="48" xfId="0" applyFont="1" applyFill="1" applyBorder="1" applyAlignment="1">
      <alignment horizontal="center" vertical="center"/>
    </xf>
    <xf numFmtId="44" fontId="0" fillId="5" borderId="33" xfId="0" applyNumberFormat="1" applyFont="1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44" fontId="0" fillId="5" borderId="30" xfId="0" applyNumberFormat="1" applyFont="1" applyFill="1" applyBorder="1" applyAlignment="1">
      <alignment horizontal="center"/>
    </xf>
    <xf numFmtId="0" fontId="4" fillId="16" borderId="2" xfId="0" applyFont="1" applyFill="1" applyBorder="1" applyAlignment="1" applyProtection="1">
      <alignment horizontal="center"/>
      <protection locked="0"/>
    </xf>
    <xf numFmtId="164" fontId="0" fillId="0" borderId="0" xfId="0" applyNumberFormat="1" applyFill="1" applyAlignment="1">
      <alignment horizontal="center"/>
    </xf>
    <xf numFmtId="0" fontId="13" fillId="0" borderId="0" xfId="0" applyFont="1" applyFill="1"/>
    <xf numFmtId="0" fontId="10" fillId="0" borderId="0" xfId="0" applyFont="1" applyFill="1"/>
    <xf numFmtId="164" fontId="0" fillId="0" borderId="0" xfId="0" applyNumberFormat="1" applyFill="1" applyBorder="1" applyAlignment="1">
      <alignment horizontal="center"/>
    </xf>
    <xf numFmtId="164" fontId="0" fillId="0" borderId="2" xfId="0" applyNumberFormat="1" applyFill="1" applyBorder="1" applyAlignment="1" applyProtection="1">
      <alignment horizontal="center"/>
      <protection locked="0"/>
    </xf>
    <xf numFmtId="4" fontId="10" fillId="0" borderId="0" xfId="0" applyNumberFormat="1" applyFont="1" applyFill="1"/>
    <xf numFmtId="3" fontId="0" fillId="0" borderId="2" xfId="0" applyNumberFormat="1" applyFill="1" applyBorder="1" applyAlignment="1" applyProtection="1">
      <alignment horizontal="center"/>
      <protection locked="0"/>
    </xf>
    <xf numFmtId="0" fontId="9" fillId="0" borderId="0" xfId="0" applyFont="1" applyFill="1"/>
    <xf numFmtId="0" fontId="0" fillId="0" borderId="2" xfId="0" applyFill="1" applyBorder="1" applyAlignment="1">
      <alignment horizontal="center"/>
    </xf>
    <xf numFmtId="164" fontId="0" fillId="0" borderId="2" xfId="0" applyNumberFormat="1" applyFill="1" applyBorder="1" applyAlignment="1">
      <alignment horizontal="right"/>
    </xf>
    <xf numFmtId="0" fontId="10" fillId="21" borderId="0" xfId="0" applyFont="1" applyFill="1" applyAlignment="1"/>
    <xf numFmtId="0" fontId="0" fillId="2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164" fontId="15" fillId="0" borderId="0" xfId="0" applyNumberFormat="1" applyFont="1" applyFill="1" applyBorder="1" applyAlignment="1">
      <alignment horizontal="center"/>
    </xf>
    <xf numFmtId="0" fontId="15" fillId="0" borderId="0" xfId="0" applyFont="1" applyFill="1" applyBorder="1"/>
    <xf numFmtId="0" fontId="0" fillId="0" borderId="1" xfId="0" applyFill="1" applyBorder="1" applyAlignment="1">
      <alignment horizontal="left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/>
    <xf numFmtId="0" fontId="0" fillId="0" borderId="8" xfId="0" applyFill="1" applyBorder="1"/>
    <xf numFmtId="0" fontId="4" fillId="0" borderId="9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18" fillId="0" borderId="0" xfId="0" applyFont="1"/>
    <xf numFmtId="0" fontId="18" fillId="0" borderId="0" xfId="0" applyFont="1" applyBorder="1"/>
    <xf numFmtId="0" fontId="19" fillId="0" borderId="0" xfId="0" applyFont="1" applyFill="1" applyBorder="1" applyAlignment="1">
      <alignment horizontal="center"/>
    </xf>
    <xf numFmtId="0" fontId="19" fillId="0" borderId="0" xfId="0" applyFont="1" applyFill="1" applyBorder="1"/>
    <xf numFmtId="0" fontId="18" fillId="29" borderId="0" xfId="0" applyFont="1" applyFill="1" applyBorder="1"/>
    <xf numFmtId="0" fontId="18" fillId="29" borderId="0" xfId="0" applyFont="1" applyFill="1" applyBorder="1" applyAlignment="1">
      <alignment horizontal="center"/>
    </xf>
    <xf numFmtId="0" fontId="18" fillId="29" borderId="0" xfId="0" applyFont="1" applyFill="1" applyBorder="1" applyAlignment="1">
      <alignment horizontal="center" vertical="center"/>
    </xf>
    <xf numFmtId="0" fontId="18" fillId="30" borderId="0" xfId="0" applyFont="1" applyFill="1" applyBorder="1"/>
    <xf numFmtId="0" fontId="18" fillId="30" borderId="0" xfId="0" applyFont="1" applyFill="1" applyBorder="1" applyAlignment="1">
      <alignment horizontal="center"/>
    </xf>
    <xf numFmtId="0" fontId="18" fillId="30" borderId="0" xfId="0" applyFont="1" applyFill="1" applyBorder="1" applyAlignment="1">
      <alignment horizontal="center" vertical="center"/>
    </xf>
    <xf numFmtId="0" fontId="18" fillId="19" borderId="0" xfId="0" applyFont="1" applyFill="1" applyBorder="1"/>
    <xf numFmtId="0" fontId="18" fillId="19" borderId="0" xfId="0" applyFont="1" applyFill="1" applyBorder="1" applyAlignment="1">
      <alignment horizontal="center"/>
    </xf>
    <xf numFmtId="0" fontId="18" fillId="19" borderId="0" xfId="0" applyFont="1" applyFill="1" applyBorder="1" applyAlignment="1">
      <alignment horizontal="center" vertical="center"/>
    </xf>
    <xf numFmtId="0" fontId="18" fillId="26" borderId="0" xfId="0" applyFont="1" applyFill="1" applyBorder="1"/>
    <xf numFmtId="0" fontId="18" fillId="26" borderId="0" xfId="0" applyFont="1" applyFill="1" applyBorder="1" applyAlignment="1">
      <alignment horizontal="center"/>
    </xf>
    <xf numFmtId="0" fontId="18" fillId="26" borderId="0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4" fillId="0" borderId="35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18" borderId="40" xfId="0" applyFont="1" applyFill="1" applyBorder="1" applyAlignment="1">
      <alignment horizontal="center"/>
    </xf>
    <xf numFmtId="0" fontId="4" fillId="18" borderId="41" xfId="0" applyFont="1" applyFill="1" applyBorder="1" applyAlignment="1">
      <alignment horizontal="center"/>
    </xf>
    <xf numFmtId="0" fontId="4" fillId="18" borderId="42" xfId="0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4" fillId="18" borderId="11" xfId="0" applyFont="1" applyFill="1" applyBorder="1" applyAlignment="1">
      <alignment horizontal="center"/>
    </xf>
    <xf numFmtId="0" fontId="4" fillId="18" borderId="1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4" fillId="16" borderId="23" xfId="0" applyFont="1" applyFill="1" applyBorder="1" applyAlignment="1">
      <alignment horizontal="center" vertical="center"/>
    </xf>
    <xf numFmtId="0" fontId="14" fillId="16" borderId="24" xfId="0" applyFont="1" applyFill="1" applyBorder="1" applyAlignment="1">
      <alignment horizontal="center" vertical="center"/>
    </xf>
    <xf numFmtId="0" fontId="14" fillId="16" borderId="25" xfId="0" applyFont="1" applyFill="1" applyBorder="1" applyAlignment="1">
      <alignment horizontal="center" vertical="center"/>
    </xf>
    <xf numFmtId="0" fontId="14" fillId="26" borderId="23" xfId="0" applyFont="1" applyFill="1" applyBorder="1" applyAlignment="1">
      <alignment horizontal="center" vertical="center"/>
    </xf>
    <xf numFmtId="0" fontId="14" fillId="26" borderId="24" xfId="0" applyFont="1" applyFill="1" applyBorder="1" applyAlignment="1">
      <alignment horizontal="center" vertical="center"/>
    </xf>
    <xf numFmtId="0" fontId="14" fillId="26" borderId="25" xfId="0" applyFont="1" applyFill="1" applyBorder="1" applyAlignment="1">
      <alignment horizontal="center" vertical="center"/>
    </xf>
    <xf numFmtId="0" fontId="14" fillId="8" borderId="23" xfId="0" applyFont="1" applyFill="1" applyBorder="1" applyAlignment="1">
      <alignment horizontal="center" vertical="center"/>
    </xf>
    <xf numFmtId="0" fontId="14" fillId="8" borderId="24" xfId="0" applyFont="1" applyFill="1" applyBorder="1" applyAlignment="1">
      <alignment horizontal="center" vertical="center"/>
    </xf>
    <xf numFmtId="0" fontId="14" fillId="8" borderId="25" xfId="0" applyFont="1" applyFill="1" applyBorder="1" applyAlignment="1">
      <alignment horizontal="center" vertical="center"/>
    </xf>
    <xf numFmtId="0" fontId="14" fillId="17" borderId="23" xfId="0" applyFont="1" applyFill="1" applyBorder="1" applyAlignment="1">
      <alignment horizontal="center" vertical="center"/>
    </xf>
    <xf numFmtId="0" fontId="14" fillId="17" borderId="24" xfId="0" applyFont="1" applyFill="1" applyBorder="1" applyAlignment="1">
      <alignment horizontal="center" vertical="center"/>
    </xf>
    <xf numFmtId="0" fontId="14" fillId="17" borderId="25" xfId="0" applyFont="1" applyFill="1" applyBorder="1" applyAlignment="1">
      <alignment horizontal="center" vertical="center"/>
    </xf>
    <xf numFmtId="0" fontId="14" fillId="12" borderId="23" xfId="0" applyFont="1" applyFill="1" applyBorder="1" applyAlignment="1">
      <alignment horizontal="center" vertical="center"/>
    </xf>
    <xf numFmtId="0" fontId="14" fillId="12" borderId="24" xfId="0" applyFont="1" applyFill="1" applyBorder="1" applyAlignment="1">
      <alignment horizontal="center" vertical="center"/>
    </xf>
    <xf numFmtId="0" fontId="14" fillId="12" borderId="25" xfId="0" applyFont="1" applyFill="1" applyBorder="1" applyAlignment="1">
      <alignment horizontal="center" vertical="center"/>
    </xf>
    <xf numFmtId="0" fontId="14" fillId="7" borderId="23" xfId="0" applyFont="1" applyFill="1" applyBorder="1" applyAlignment="1">
      <alignment horizontal="center" vertical="center"/>
    </xf>
    <xf numFmtId="0" fontId="14" fillId="7" borderId="24" xfId="0" applyFont="1" applyFill="1" applyBorder="1" applyAlignment="1">
      <alignment horizontal="center" vertical="center"/>
    </xf>
    <xf numFmtId="0" fontId="14" fillId="7" borderId="25" xfId="0" applyFont="1" applyFill="1" applyBorder="1" applyAlignment="1">
      <alignment horizontal="center" vertical="center"/>
    </xf>
    <xf numFmtId="0" fontId="10" fillId="21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20637</xdr:colOff>
      <xdr:row>21</xdr:row>
      <xdr:rowOff>25400</xdr:rowOff>
    </xdr:from>
    <xdr:to>
      <xdr:col>12</xdr:col>
      <xdr:colOff>580494</xdr:colOff>
      <xdr:row>26</xdr:row>
      <xdr:rowOff>146050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161" t="82146" b="3147"/>
        <a:stretch/>
      </xdr:blipFill>
      <xdr:spPr>
        <a:xfrm>
          <a:off x="8593137" y="3986213"/>
          <a:ext cx="4369857" cy="10334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331788</xdr:colOff>
      <xdr:row>3</xdr:row>
      <xdr:rowOff>88899</xdr:rowOff>
    </xdr:from>
    <xdr:to>
      <xdr:col>8</xdr:col>
      <xdr:colOff>304270</xdr:colOff>
      <xdr:row>8</xdr:row>
      <xdr:rowOff>169861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161" t="82146" b="3147"/>
        <a:stretch/>
      </xdr:blipFill>
      <xdr:spPr>
        <a:xfrm>
          <a:off x="8047038" y="636587"/>
          <a:ext cx="4369857" cy="1033462"/>
        </a:xfrm>
        <a:prstGeom prst="rect">
          <a:avLst/>
        </a:prstGeom>
      </xdr:spPr>
    </xdr:pic>
    <xdr:clientData/>
  </xdr:twoCellAnchor>
  <xdr:twoCellAnchor>
    <xdr:from>
      <xdr:col>0</xdr:col>
      <xdr:colOff>444500</xdr:colOff>
      <xdr:row>1</xdr:row>
      <xdr:rowOff>63500</xdr:rowOff>
    </xdr:from>
    <xdr:to>
      <xdr:col>4</xdr:col>
      <xdr:colOff>336550</xdr:colOff>
      <xdr:row>19</xdr:row>
      <xdr:rowOff>12700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444500" y="247650"/>
          <a:ext cx="6007100" cy="3162300"/>
        </a:xfrm>
        <a:prstGeom prst="rect">
          <a:avLst/>
        </a:prstGeom>
        <a:noFill/>
        <a:ln w="762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476250</xdr:colOff>
      <xdr:row>23</xdr:row>
      <xdr:rowOff>42334</xdr:rowOff>
    </xdr:from>
    <xdr:to>
      <xdr:col>4</xdr:col>
      <xdr:colOff>368300</xdr:colOff>
      <xdr:row>35</xdr:row>
      <xdr:rowOff>137584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476250" y="3979334"/>
          <a:ext cx="6496050" cy="2159000"/>
        </a:xfrm>
        <a:prstGeom prst="rect">
          <a:avLst/>
        </a:prstGeom>
        <a:noFill/>
        <a:ln w="762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8"/>
  <sheetViews>
    <sheetView zoomScale="70" zoomScaleNormal="70" workbookViewId="0">
      <selection activeCell="F9" sqref="F9"/>
    </sheetView>
  </sheetViews>
  <sheetFormatPr baseColWidth="10" defaultColWidth="10.85546875" defaultRowHeight="15" x14ac:dyDescent="0.25"/>
  <cols>
    <col min="1" max="1" width="21.28515625" style="6" customWidth="1"/>
    <col min="2" max="2" width="13.85546875" style="6" customWidth="1"/>
    <col min="3" max="4" width="13" style="6" customWidth="1"/>
    <col min="5" max="5" width="16.85546875" style="6" customWidth="1"/>
    <col min="6" max="7" width="20.140625" style="6" customWidth="1"/>
    <col min="8" max="8" width="31.28515625" style="6" customWidth="1"/>
    <col min="9" max="9" width="19" style="6" customWidth="1"/>
    <col min="10" max="14" width="21.85546875" style="6" customWidth="1"/>
    <col min="15" max="16384" width="10.85546875" style="6"/>
  </cols>
  <sheetData>
    <row r="1" spans="1:19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19" x14ac:dyDescent="0.25">
      <c r="N2" s="6" t="s">
        <v>5</v>
      </c>
    </row>
    <row r="3" spans="1:19" ht="15.75" thickBot="1" x14ac:dyDescent="0.3"/>
    <row r="4" spans="1:19" ht="15.75" thickBot="1" x14ac:dyDescent="0.3">
      <c r="N4" s="27" t="s">
        <v>6</v>
      </c>
      <c r="O4" s="256" t="s">
        <v>7</v>
      </c>
      <c r="P4" s="257"/>
      <c r="Q4" s="257"/>
      <c r="R4" s="257"/>
      <c r="S4" s="258"/>
    </row>
    <row r="5" spans="1:19" ht="26.25" x14ac:dyDescent="0.4">
      <c r="C5" s="269" t="s">
        <v>8</v>
      </c>
      <c r="D5" s="270"/>
      <c r="E5" s="270"/>
      <c r="F5" s="270"/>
      <c r="G5" s="270"/>
      <c r="H5" s="270"/>
      <c r="I5" s="270"/>
      <c r="J5" s="270"/>
      <c r="K5" s="270"/>
      <c r="L5" s="21"/>
      <c r="N5" s="24"/>
      <c r="O5" s="1" t="s">
        <v>9</v>
      </c>
      <c r="P5" s="1" t="s">
        <v>10</v>
      </c>
      <c r="Q5" s="1" t="s">
        <v>11</v>
      </c>
      <c r="R5" s="1" t="s">
        <v>12</v>
      </c>
      <c r="S5" s="4" t="s">
        <v>13</v>
      </c>
    </row>
    <row r="6" spans="1:19" x14ac:dyDescent="0.25">
      <c r="C6" s="18" t="s">
        <v>14</v>
      </c>
      <c r="D6" s="261">
        <v>25</v>
      </c>
      <c r="E6" s="262"/>
      <c r="F6" s="262"/>
      <c r="G6" s="262"/>
      <c r="H6" s="263"/>
      <c r="I6" s="264">
        <v>50</v>
      </c>
      <c r="J6" s="265"/>
      <c r="K6" s="265"/>
      <c r="L6" s="265"/>
      <c r="N6" s="3" t="s">
        <v>15</v>
      </c>
      <c r="O6" s="2">
        <v>80</v>
      </c>
      <c r="P6" s="2">
        <v>70</v>
      </c>
      <c r="Q6" s="2">
        <v>65</v>
      </c>
      <c r="R6" s="2">
        <v>60</v>
      </c>
      <c r="S6" s="5">
        <v>55</v>
      </c>
    </row>
    <row r="7" spans="1:19" x14ac:dyDescent="0.25">
      <c r="C7" s="9" t="s">
        <v>16</v>
      </c>
      <c r="D7" s="23" t="s">
        <v>17</v>
      </c>
      <c r="E7" s="17" t="s">
        <v>18</v>
      </c>
      <c r="F7" s="17" t="s">
        <v>19</v>
      </c>
      <c r="G7" s="17" t="s">
        <v>20</v>
      </c>
      <c r="H7" s="17" t="s">
        <v>21</v>
      </c>
      <c r="I7" s="17" t="s">
        <v>22</v>
      </c>
      <c r="J7" s="17" t="s">
        <v>19</v>
      </c>
      <c r="K7" s="17" t="s">
        <v>20</v>
      </c>
      <c r="L7" s="8" t="s">
        <v>23</v>
      </c>
      <c r="N7" s="25" t="s">
        <v>24</v>
      </c>
      <c r="O7" s="2">
        <v>500</v>
      </c>
      <c r="P7" s="2">
        <v>500</v>
      </c>
      <c r="Q7" s="2">
        <v>500</v>
      </c>
      <c r="R7" s="2">
        <v>500</v>
      </c>
      <c r="S7" s="5">
        <v>500</v>
      </c>
    </row>
    <row r="8" spans="1:19" x14ac:dyDescent="0.25">
      <c r="A8" s="7" t="s">
        <v>25</v>
      </c>
      <c r="B8" s="2" t="s">
        <v>26</v>
      </c>
      <c r="C8" s="22">
        <v>80</v>
      </c>
      <c r="D8" s="23">
        <v>45</v>
      </c>
      <c r="E8" s="11"/>
      <c r="F8" s="11"/>
      <c r="G8" s="11"/>
      <c r="H8" s="11"/>
      <c r="I8" s="11"/>
      <c r="J8" s="11"/>
      <c r="K8" s="11"/>
      <c r="L8" s="11"/>
      <c r="N8" s="3" t="s">
        <v>27</v>
      </c>
      <c r="O8" s="2">
        <v>750</v>
      </c>
      <c r="P8" s="2">
        <v>650</v>
      </c>
      <c r="Q8" s="2">
        <v>650</v>
      </c>
      <c r="R8" s="2">
        <v>650</v>
      </c>
      <c r="S8" s="5">
        <v>650</v>
      </c>
    </row>
    <row r="9" spans="1:19" x14ac:dyDescent="0.25">
      <c r="A9" s="266" t="s">
        <v>28</v>
      </c>
      <c r="B9" s="7" t="s">
        <v>24</v>
      </c>
      <c r="C9" s="10">
        <v>500</v>
      </c>
      <c r="D9" s="23">
        <v>600</v>
      </c>
      <c r="E9" s="17">
        <f>$C$8*$D$6+C9*5</f>
        <v>4500</v>
      </c>
      <c r="F9" s="17">
        <f>E9/D6/5</f>
        <v>36</v>
      </c>
      <c r="G9" s="20">
        <f>($C$8*$D$6+C9*10)/$D$6/10</f>
        <v>28</v>
      </c>
      <c r="H9" s="19">
        <f>((E9-($D$8*$D$6)-600*5))/(($D$8*$D$6)+600*5)</f>
        <v>9.0909090909090912E-2</v>
      </c>
      <c r="I9" s="17">
        <f>$C$8*$I$6+C9*5</f>
        <v>6500</v>
      </c>
      <c r="J9" s="17">
        <f>I9/$I$6/5</f>
        <v>26</v>
      </c>
      <c r="K9" s="20">
        <f>($C$8*$I$6+C9*10)/$I$6/10</f>
        <v>18</v>
      </c>
      <c r="L9" s="19">
        <f>((I9-($D$8*$I$6)-600*5))/(($D$8*$I$6)+600*5)</f>
        <v>0.23809523809523808</v>
      </c>
      <c r="N9" s="3" t="s">
        <v>29</v>
      </c>
      <c r="O9" s="2">
        <v>900</v>
      </c>
      <c r="P9" s="2">
        <v>900</v>
      </c>
      <c r="Q9" s="2">
        <v>850</v>
      </c>
      <c r="R9" s="2">
        <v>850</v>
      </c>
      <c r="S9" s="5">
        <v>850</v>
      </c>
    </row>
    <row r="10" spans="1:19" ht="14.45" customHeight="1" thickBot="1" x14ac:dyDescent="0.3">
      <c r="A10" s="267"/>
      <c r="B10" s="2" t="s">
        <v>27</v>
      </c>
      <c r="C10" s="10">
        <v>750</v>
      </c>
      <c r="D10" s="23">
        <v>600</v>
      </c>
      <c r="E10" s="17">
        <f>$C$8*$D$6+C10*5</f>
        <v>5750</v>
      </c>
      <c r="F10" s="17">
        <f>E10/25/5</f>
        <v>46</v>
      </c>
      <c r="G10" s="20">
        <f t="shared" ref="G10:G11" si="0">($C$8*$D$6+C10*10)/$D$6/10</f>
        <v>38</v>
      </c>
      <c r="H10" s="19">
        <f t="shared" ref="H10:H11" si="1">((E10-($D$8*$D$6)-600*5))/(($D$8*$D$6)+600*5)</f>
        <v>0.39393939393939392</v>
      </c>
      <c r="I10" s="17">
        <f>$C$8*$I$6+C10*5</f>
        <v>7750</v>
      </c>
      <c r="J10" s="17">
        <f t="shared" ref="J10:J11" si="2">I10/$I$6/5</f>
        <v>31</v>
      </c>
      <c r="K10" s="20">
        <f t="shared" ref="K10:K11" si="3">($C$8*$I$6+C10*10)/$I$6/10</f>
        <v>23</v>
      </c>
      <c r="L10" s="19">
        <f t="shared" ref="L10:L11" si="4">((I10-($D$8*$I$6)-600*5))/(($D$8*$I$6)+600*5)</f>
        <v>0.47619047619047616</v>
      </c>
      <c r="N10" s="15" t="s">
        <v>30</v>
      </c>
      <c r="O10" s="26"/>
      <c r="P10" s="16">
        <v>1000</v>
      </c>
      <c r="Q10" s="16">
        <v>1500</v>
      </c>
      <c r="R10" s="16">
        <v>2000</v>
      </c>
      <c r="S10" s="14">
        <v>3000</v>
      </c>
    </row>
    <row r="11" spans="1:19" ht="14.45" customHeight="1" x14ac:dyDescent="0.25">
      <c r="A11" s="267"/>
      <c r="B11" s="2" t="s">
        <v>31</v>
      </c>
      <c r="C11" s="10">
        <v>900</v>
      </c>
      <c r="D11" s="23">
        <v>600</v>
      </c>
      <c r="E11" s="17">
        <f>$C$8*$D$6+C11*5</f>
        <v>6500</v>
      </c>
      <c r="F11" s="17">
        <f>E11/25/5</f>
        <v>52</v>
      </c>
      <c r="G11" s="20">
        <f t="shared" si="0"/>
        <v>44</v>
      </c>
      <c r="H11" s="19">
        <f t="shared" si="1"/>
        <v>0.5757575757575758</v>
      </c>
      <c r="I11" s="17">
        <f>$C$8*$I$6+C11*5</f>
        <v>8500</v>
      </c>
      <c r="J11" s="17">
        <f t="shared" si="2"/>
        <v>34</v>
      </c>
      <c r="K11" s="20">
        <f t="shared" si="3"/>
        <v>26</v>
      </c>
      <c r="L11" s="19">
        <f t="shared" si="4"/>
        <v>0.61904761904761907</v>
      </c>
    </row>
    <row r="12" spans="1:19" x14ac:dyDescent="0.25">
      <c r="A12" s="267"/>
      <c r="B12" s="11"/>
      <c r="C12" s="12"/>
      <c r="D12" s="12"/>
      <c r="E12" s="11"/>
      <c r="F12" s="11"/>
      <c r="G12" s="11"/>
      <c r="H12" s="11"/>
      <c r="I12" s="11"/>
      <c r="J12" s="11"/>
      <c r="K12" s="11"/>
      <c r="L12" s="11"/>
    </row>
    <row r="13" spans="1:19" x14ac:dyDescent="0.25">
      <c r="A13" s="267"/>
      <c r="B13" s="11"/>
      <c r="C13" s="12"/>
      <c r="D13" s="12"/>
      <c r="E13" s="11"/>
      <c r="F13" s="11"/>
      <c r="G13" s="11"/>
      <c r="H13" s="11"/>
      <c r="I13" s="11"/>
      <c r="J13" s="11"/>
      <c r="K13" s="11"/>
      <c r="L13" s="11"/>
    </row>
    <row r="14" spans="1:19" ht="15.75" thickBot="1" x14ac:dyDescent="0.3">
      <c r="A14" s="268"/>
      <c r="B14" s="11"/>
      <c r="C14" s="13"/>
      <c r="D14" s="13"/>
      <c r="E14" s="11"/>
      <c r="F14" s="11"/>
      <c r="G14" s="11"/>
      <c r="H14" s="11"/>
      <c r="I14" s="11"/>
      <c r="J14" s="11"/>
      <c r="K14" s="11"/>
      <c r="L14" s="11"/>
    </row>
    <row r="17" spans="1:15" ht="28.5" x14ac:dyDescent="0.45">
      <c r="C17" s="259" t="s">
        <v>32</v>
      </c>
      <c r="D17" s="260"/>
      <c r="E17" s="260"/>
      <c r="F17" s="260"/>
      <c r="G17" s="260"/>
      <c r="H17" s="260"/>
      <c r="I17" s="260"/>
      <c r="J17" s="260"/>
      <c r="K17" s="260"/>
      <c r="L17" s="21"/>
    </row>
    <row r="18" spans="1:15" x14ac:dyDescent="0.25">
      <c r="C18" s="18" t="s">
        <v>14</v>
      </c>
      <c r="D18" s="261">
        <v>50</v>
      </c>
      <c r="E18" s="262"/>
      <c r="F18" s="262"/>
      <c r="G18" s="262"/>
      <c r="H18" s="263"/>
      <c r="I18" s="264">
        <v>100</v>
      </c>
      <c r="J18" s="265"/>
      <c r="K18" s="265"/>
      <c r="L18" s="265"/>
    </row>
    <row r="19" spans="1:15" x14ac:dyDescent="0.25">
      <c r="C19" s="9" t="s">
        <v>16</v>
      </c>
      <c r="D19" s="23" t="s">
        <v>17</v>
      </c>
      <c r="E19" s="17" t="s">
        <v>22</v>
      </c>
      <c r="F19" s="17" t="s">
        <v>19</v>
      </c>
      <c r="G19" s="17" t="s">
        <v>20</v>
      </c>
      <c r="H19" s="17" t="s">
        <v>21</v>
      </c>
      <c r="I19" s="17" t="s">
        <v>33</v>
      </c>
      <c r="J19" s="17" t="s">
        <v>19</v>
      </c>
      <c r="K19" s="17" t="s">
        <v>20</v>
      </c>
      <c r="L19" s="8" t="s">
        <v>23</v>
      </c>
    </row>
    <row r="20" spans="1:15" x14ac:dyDescent="0.25">
      <c r="A20" s="7" t="s">
        <v>25</v>
      </c>
      <c r="B20" s="2" t="s">
        <v>26</v>
      </c>
      <c r="C20" s="22">
        <v>70</v>
      </c>
      <c r="D20" s="23">
        <v>45</v>
      </c>
      <c r="E20" s="11"/>
      <c r="F20" s="11"/>
      <c r="G20" s="11"/>
      <c r="H20" s="11"/>
      <c r="I20" s="11"/>
      <c r="J20" s="11"/>
      <c r="K20" s="11"/>
      <c r="L20" s="11"/>
      <c r="O20" s="6" t="s">
        <v>34</v>
      </c>
    </row>
    <row r="21" spans="1:15" x14ac:dyDescent="0.25">
      <c r="A21" s="266" t="s">
        <v>28</v>
      </c>
      <c r="B21" s="7" t="s">
        <v>24</v>
      </c>
      <c r="C21" s="10">
        <v>500</v>
      </c>
      <c r="D21" s="23">
        <v>600</v>
      </c>
      <c r="E21" s="17">
        <f>$C$20*$D$18+C21*5</f>
        <v>6000</v>
      </c>
      <c r="F21" s="17">
        <f>E21/D18/5</f>
        <v>24</v>
      </c>
      <c r="G21" s="20">
        <f>($C$20*$D$18+C21*10)/$D$18/10</f>
        <v>17</v>
      </c>
      <c r="H21" s="19">
        <f>((E21-($D$20*$D$18)-600*5))/(($D$20*$D$18)+600*5)</f>
        <v>0.14285714285714285</v>
      </c>
      <c r="I21" s="17">
        <f>$C$20*$I$18+C21*5</f>
        <v>9500</v>
      </c>
      <c r="J21" s="17">
        <f>I21/$I$18/5</f>
        <v>19</v>
      </c>
      <c r="K21" s="20">
        <f>($C$20*$I$18+C21*10)/$I$18/10</f>
        <v>12</v>
      </c>
      <c r="L21" s="19">
        <f>((I21-(50*$I$18)-600*5))/(($D$20*$I$18)+600*5)</f>
        <v>0.2</v>
      </c>
    </row>
    <row r="22" spans="1:15" x14ac:dyDescent="0.25">
      <c r="A22" s="267"/>
      <c r="B22" s="2" t="s">
        <v>27</v>
      </c>
      <c r="C22" s="10">
        <v>650</v>
      </c>
      <c r="D22" s="23">
        <v>600</v>
      </c>
      <c r="E22" s="17">
        <f>$C$20*$D$18+C22*5</f>
        <v>6750</v>
      </c>
      <c r="F22" s="17">
        <f>E22/D18/5</f>
        <v>27</v>
      </c>
      <c r="G22" s="20">
        <f t="shared" ref="G22:G24" si="5">($C$20*$D$18+C22*10)/$D$18/10</f>
        <v>20</v>
      </c>
      <c r="H22" s="19">
        <f t="shared" ref="H22:H24" si="6">((E22-($D$20*$D$18)-600*5))/(($D$20*$D$18)+600*5)</f>
        <v>0.2857142857142857</v>
      </c>
      <c r="I22" s="17">
        <f>$C$20*$I$18+C22*5</f>
        <v>10250</v>
      </c>
      <c r="J22" s="17">
        <f t="shared" ref="J22:J24" si="7">I22/$I$18/5</f>
        <v>20.5</v>
      </c>
      <c r="K22" s="20">
        <f t="shared" ref="K22:K24" si="8">($C$20*$I$18+C22*10)/$I$18/10</f>
        <v>13.5</v>
      </c>
      <c r="L22" s="19">
        <f t="shared" ref="L22:L24" si="9">((I22-(50*$I$18)-600*5))/(($D$20*$I$18)+600*5)</f>
        <v>0.3</v>
      </c>
    </row>
    <row r="23" spans="1:15" x14ac:dyDescent="0.25">
      <c r="A23" s="267"/>
      <c r="B23" s="2" t="s">
        <v>29</v>
      </c>
      <c r="C23" s="10">
        <v>900</v>
      </c>
      <c r="D23" s="23">
        <v>600</v>
      </c>
      <c r="E23" s="17">
        <f>$C$20*$D$18+C23*5</f>
        <v>8000</v>
      </c>
      <c r="F23" s="17">
        <f>E23/D18/5</f>
        <v>32</v>
      </c>
      <c r="G23" s="20">
        <f t="shared" si="5"/>
        <v>25</v>
      </c>
      <c r="H23" s="19">
        <f t="shared" si="6"/>
        <v>0.52380952380952384</v>
      </c>
      <c r="I23" s="17">
        <f>$C$20*$I$18+C23*5</f>
        <v>11500</v>
      </c>
      <c r="J23" s="17">
        <f t="shared" si="7"/>
        <v>23</v>
      </c>
      <c r="K23" s="20">
        <f t="shared" si="8"/>
        <v>16</v>
      </c>
      <c r="L23" s="19">
        <f t="shared" si="9"/>
        <v>0.46666666666666667</v>
      </c>
    </row>
    <row r="24" spans="1:15" x14ac:dyDescent="0.25">
      <c r="A24" s="267"/>
      <c r="B24" s="2" t="s">
        <v>30</v>
      </c>
      <c r="C24" s="10">
        <v>1000</v>
      </c>
      <c r="D24" s="23">
        <v>600</v>
      </c>
      <c r="E24" s="17">
        <f>$C$20*$D$18+C24*5</f>
        <v>8500</v>
      </c>
      <c r="F24" s="17">
        <f>E24/D18/5</f>
        <v>34</v>
      </c>
      <c r="G24" s="20">
        <f t="shared" si="5"/>
        <v>27</v>
      </c>
      <c r="H24" s="19">
        <f t="shared" si="6"/>
        <v>0.61904761904761907</v>
      </c>
      <c r="I24" s="17">
        <f>$C$20*$I$18+C24*5</f>
        <v>12000</v>
      </c>
      <c r="J24" s="17">
        <f t="shared" si="7"/>
        <v>24</v>
      </c>
      <c r="K24" s="20">
        <f t="shared" si="8"/>
        <v>17</v>
      </c>
      <c r="L24" s="19">
        <f t="shared" si="9"/>
        <v>0.53333333333333333</v>
      </c>
    </row>
    <row r="25" spans="1:15" ht="15.75" thickBot="1" x14ac:dyDescent="0.3">
      <c r="A25" s="268"/>
      <c r="B25" s="11"/>
      <c r="C25" s="13"/>
      <c r="D25" s="13"/>
      <c r="E25" s="11"/>
      <c r="F25" s="11"/>
      <c r="G25" s="11"/>
      <c r="H25" s="11"/>
      <c r="I25" s="11"/>
      <c r="J25" s="11"/>
      <c r="K25" s="11"/>
      <c r="L25" s="11"/>
    </row>
    <row r="28" spans="1:15" ht="28.5" x14ac:dyDescent="0.45">
      <c r="C28" s="259" t="s">
        <v>35</v>
      </c>
      <c r="D28" s="260"/>
      <c r="E28" s="260"/>
      <c r="F28" s="260"/>
      <c r="G28" s="260"/>
      <c r="H28" s="260"/>
      <c r="I28" s="260"/>
      <c r="J28" s="260"/>
      <c r="K28" s="260"/>
      <c r="L28" s="21"/>
    </row>
    <row r="29" spans="1:15" x14ac:dyDescent="0.25">
      <c r="C29" s="18" t="s">
        <v>14</v>
      </c>
      <c r="D29" s="261">
        <v>100</v>
      </c>
      <c r="E29" s="262"/>
      <c r="F29" s="262"/>
      <c r="G29" s="262"/>
      <c r="H29" s="263"/>
      <c r="I29" s="264">
        <v>200</v>
      </c>
      <c r="J29" s="265"/>
      <c r="K29" s="265"/>
      <c r="L29" s="265"/>
    </row>
    <row r="30" spans="1:15" x14ac:dyDescent="0.25">
      <c r="C30" s="9" t="s">
        <v>16</v>
      </c>
      <c r="D30" s="23" t="s">
        <v>17</v>
      </c>
      <c r="E30" s="17" t="s">
        <v>33</v>
      </c>
      <c r="F30" s="17" t="s">
        <v>19</v>
      </c>
      <c r="G30" s="17" t="s">
        <v>20</v>
      </c>
      <c r="H30" s="17" t="s">
        <v>21</v>
      </c>
      <c r="I30" s="17" t="s">
        <v>36</v>
      </c>
      <c r="J30" s="17" t="s">
        <v>19</v>
      </c>
      <c r="K30" s="17" t="s">
        <v>20</v>
      </c>
      <c r="L30" s="8" t="s">
        <v>23</v>
      </c>
    </row>
    <row r="31" spans="1:15" x14ac:dyDescent="0.25">
      <c r="A31" s="7" t="s">
        <v>25</v>
      </c>
      <c r="B31" s="2" t="s">
        <v>26</v>
      </c>
      <c r="C31" s="22">
        <v>65</v>
      </c>
      <c r="D31" s="23">
        <v>45</v>
      </c>
      <c r="E31" s="11"/>
      <c r="F31" s="11"/>
      <c r="G31" s="11"/>
      <c r="H31" s="11"/>
      <c r="I31" s="11"/>
      <c r="J31" s="11"/>
      <c r="K31" s="11"/>
      <c r="L31" s="11"/>
    </row>
    <row r="32" spans="1:15" x14ac:dyDescent="0.25">
      <c r="A32" s="266" t="s">
        <v>28</v>
      </c>
      <c r="B32" s="7" t="s">
        <v>24</v>
      </c>
      <c r="C32" s="10">
        <v>500</v>
      </c>
      <c r="D32" s="23">
        <v>600</v>
      </c>
      <c r="E32" s="17">
        <f>$C$31*$D$29+C32*5</f>
        <v>9000</v>
      </c>
      <c r="F32" s="17">
        <f>E32/D29/5</f>
        <v>18</v>
      </c>
      <c r="G32" s="20">
        <f>($C$31*$D$29+C32*10)/$D$29/10</f>
        <v>11.5</v>
      </c>
      <c r="H32" s="19">
        <f>((E32-($D$8*$D$29)-600*5))/(($D$8*$D$29)+600*5)</f>
        <v>0.2</v>
      </c>
      <c r="I32" s="17">
        <f>$C$31*$I$29+C32*5</f>
        <v>15500</v>
      </c>
      <c r="J32" s="17">
        <f>I32/$I$29/5</f>
        <v>15.5</v>
      </c>
      <c r="K32" s="20">
        <f>(($C$31*$I$29+C32*10)/$I$29)/10</f>
        <v>9</v>
      </c>
      <c r="L32" s="19">
        <f>((I32-($D$31*$I$29)-600*5))/(($D$31*$I$29)+600*5)</f>
        <v>0.29166666666666669</v>
      </c>
    </row>
    <row r="33" spans="1:12" x14ac:dyDescent="0.25">
      <c r="A33" s="267"/>
      <c r="B33" s="2" t="s">
        <v>27</v>
      </c>
      <c r="C33" s="10">
        <v>650</v>
      </c>
      <c r="D33" s="23">
        <v>600</v>
      </c>
      <c r="E33" s="17">
        <f>$C$31*$D$29+C33*5</f>
        <v>9750</v>
      </c>
      <c r="F33" s="17">
        <f>E33/D29/5</f>
        <v>19.5</v>
      </c>
      <c r="G33" s="20">
        <f t="shared" ref="G33:G35" si="10">($C$31*$D$29+C33*10)/$D$29/10</f>
        <v>13</v>
      </c>
      <c r="H33" s="19">
        <f t="shared" ref="H33:H35" si="11">((E33-($D$8*$D$29)-600*5))/(($D$8*$D$29)+600*5)</f>
        <v>0.3</v>
      </c>
      <c r="I33" s="17">
        <f t="shared" ref="I33:I35" si="12">$C$31*$I$29+C33*5</f>
        <v>16250</v>
      </c>
      <c r="J33" s="17">
        <f t="shared" ref="J33:J35" si="13">I33/$I$29/5</f>
        <v>16.25</v>
      </c>
      <c r="K33" s="20">
        <f t="shared" ref="K33:K35" si="14">(($C$31*$I$29+C33*10)/$I$29)/10</f>
        <v>9.75</v>
      </c>
      <c r="L33" s="19">
        <f t="shared" ref="L33:L35" si="15">((I33-($D$31*$I$29)-600*5))/(($D$31*$I$29)+600*5)</f>
        <v>0.35416666666666669</v>
      </c>
    </row>
    <row r="34" spans="1:12" x14ac:dyDescent="0.25">
      <c r="A34" s="267"/>
      <c r="B34" s="2" t="s">
        <v>29</v>
      </c>
      <c r="C34" s="10">
        <v>850</v>
      </c>
      <c r="D34" s="23">
        <v>600</v>
      </c>
      <c r="E34" s="17">
        <f>$C$31*$D$29+C34*5</f>
        <v>10750</v>
      </c>
      <c r="F34" s="17">
        <f>E34/D29/5</f>
        <v>21.5</v>
      </c>
      <c r="G34" s="20">
        <f t="shared" si="10"/>
        <v>15</v>
      </c>
      <c r="H34" s="19">
        <f t="shared" si="11"/>
        <v>0.43333333333333335</v>
      </c>
      <c r="I34" s="17">
        <f t="shared" si="12"/>
        <v>17250</v>
      </c>
      <c r="J34" s="17">
        <f t="shared" si="13"/>
        <v>17.25</v>
      </c>
      <c r="K34" s="20">
        <f t="shared" si="14"/>
        <v>10.75</v>
      </c>
      <c r="L34" s="19">
        <f t="shared" si="15"/>
        <v>0.4375</v>
      </c>
    </row>
    <row r="35" spans="1:12" x14ac:dyDescent="0.25">
      <c r="A35" s="267"/>
      <c r="B35" s="2" t="s">
        <v>30</v>
      </c>
      <c r="C35" s="10">
        <v>1500</v>
      </c>
      <c r="D35" s="23">
        <v>600</v>
      </c>
      <c r="E35" s="17">
        <f>$C$31*$D$29+C35*5</f>
        <v>14000</v>
      </c>
      <c r="F35" s="17">
        <f>E35/D29/5</f>
        <v>28</v>
      </c>
      <c r="G35" s="20">
        <f t="shared" si="10"/>
        <v>21.5</v>
      </c>
      <c r="H35" s="19">
        <f t="shared" si="11"/>
        <v>0.8666666666666667</v>
      </c>
      <c r="I35" s="17">
        <f t="shared" si="12"/>
        <v>20500</v>
      </c>
      <c r="J35" s="17">
        <f t="shared" si="13"/>
        <v>20.5</v>
      </c>
      <c r="K35" s="20">
        <f t="shared" si="14"/>
        <v>14</v>
      </c>
      <c r="L35" s="19">
        <f t="shared" si="15"/>
        <v>0.70833333333333337</v>
      </c>
    </row>
    <row r="36" spans="1:12" ht="15.75" thickBot="1" x14ac:dyDescent="0.3">
      <c r="A36" s="268"/>
      <c r="B36" s="11"/>
      <c r="C36" s="13"/>
      <c r="D36" s="13"/>
      <c r="E36" s="11"/>
      <c r="F36" s="11"/>
      <c r="G36" s="11"/>
      <c r="H36" s="11"/>
      <c r="I36" s="11"/>
      <c r="J36" s="11"/>
      <c r="K36" s="11"/>
      <c r="L36" s="11"/>
    </row>
    <row r="39" spans="1:12" ht="28.5" x14ac:dyDescent="0.45">
      <c r="C39" s="259" t="s">
        <v>37</v>
      </c>
      <c r="D39" s="260"/>
      <c r="E39" s="260"/>
      <c r="F39" s="260"/>
      <c r="G39" s="260"/>
      <c r="H39" s="260"/>
      <c r="I39" s="260"/>
      <c r="J39" s="260"/>
      <c r="K39" s="260"/>
      <c r="L39" s="21"/>
    </row>
    <row r="40" spans="1:12" x14ac:dyDescent="0.25">
      <c r="C40" s="18" t="s">
        <v>14</v>
      </c>
      <c r="D40" s="261">
        <v>300</v>
      </c>
      <c r="E40" s="262"/>
      <c r="F40" s="262"/>
      <c r="G40" s="262"/>
      <c r="H40" s="263"/>
      <c r="I40" s="264">
        <v>500</v>
      </c>
      <c r="J40" s="265"/>
      <c r="K40" s="265"/>
      <c r="L40" s="265"/>
    </row>
    <row r="41" spans="1:12" x14ac:dyDescent="0.25">
      <c r="C41" s="9" t="s">
        <v>16</v>
      </c>
      <c r="D41" s="23" t="s">
        <v>17</v>
      </c>
      <c r="E41" s="17" t="s">
        <v>36</v>
      </c>
      <c r="F41" s="17" t="s">
        <v>19</v>
      </c>
      <c r="G41" s="17" t="s">
        <v>20</v>
      </c>
      <c r="H41" s="17" t="s">
        <v>21</v>
      </c>
      <c r="I41" s="17" t="s">
        <v>38</v>
      </c>
      <c r="J41" s="17" t="s">
        <v>19</v>
      </c>
      <c r="K41" s="17" t="s">
        <v>20</v>
      </c>
      <c r="L41" s="8" t="s">
        <v>23</v>
      </c>
    </row>
    <row r="42" spans="1:12" x14ac:dyDescent="0.25">
      <c r="A42" s="7" t="s">
        <v>25</v>
      </c>
      <c r="B42" s="2" t="s">
        <v>26</v>
      </c>
      <c r="C42" s="22">
        <v>60</v>
      </c>
      <c r="D42" s="23">
        <v>45</v>
      </c>
      <c r="E42" s="11"/>
      <c r="F42" s="11"/>
      <c r="G42" s="11"/>
      <c r="H42" s="11"/>
      <c r="I42" s="11"/>
      <c r="J42" s="11"/>
      <c r="K42" s="11"/>
      <c r="L42" s="11"/>
    </row>
    <row r="43" spans="1:12" x14ac:dyDescent="0.25">
      <c r="A43" s="266" t="s">
        <v>28</v>
      </c>
      <c r="B43" s="7" t="s">
        <v>24</v>
      </c>
      <c r="C43" s="10">
        <v>500</v>
      </c>
      <c r="D43" s="23">
        <v>600</v>
      </c>
      <c r="E43" s="17">
        <f>$C$42*$D$40+C43*5</f>
        <v>20500</v>
      </c>
      <c r="F43" s="17">
        <f>E43/D40/5</f>
        <v>13.666666666666666</v>
      </c>
      <c r="G43" s="20">
        <f>($C$20*$D$40+C43*10)/$D$40/10</f>
        <v>8.6666666666666679</v>
      </c>
      <c r="H43" s="19">
        <f>((E43-($D$8*$D$40)-600*5))/(($D$8*$D$40)+600*5)</f>
        <v>0.24242424242424243</v>
      </c>
      <c r="I43" s="17">
        <f>$C$42*$I$40+C43*5</f>
        <v>32500</v>
      </c>
      <c r="J43" s="17">
        <f>I43/$I$40/5</f>
        <v>13</v>
      </c>
      <c r="K43" s="20">
        <f>($C$42*$I$40+C43*10)/$I$40/10</f>
        <v>7</v>
      </c>
      <c r="L43" s="19">
        <f>((I43-($D$42*$I$40)-600*5))/(($D$42*$I$40)+600*5)</f>
        <v>0.27450980392156865</v>
      </c>
    </row>
    <row r="44" spans="1:12" x14ac:dyDescent="0.25">
      <c r="A44" s="267"/>
      <c r="B44" s="2" t="s">
        <v>27</v>
      </c>
      <c r="C44" s="10">
        <v>650</v>
      </c>
      <c r="D44" s="23">
        <v>600</v>
      </c>
      <c r="E44" s="17">
        <f t="shared" ref="E44:E46" si="16">$C$42*$D$40+C44*5</f>
        <v>21250</v>
      </c>
      <c r="F44" s="17">
        <f>E44/D40/5</f>
        <v>14.166666666666666</v>
      </c>
      <c r="G44" s="20">
        <f t="shared" ref="G44:G46" si="17">($C$20*$D$40+C44*10)/$D$40/10</f>
        <v>9.1666666666666679</v>
      </c>
      <c r="H44" s="19">
        <f t="shared" ref="H44:H46" si="18">((E44-($D$8*$D$40)-600*5))/(($D$8*$D$40)+600*5)</f>
        <v>0.2878787878787879</v>
      </c>
      <c r="I44" s="17">
        <f t="shared" ref="I44:I46" si="19">$C$42*$I$40+C44*5</f>
        <v>33250</v>
      </c>
      <c r="J44" s="17">
        <f t="shared" ref="J44:J46" si="20">I44/$I$40/5</f>
        <v>13.3</v>
      </c>
      <c r="K44" s="20">
        <f t="shared" ref="K44:K46" si="21">($C$42*$I$40+C44*10)/$I$40/10</f>
        <v>7.3</v>
      </c>
      <c r="L44" s="19">
        <f t="shared" ref="L44:L46" si="22">((I44-($D$42*$I$40)-600*5))/(($D$42*$I$40)+600*5)</f>
        <v>0.30392156862745096</v>
      </c>
    </row>
    <row r="45" spans="1:12" x14ac:dyDescent="0.25">
      <c r="A45" s="267"/>
      <c r="B45" s="2" t="s">
        <v>29</v>
      </c>
      <c r="C45" s="10">
        <v>850</v>
      </c>
      <c r="D45" s="23">
        <v>600</v>
      </c>
      <c r="E45" s="17">
        <f t="shared" si="16"/>
        <v>22250</v>
      </c>
      <c r="F45" s="17">
        <f>E45/D40/5</f>
        <v>14.833333333333334</v>
      </c>
      <c r="G45" s="20">
        <f t="shared" si="17"/>
        <v>9.8333333333333321</v>
      </c>
      <c r="H45" s="19">
        <f t="shared" si="18"/>
        <v>0.34848484848484851</v>
      </c>
      <c r="I45" s="17">
        <f t="shared" si="19"/>
        <v>34250</v>
      </c>
      <c r="J45" s="17">
        <f t="shared" si="20"/>
        <v>13.7</v>
      </c>
      <c r="K45" s="20">
        <f t="shared" si="21"/>
        <v>7.7</v>
      </c>
      <c r="L45" s="19">
        <f t="shared" si="22"/>
        <v>0.34313725490196079</v>
      </c>
    </row>
    <row r="46" spans="1:12" x14ac:dyDescent="0.25">
      <c r="A46" s="267"/>
      <c r="B46" s="2" t="s">
        <v>30</v>
      </c>
      <c r="C46" s="10">
        <v>2000</v>
      </c>
      <c r="D46" s="23">
        <v>600</v>
      </c>
      <c r="E46" s="17">
        <f t="shared" si="16"/>
        <v>28000</v>
      </c>
      <c r="F46" s="17">
        <f>E46/D40/5</f>
        <v>18.666666666666664</v>
      </c>
      <c r="G46" s="20">
        <f t="shared" si="17"/>
        <v>13.666666666666666</v>
      </c>
      <c r="H46" s="19">
        <f t="shared" si="18"/>
        <v>0.69696969696969702</v>
      </c>
      <c r="I46" s="17">
        <f t="shared" si="19"/>
        <v>40000</v>
      </c>
      <c r="J46" s="17">
        <f t="shared" si="20"/>
        <v>16</v>
      </c>
      <c r="K46" s="20">
        <f t="shared" si="21"/>
        <v>10</v>
      </c>
      <c r="L46" s="19">
        <f t="shared" si="22"/>
        <v>0.56862745098039214</v>
      </c>
    </row>
    <row r="47" spans="1:12" ht="15.75" thickBot="1" x14ac:dyDescent="0.3">
      <c r="A47" s="268"/>
      <c r="B47" s="11"/>
      <c r="C47" s="13"/>
      <c r="D47" s="13"/>
      <c r="E47" s="11"/>
      <c r="F47" s="11"/>
      <c r="G47" s="11"/>
      <c r="H47" s="11"/>
      <c r="I47" s="11"/>
      <c r="J47" s="11"/>
      <c r="K47" s="11"/>
      <c r="L47" s="11"/>
    </row>
    <row r="50" spans="1:12" ht="28.5" x14ac:dyDescent="0.45">
      <c r="C50" s="259" t="s">
        <v>39</v>
      </c>
      <c r="D50" s="260"/>
      <c r="E50" s="260"/>
      <c r="F50" s="260"/>
      <c r="G50" s="260"/>
      <c r="H50" s="260"/>
      <c r="I50" s="260"/>
      <c r="J50" s="260"/>
      <c r="K50" s="260"/>
      <c r="L50" s="21"/>
    </row>
    <row r="51" spans="1:12" x14ac:dyDescent="0.25">
      <c r="C51" s="18" t="s">
        <v>14</v>
      </c>
      <c r="D51" s="261">
        <v>500</v>
      </c>
      <c r="E51" s="262"/>
      <c r="F51" s="262"/>
      <c r="G51" s="262"/>
      <c r="H51" s="263"/>
      <c r="I51" s="264">
        <v>1000</v>
      </c>
      <c r="J51" s="265"/>
      <c r="K51" s="265"/>
      <c r="L51" s="265"/>
    </row>
    <row r="52" spans="1:12" x14ac:dyDescent="0.25">
      <c r="C52" s="9" t="s">
        <v>16</v>
      </c>
      <c r="D52" s="23" t="s">
        <v>17</v>
      </c>
      <c r="E52" s="17" t="s">
        <v>38</v>
      </c>
      <c r="F52" s="17" t="s">
        <v>19</v>
      </c>
      <c r="G52" s="17" t="s">
        <v>20</v>
      </c>
      <c r="H52" s="17" t="s">
        <v>21</v>
      </c>
      <c r="I52" s="17" t="s">
        <v>40</v>
      </c>
      <c r="J52" s="17" t="s">
        <v>19</v>
      </c>
      <c r="K52" s="17" t="s">
        <v>20</v>
      </c>
      <c r="L52" s="8" t="s">
        <v>23</v>
      </c>
    </row>
    <row r="53" spans="1:12" x14ac:dyDescent="0.25">
      <c r="A53" s="7" t="s">
        <v>25</v>
      </c>
      <c r="B53" s="2" t="s">
        <v>26</v>
      </c>
      <c r="C53" s="22">
        <v>55</v>
      </c>
      <c r="D53" s="23">
        <v>45</v>
      </c>
      <c r="E53" s="11"/>
      <c r="F53" s="11"/>
      <c r="G53" s="11"/>
      <c r="H53" s="11"/>
      <c r="I53" s="11"/>
      <c r="J53" s="11"/>
      <c r="K53" s="11"/>
      <c r="L53" s="11"/>
    </row>
    <row r="54" spans="1:12" x14ac:dyDescent="0.25">
      <c r="A54" s="266" t="s">
        <v>28</v>
      </c>
      <c r="B54" s="7" t="s">
        <v>24</v>
      </c>
      <c r="C54" s="10">
        <v>500</v>
      </c>
      <c r="D54" s="23">
        <v>600</v>
      </c>
      <c r="E54" s="17">
        <f>$C$53*$D$51+C54*5</f>
        <v>30000</v>
      </c>
      <c r="F54" s="17">
        <f>E54/D51/5</f>
        <v>12</v>
      </c>
      <c r="G54" s="20">
        <f>($C$20*$D$51+C54*10)/$D$51/10</f>
        <v>8</v>
      </c>
      <c r="H54" s="19">
        <f>((E54-($D$53*$D$51)-600*5))/(($D$53*$D$51)+600*5)</f>
        <v>0.17647058823529413</v>
      </c>
      <c r="I54" s="17">
        <f>$C$53*$I$51+C54*5</f>
        <v>57500</v>
      </c>
      <c r="J54" s="17">
        <f>I54/$I$51/5</f>
        <v>11.5</v>
      </c>
      <c r="K54" s="20">
        <f>($C$53*$I$51+C54*10)/$I$51/10</f>
        <v>6</v>
      </c>
      <c r="L54" s="19">
        <f>((I54-($D$53*$I$51)-600*5))/(($D$53*$I$51)+600*5)</f>
        <v>0.19791666666666666</v>
      </c>
    </row>
    <row r="55" spans="1:12" x14ac:dyDescent="0.25">
      <c r="A55" s="267"/>
      <c r="B55" s="2" t="s">
        <v>27</v>
      </c>
      <c r="C55" s="10">
        <v>650</v>
      </c>
      <c r="D55" s="23">
        <v>600</v>
      </c>
      <c r="E55" s="17">
        <f t="shared" ref="E55:E57" si="23">$C$53*$D$51+C55*5</f>
        <v>30750</v>
      </c>
      <c r="F55" s="17">
        <f>E55/D51/5</f>
        <v>12.3</v>
      </c>
      <c r="G55" s="20">
        <f t="shared" ref="G55:G57" si="24">($C$20*$D$51+C55*10)/$D$51/10</f>
        <v>8.3000000000000007</v>
      </c>
      <c r="H55" s="19">
        <f t="shared" ref="H55:H57" si="25">((E55-($D$53*$D$51)-600*5))/(($D$53*$D$51)+600*5)</f>
        <v>0.20588235294117646</v>
      </c>
      <c r="I55" s="17">
        <f t="shared" ref="I55:I57" si="26">$C$53*$I$51+C55*5</f>
        <v>58250</v>
      </c>
      <c r="J55" s="17">
        <f t="shared" ref="J55:J57" si="27">I55/$I$51/5</f>
        <v>11.65</v>
      </c>
      <c r="K55" s="20">
        <f t="shared" ref="K55:K57" si="28">($C$53*$I$51+C55*10)/$I$51/10</f>
        <v>6.15</v>
      </c>
      <c r="L55" s="19">
        <f t="shared" ref="L55:L57" si="29">((I55-($D$53*$I$51)-600*5))/(($D$53*$I$51)+600*5)</f>
        <v>0.21354166666666666</v>
      </c>
    </row>
    <row r="56" spans="1:12" x14ac:dyDescent="0.25">
      <c r="A56" s="267"/>
      <c r="B56" s="2" t="s">
        <v>29</v>
      </c>
      <c r="C56" s="10">
        <v>850</v>
      </c>
      <c r="D56" s="23">
        <v>600</v>
      </c>
      <c r="E56" s="17">
        <f t="shared" si="23"/>
        <v>31750</v>
      </c>
      <c r="F56" s="17">
        <f>E56/D51/5</f>
        <v>12.7</v>
      </c>
      <c r="G56" s="20">
        <f t="shared" si="24"/>
        <v>8.6999999999999993</v>
      </c>
      <c r="H56" s="19">
        <f t="shared" si="25"/>
        <v>0.24509803921568626</v>
      </c>
      <c r="I56" s="17">
        <f t="shared" si="26"/>
        <v>59250</v>
      </c>
      <c r="J56" s="17">
        <f t="shared" si="27"/>
        <v>11.85</v>
      </c>
      <c r="K56" s="20">
        <f t="shared" si="28"/>
        <v>6.35</v>
      </c>
      <c r="L56" s="19">
        <f t="shared" si="29"/>
        <v>0.234375</v>
      </c>
    </row>
    <row r="57" spans="1:12" x14ac:dyDescent="0.25">
      <c r="A57" s="267"/>
      <c r="B57" s="2" t="s">
        <v>30</v>
      </c>
      <c r="C57" s="10">
        <v>3000</v>
      </c>
      <c r="D57" s="23">
        <v>600</v>
      </c>
      <c r="E57" s="17">
        <f t="shared" si="23"/>
        <v>42500</v>
      </c>
      <c r="F57" s="17">
        <f>E57/D51/5</f>
        <v>17</v>
      </c>
      <c r="G57" s="20">
        <f t="shared" si="24"/>
        <v>13</v>
      </c>
      <c r="H57" s="19">
        <f t="shared" si="25"/>
        <v>0.66666666666666663</v>
      </c>
      <c r="I57" s="17">
        <f t="shared" si="26"/>
        <v>70000</v>
      </c>
      <c r="J57" s="17">
        <f t="shared" si="27"/>
        <v>14</v>
      </c>
      <c r="K57" s="20">
        <f t="shared" si="28"/>
        <v>8.5</v>
      </c>
      <c r="L57" s="19">
        <f t="shared" si="29"/>
        <v>0.45833333333333331</v>
      </c>
    </row>
    <row r="58" spans="1:12" ht="15.75" thickBot="1" x14ac:dyDescent="0.3">
      <c r="A58" s="268"/>
      <c r="B58" s="11"/>
      <c r="C58" s="13"/>
      <c r="D58" s="13"/>
      <c r="E58" s="11"/>
      <c r="F58" s="11"/>
      <c r="G58" s="11"/>
      <c r="H58" s="11"/>
      <c r="I58" s="11"/>
      <c r="J58" s="11"/>
      <c r="K58" s="11"/>
      <c r="L58" s="11"/>
    </row>
  </sheetData>
  <mergeCells count="21">
    <mergeCell ref="I18:L18"/>
    <mergeCell ref="A21:A25"/>
    <mergeCell ref="A9:A14"/>
    <mergeCell ref="D6:H6"/>
    <mergeCell ref="C5:K5"/>
    <mergeCell ref="O4:S4"/>
    <mergeCell ref="C50:K50"/>
    <mergeCell ref="D51:H51"/>
    <mergeCell ref="I51:L51"/>
    <mergeCell ref="A54:A58"/>
    <mergeCell ref="A32:A36"/>
    <mergeCell ref="C39:K39"/>
    <mergeCell ref="D40:H40"/>
    <mergeCell ref="I40:L40"/>
    <mergeCell ref="A43:A47"/>
    <mergeCell ref="C28:K28"/>
    <mergeCell ref="D29:H29"/>
    <mergeCell ref="I29:L29"/>
    <mergeCell ref="I6:L6"/>
    <mergeCell ref="C17:K17"/>
    <mergeCell ref="D18:H18"/>
  </mergeCells>
  <conditionalFormatting sqref="H9:H11">
    <cfRule type="colorScale" priority="27">
      <colorScale>
        <cfvo type="min"/>
        <cfvo type="max"/>
        <color rgb="FFFFEF9C"/>
        <color rgb="FF63BE7B"/>
      </colorScale>
    </cfRule>
  </conditionalFormatting>
  <conditionalFormatting sqref="H21:H24">
    <cfRule type="colorScale" priority="28">
      <colorScale>
        <cfvo type="min"/>
        <cfvo type="max"/>
        <color rgb="FFFFEF9C"/>
        <color rgb="FF63BE7B"/>
      </colorScale>
    </cfRule>
  </conditionalFormatting>
  <conditionalFormatting sqref="H32:H35">
    <cfRule type="colorScale" priority="29">
      <colorScale>
        <cfvo type="min"/>
        <cfvo type="max"/>
        <color rgb="FFFFEF9C"/>
        <color rgb="FF63BE7B"/>
      </colorScale>
    </cfRule>
  </conditionalFormatting>
  <conditionalFormatting sqref="H43:H46">
    <cfRule type="colorScale" priority="30">
      <colorScale>
        <cfvo type="min"/>
        <cfvo type="max"/>
        <color rgb="FFFFEF9C"/>
        <color rgb="FF63BE7B"/>
      </colorScale>
    </cfRule>
  </conditionalFormatting>
  <conditionalFormatting sqref="H54:H57">
    <cfRule type="colorScale" priority="31">
      <colorScale>
        <cfvo type="min"/>
        <cfvo type="max"/>
        <color rgb="FFFFEF9C"/>
        <color rgb="FF63BE7B"/>
      </colorScale>
    </cfRule>
  </conditionalFormatting>
  <conditionalFormatting sqref="L9:L11">
    <cfRule type="colorScale" priority="24">
      <colorScale>
        <cfvo type="min"/>
        <cfvo type="max"/>
        <color rgb="FFFFEF9C"/>
        <color rgb="FF63BE7B"/>
      </colorScale>
    </cfRule>
  </conditionalFormatting>
  <conditionalFormatting sqref="L21:L24">
    <cfRule type="colorScale" priority="26">
      <colorScale>
        <cfvo type="min"/>
        <cfvo type="max"/>
        <color rgb="FFFFEF9C"/>
        <color rgb="FF63BE7B"/>
      </colorScale>
    </cfRule>
  </conditionalFormatting>
  <conditionalFormatting sqref="L32:L35">
    <cfRule type="colorScale" priority="10">
      <colorScale>
        <cfvo type="min"/>
        <cfvo type="max"/>
        <color rgb="FFFFEF9C"/>
        <color rgb="FF63BE7B"/>
      </colorScale>
    </cfRule>
  </conditionalFormatting>
  <conditionalFormatting sqref="L43:L46">
    <cfRule type="colorScale" priority="8">
      <colorScale>
        <cfvo type="min"/>
        <cfvo type="max"/>
        <color rgb="FFFFEF9C"/>
        <color rgb="FF63BE7B"/>
      </colorScale>
    </cfRule>
  </conditionalFormatting>
  <conditionalFormatting sqref="L54:L57">
    <cfRule type="colorScale" priority="6">
      <colorScale>
        <cfvo type="min"/>
        <cfvo type="max"/>
        <color rgb="FFFFEF9C"/>
        <color rgb="FF63BE7B"/>
      </colorScale>
    </cfRule>
  </conditionalFormatting>
  <conditionalFormatting sqref="O6:S6">
    <cfRule type="colorScale" priority="2">
      <colorScale>
        <cfvo type="min"/>
        <cfvo type="max"/>
        <color rgb="FFFFEF9C"/>
        <color rgb="FF63BE7B"/>
      </colorScale>
    </cfRule>
  </conditionalFormatting>
  <conditionalFormatting sqref="O7:S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AU111"/>
  <sheetViews>
    <sheetView topLeftCell="A4" zoomScaleNormal="100" workbookViewId="0">
      <selection activeCell="G5" sqref="G5:H24"/>
    </sheetView>
  </sheetViews>
  <sheetFormatPr baseColWidth="10" defaultColWidth="11.42578125" defaultRowHeight="15" x14ac:dyDescent="0.25"/>
  <cols>
    <col min="1" max="1" width="10.85546875" style="51" customWidth="1"/>
    <col min="2" max="2" width="37.7109375" style="54" bestFit="1" customWidth="1"/>
    <col min="3" max="3" width="17.28515625" style="54" customWidth="1"/>
    <col min="4" max="4" width="19.42578125" style="54" customWidth="1"/>
    <col min="5" max="5" width="23.140625" style="54" customWidth="1"/>
    <col min="6" max="6" width="10.85546875" style="54"/>
    <col min="7" max="7" width="35.28515625" style="54" customWidth="1"/>
    <col min="8" max="8" width="20.28515625" style="54" customWidth="1"/>
    <col min="9" max="9" width="11.42578125" style="54"/>
    <col min="10" max="10" width="3" style="54" customWidth="1"/>
    <col min="11" max="11" width="11.85546875" style="54" customWidth="1"/>
    <col min="12" max="12" width="27.28515625" style="54" customWidth="1"/>
    <col min="13" max="13" width="15" style="54" customWidth="1"/>
    <col min="14" max="14" width="14.140625" style="54" customWidth="1"/>
    <col min="15" max="32" width="10.85546875" style="51"/>
    <col min="33" max="43" width="11.42578125" style="51"/>
    <col min="44" max="16384" width="11.42578125" style="54"/>
  </cols>
  <sheetData>
    <row r="1" spans="2:14" s="51" customFormat="1" x14ac:dyDescent="0.25"/>
    <row r="2" spans="2:14" s="51" customFormat="1" x14ac:dyDescent="0.25"/>
    <row r="3" spans="2:14" s="51" customFormat="1" x14ac:dyDescent="0.25"/>
    <row r="4" spans="2:14" x14ac:dyDescent="0.25">
      <c r="B4" s="51"/>
      <c r="C4" s="51"/>
      <c r="D4" s="51"/>
      <c r="E4" s="51"/>
      <c r="F4" s="51"/>
      <c r="G4" s="51"/>
      <c r="H4" s="51"/>
      <c r="I4" s="51"/>
      <c r="J4" s="51"/>
      <c r="K4" s="220"/>
      <c r="L4" s="239" t="s">
        <v>210</v>
      </c>
      <c r="M4" s="239" t="s">
        <v>213</v>
      </c>
      <c r="N4" s="239" t="s">
        <v>211</v>
      </c>
    </row>
    <row r="5" spans="2:14" x14ac:dyDescent="0.25">
      <c r="B5" s="51"/>
      <c r="C5" s="51"/>
      <c r="D5" s="51"/>
      <c r="E5" s="51"/>
      <c r="F5" s="51"/>
      <c r="G5" s="307" t="s">
        <v>189</v>
      </c>
      <c r="H5" s="307"/>
      <c r="I5" s="51"/>
      <c r="J5" s="51"/>
      <c r="K5" s="17" t="s">
        <v>205</v>
      </c>
      <c r="L5" s="221">
        <v>2</v>
      </c>
      <c r="M5" s="221">
        <f>L5*$D$10</f>
        <v>500</v>
      </c>
      <c r="N5" s="221">
        <f>IF(M5&lt;=1000,M5,1000)</f>
        <v>500</v>
      </c>
    </row>
    <row r="6" spans="2:14" x14ac:dyDescent="0.25">
      <c r="B6" s="51"/>
      <c r="C6" s="51"/>
      <c r="D6" s="51"/>
      <c r="E6" s="51"/>
      <c r="F6" s="51"/>
      <c r="G6" s="221" t="s">
        <v>190</v>
      </c>
      <c r="H6" s="221" t="s">
        <v>217</v>
      </c>
      <c r="I6" s="51"/>
      <c r="J6" s="51"/>
      <c r="K6" s="17" t="s">
        <v>206</v>
      </c>
      <c r="L6" s="221">
        <v>2</v>
      </c>
      <c r="M6" s="221">
        <f t="shared" ref="M6:M9" si="0">L6*$D$10</f>
        <v>500</v>
      </c>
      <c r="N6" s="221">
        <f t="shared" ref="N6:N9" si="1">IF(M6&lt;=1000,M6,1000)</f>
        <v>500</v>
      </c>
    </row>
    <row r="7" spans="2:14" x14ac:dyDescent="0.25">
      <c r="B7" s="59" t="s">
        <v>187</v>
      </c>
      <c r="C7" s="51"/>
      <c r="D7" s="51"/>
      <c r="E7" s="51"/>
      <c r="F7" s="51"/>
      <c r="G7" s="221" t="s">
        <v>192</v>
      </c>
      <c r="H7" s="221">
        <v>400</v>
      </c>
      <c r="I7" s="51" t="s">
        <v>216</v>
      </c>
      <c r="J7" s="51"/>
      <c r="K7" s="17" t="s">
        <v>207</v>
      </c>
      <c r="L7" s="221">
        <v>2</v>
      </c>
      <c r="M7" s="221">
        <f t="shared" si="0"/>
        <v>500</v>
      </c>
      <c r="N7" s="221">
        <f t="shared" si="1"/>
        <v>500</v>
      </c>
    </row>
    <row r="8" spans="2:14" ht="15.75" thickBot="1" x14ac:dyDescent="0.3">
      <c r="B8" s="51"/>
      <c r="C8" s="51"/>
      <c r="D8" s="51"/>
      <c r="E8" s="51"/>
      <c r="F8" s="51"/>
      <c r="G8" s="221" t="s">
        <v>191</v>
      </c>
      <c r="H8" s="221">
        <v>52</v>
      </c>
      <c r="I8" s="51"/>
      <c r="J8" s="51"/>
      <c r="K8" s="17" t="s">
        <v>208</v>
      </c>
      <c r="L8" s="221">
        <v>0</v>
      </c>
      <c r="M8" s="221">
        <f t="shared" si="0"/>
        <v>0</v>
      </c>
      <c r="N8" s="221">
        <f t="shared" si="1"/>
        <v>0</v>
      </c>
    </row>
    <row r="9" spans="2:14" x14ac:dyDescent="0.25">
      <c r="B9" s="233"/>
      <c r="C9" s="234" t="s">
        <v>188</v>
      </c>
      <c r="D9" s="234" t="s">
        <v>203</v>
      </c>
      <c r="E9" s="235" t="s">
        <v>199</v>
      </c>
      <c r="F9" s="51"/>
      <c r="G9" s="223" t="s">
        <v>215</v>
      </c>
      <c r="H9" s="224">
        <f>H7/H8</f>
        <v>7.6923076923076925</v>
      </c>
      <c r="I9" s="51"/>
      <c r="J9" s="51"/>
      <c r="K9" s="17" t="s">
        <v>209</v>
      </c>
      <c r="L9" s="221"/>
      <c r="M9" s="221">
        <f t="shared" si="0"/>
        <v>0</v>
      </c>
      <c r="N9" s="221">
        <f t="shared" si="1"/>
        <v>0</v>
      </c>
    </row>
    <row r="10" spans="2:14" x14ac:dyDescent="0.25">
      <c r="B10" s="236" t="s">
        <v>6</v>
      </c>
      <c r="C10" s="225">
        <v>34</v>
      </c>
      <c r="D10" s="308">
        <v>250</v>
      </c>
      <c r="E10" s="310">
        <v>3</v>
      </c>
      <c r="F10" s="51"/>
      <c r="G10" s="221" t="s">
        <v>204</v>
      </c>
      <c r="H10" s="221">
        <v>10</v>
      </c>
      <c r="I10" s="51"/>
      <c r="J10" s="51"/>
      <c r="K10" s="225" t="s">
        <v>212</v>
      </c>
      <c r="L10" s="225">
        <f>SUM(L5:L9)</f>
        <v>6</v>
      </c>
      <c r="M10" s="225">
        <f>SUM(M5:M9)</f>
        <v>1500</v>
      </c>
      <c r="N10" s="225">
        <f>SUM(N5:N9)</f>
        <v>1500</v>
      </c>
    </row>
    <row r="11" spans="2:14" x14ac:dyDescent="0.25">
      <c r="B11" s="236" t="s">
        <v>43</v>
      </c>
      <c r="C11" s="225">
        <v>49</v>
      </c>
      <c r="D11" s="308"/>
      <c r="E11" s="310"/>
      <c r="F11" s="51"/>
      <c r="G11" s="221" t="s">
        <v>214</v>
      </c>
      <c r="H11" s="226">
        <f>H7/H10</f>
        <v>40</v>
      </c>
      <c r="I11" s="51"/>
      <c r="J11" s="51"/>
      <c r="K11" s="51"/>
      <c r="L11" s="51"/>
      <c r="M11" s="51"/>
      <c r="N11" s="51"/>
    </row>
    <row r="12" spans="2:14" x14ac:dyDescent="0.25">
      <c r="B12" s="236" t="s">
        <v>46</v>
      </c>
      <c r="C12" s="225">
        <v>63</v>
      </c>
      <c r="D12" s="308"/>
      <c r="E12" s="310"/>
      <c r="F12" s="51"/>
      <c r="G12" s="221" t="s">
        <v>193</v>
      </c>
      <c r="H12" s="221">
        <v>3</v>
      </c>
      <c r="I12" s="51"/>
      <c r="J12" s="51"/>
      <c r="K12" s="51"/>
      <c r="L12" s="51"/>
      <c r="M12" s="51"/>
      <c r="N12" s="51"/>
    </row>
    <row r="13" spans="2:14" ht="15.75" thickBot="1" x14ac:dyDescent="0.3">
      <c r="B13" s="237" t="s">
        <v>217</v>
      </c>
      <c r="C13" s="238">
        <v>70</v>
      </c>
      <c r="D13" s="309"/>
      <c r="E13" s="311"/>
      <c r="F13" s="51"/>
      <c r="G13" s="51"/>
      <c r="H13" s="51"/>
      <c r="I13" s="51"/>
      <c r="J13" s="51"/>
      <c r="K13" s="51"/>
      <c r="L13" s="51"/>
      <c r="M13" s="51"/>
      <c r="N13" s="51"/>
    </row>
    <row r="14" spans="2:14" x14ac:dyDescent="0.25"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</row>
    <row r="15" spans="2:14" x14ac:dyDescent="0.25">
      <c r="B15" s="51"/>
      <c r="C15" s="51"/>
      <c r="D15" s="51"/>
      <c r="E15" s="51"/>
      <c r="F15" s="51"/>
      <c r="G15" s="217" t="s">
        <v>197</v>
      </c>
      <c r="H15" s="227">
        <f>(IF(H6="STANDARD",C10,1)*IF(H6="CARBONE",C11,1)*IF(H6="PREMIUM",C12,1)*IF(H6="PREMIUM CARBONE",C13,1))*H7+N10+E10*H7*H12</f>
        <v>33100</v>
      </c>
      <c r="I15" s="222" t="s">
        <v>88</v>
      </c>
      <c r="J15" s="51"/>
      <c r="K15" s="51"/>
      <c r="L15" s="51"/>
      <c r="M15" s="51"/>
      <c r="N15" s="51"/>
    </row>
    <row r="16" spans="2:14" x14ac:dyDescent="0.25">
      <c r="B16" s="51"/>
      <c r="C16" s="51"/>
      <c r="D16" s="51"/>
      <c r="E16" s="51"/>
      <c r="F16" s="51"/>
      <c r="G16" s="221" t="s">
        <v>202</v>
      </c>
      <c r="H16" s="228">
        <f>H15/H7</f>
        <v>82.75</v>
      </c>
      <c r="I16" s="222" t="s">
        <v>107</v>
      </c>
      <c r="J16" s="51"/>
      <c r="K16" s="51"/>
      <c r="L16" s="51"/>
      <c r="M16" s="51"/>
      <c r="N16" s="51"/>
    </row>
    <row r="17" spans="2:47" x14ac:dyDescent="0.25">
      <c r="B17" s="216" t="s">
        <v>90</v>
      </c>
      <c r="C17" s="216"/>
      <c r="D17" s="51"/>
      <c r="E17" s="51"/>
      <c r="F17" s="51"/>
      <c r="G17" s="221" t="s">
        <v>195</v>
      </c>
      <c r="H17" s="228">
        <f>H16/5</f>
        <v>16.55</v>
      </c>
      <c r="I17" s="222" t="s">
        <v>196</v>
      </c>
      <c r="J17" s="51"/>
      <c r="K17" s="51"/>
      <c r="L17" s="51"/>
      <c r="M17" s="51"/>
      <c r="N17" s="51"/>
    </row>
    <row r="18" spans="2:47" ht="15.75" x14ac:dyDescent="0.25">
      <c r="B18" s="55" t="s">
        <v>6</v>
      </c>
      <c r="C18" s="55">
        <v>36.200000000000003</v>
      </c>
      <c r="D18" s="51"/>
      <c r="E18" s="51"/>
      <c r="F18" s="51"/>
      <c r="G18" s="229" t="s">
        <v>200</v>
      </c>
      <c r="H18" s="230">
        <f>(H16-(IF(H6="STANDARD",C18,1)*IF(H6="CARBONE",C19,1)*IF(H6="PREMIUM",C20,1)*IF(H6="PREMIUM CARBONE",C21,1)))/H16*100</f>
        <v>36.314199395770395</v>
      </c>
      <c r="I18" s="231" t="s">
        <v>93</v>
      </c>
      <c r="J18" s="51"/>
      <c r="K18" s="51"/>
      <c r="L18" s="51"/>
      <c r="M18" s="51"/>
      <c r="N18" s="51"/>
    </row>
    <row r="19" spans="2:47" x14ac:dyDescent="0.25">
      <c r="B19" s="55" t="s">
        <v>43</v>
      </c>
      <c r="C19" s="55">
        <v>36.9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</row>
    <row r="20" spans="2:47" x14ac:dyDescent="0.25">
      <c r="B20" s="55" t="s">
        <v>218</v>
      </c>
      <c r="C20" s="55">
        <v>47.3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</row>
    <row r="21" spans="2:47" x14ac:dyDescent="0.25">
      <c r="B21" s="55" t="s">
        <v>217</v>
      </c>
      <c r="C21" s="55">
        <v>52.7</v>
      </c>
      <c r="D21" s="51"/>
      <c r="E21" s="51"/>
      <c r="F21" s="51"/>
      <c r="G21" s="218" t="s">
        <v>201</v>
      </c>
      <c r="H21" s="221"/>
      <c r="I21" s="225">
        <v>30</v>
      </c>
      <c r="J21" s="220" t="s">
        <v>93</v>
      </c>
      <c r="K21" s="51"/>
      <c r="L21" s="51"/>
      <c r="M21" s="51"/>
      <c r="N21" s="51"/>
    </row>
    <row r="22" spans="2:47" x14ac:dyDescent="0.25">
      <c r="B22" s="51"/>
      <c r="C22" s="51"/>
      <c r="D22" s="51"/>
      <c r="E22" s="51"/>
      <c r="F22" s="51"/>
      <c r="G22" s="221" t="s">
        <v>198</v>
      </c>
      <c r="H22" s="227">
        <f>H15*((100+I21)/100)</f>
        <v>43030</v>
      </c>
      <c r="I22" s="232" t="s">
        <v>88</v>
      </c>
      <c r="J22" s="232"/>
      <c r="K22" s="51"/>
      <c r="L22" s="51"/>
      <c r="M22" s="51"/>
      <c r="N22" s="51"/>
    </row>
    <row r="23" spans="2:47" x14ac:dyDescent="0.25">
      <c r="B23" s="51"/>
      <c r="C23" s="51"/>
      <c r="D23" s="51"/>
      <c r="E23" s="51"/>
      <c r="F23" s="51"/>
      <c r="G23" s="221" t="s">
        <v>194</v>
      </c>
      <c r="H23" s="228">
        <f>H22/H7</f>
        <v>107.575</v>
      </c>
      <c r="I23" s="232" t="s">
        <v>107</v>
      </c>
      <c r="J23" s="232"/>
      <c r="K23" s="51"/>
      <c r="L23" s="51"/>
      <c r="M23" s="51"/>
      <c r="N23" s="51"/>
    </row>
    <row r="24" spans="2:47" x14ac:dyDescent="0.25">
      <c r="B24" s="51"/>
      <c r="C24" s="51"/>
      <c r="D24" s="51"/>
      <c r="E24" s="51"/>
      <c r="F24" s="51"/>
      <c r="G24" s="221" t="s">
        <v>195</v>
      </c>
      <c r="H24" s="228">
        <f>(H23+(E10*2))/5</f>
        <v>22.715</v>
      </c>
      <c r="I24" s="232" t="s">
        <v>196</v>
      </c>
      <c r="J24" s="232"/>
      <c r="K24" s="51"/>
      <c r="L24" s="51"/>
      <c r="M24" s="51"/>
      <c r="N24" s="51"/>
    </row>
    <row r="25" spans="2:47" x14ac:dyDescent="0.25"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AR25" s="51"/>
      <c r="AS25" s="51"/>
      <c r="AT25" s="51"/>
      <c r="AU25" s="51"/>
    </row>
    <row r="26" spans="2:47" x14ac:dyDescent="0.25"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AR26" s="51"/>
      <c r="AS26" s="51"/>
      <c r="AT26" s="51"/>
      <c r="AU26" s="51"/>
    </row>
    <row r="27" spans="2:47" x14ac:dyDescent="0.25"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AR27" s="51"/>
      <c r="AS27" s="51"/>
      <c r="AT27" s="51"/>
      <c r="AU27" s="51"/>
    </row>
    <row r="28" spans="2:47" x14ac:dyDescent="0.25"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AR28" s="51"/>
      <c r="AS28" s="51"/>
      <c r="AT28" s="51"/>
      <c r="AU28" s="51"/>
    </row>
    <row r="29" spans="2:47" x14ac:dyDescent="0.25"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AR29" s="51"/>
      <c r="AS29" s="51"/>
      <c r="AT29" s="51"/>
      <c r="AU29" s="51"/>
    </row>
    <row r="30" spans="2:47" x14ac:dyDescent="0.25"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AR30" s="51"/>
      <c r="AS30" s="51"/>
      <c r="AT30" s="51"/>
      <c r="AU30" s="51"/>
    </row>
    <row r="31" spans="2:47" x14ac:dyDescent="0.25"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AR31" s="51"/>
      <c r="AS31" s="51"/>
      <c r="AT31" s="51"/>
      <c r="AU31" s="51"/>
    </row>
    <row r="32" spans="2:47" x14ac:dyDescent="0.25"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AR32" s="51"/>
      <c r="AS32" s="51"/>
      <c r="AT32" s="51"/>
      <c r="AU32" s="51"/>
    </row>
    <row r="33" spans="2:47" x14ac:dyDescent="0.25"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AR33" s="51"/>
      <c r="AS33" s="51"/>
      <c r="AT33" s="51"/>
      <c r="AU33" s="51"/>
    </row>
    <row r="34" spans="2:47" x14ac:dyDescent="0.25"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AR34" s="51"/>
      <c r="AS34" s="51"/>
      <c r="AT34" s="51"/>
      <c r="AU34" s="51"/>
    </row>
    <row r="35" spans="2:47" x14ac:dyDescent="0.25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AR35" s="51"/>
      <c r="AS35" s="51"/>
      <c r="AT35" s="51"/>
      <c r="AU35" s="51"/>
    </row>
    <row r="36" spans="2:47" x14ac:dyDescent="0.25"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AR36" s="51"/>
      <c r="AS36" s="51"/>
      <c r="AT36" s="51"/>
      <c r="AU36" s="51"/>
    </row>
    <row r="37" spans="2:47" x14ac:dyDescent="0.25"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AR37" s="51"/>
      <c r="AS37" s="51"/>
      <c r="AT37" s="51"/>
      <c r="AU37" s="51"/>
    </row>
    <row r="38" spans="2:47" x14ac:dyDescent="0.25"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AR38" s="51"/>
      <c r="AS38" s="51"/>
      <c r="AT38" s="51"/>
      <c r="AU38" s="51"/>
    </row>
    <row r="39" spans="2:47" x14ac:dyDescent="0.25"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AR39" s="51"/>
      <c r="AS39" s="51"/>
      <c r="AT39" s="51"/>
      <c r="AU39" s="51"/>
    </row>
    <row r="40" spans="2:47" x14ac:dyDescent="0.25"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AR40" s="51"/>
      <c r="AS40" s="51"/>
      <c r="AT40" s="51"/>
      <c r="AU40" s="51"/>
    </row>
    <row r="41" spans="2:47" x14ac:dyDescent="0.25"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AR41" s="51"/>
      <c r="AS41" s="51"/>
      <c r="AT41" s="51"/>
      <c r="AU41" s="51"/>
    </row>
    <row r="42" spans="2:47" x14ac:dyDescent="0.25"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AR42" s="51"/>
      <c r="AS42" s="51"/>
      <c r="AT42" s="51"/>
      <c r="AU42" s="51"/>
    </row>
    <row r="43" spans="2:47" x14ac:dyDescent="0.25"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AR43" s="51"/>
      <c r="AS43" s="51"/>
      <c r="AT43" s="51"/>
      <c r="AU43" s="51"/>
    </row>
    <row r="44" spans="2:47" x14ac:dyDescent="0.25"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AR44" s="51"/>
      <c r="AS44" s="51"/>
      <c r="AT44" s="51"/>
      <c r="AU44" s="51"/>
    </row>
    <row r="45" spans="2:47" x14ac:dyDescent="0.25"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AR45" s="51"/>
      <c r="AS45" s="51"/>
      <c r="AT45" s="51"/>
      <c r="AU45" s="51"/>
    </row>
    <row r="46" spans="2:47" x14ac:dyDescent="0.25"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AR46" s="51"/>
      <c r="AS46" s="51"/>
      <c r="AT46" s="51"/>
      <c r="AU46" s="51"/>
    </row>
    <row r="47" spans="2:47" x14ac:dyDescent="0.25"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AR47" s="51"/>
      <c r="AS47" s="51"/>
      <c r="AT47" s="51"/>
      <c r="AU47" s="51"/>
    </row>
    <row r="48" spans="2:47" x14ac:dyDescent="0.25"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AR48" s="51"/>
      <c r="AS48" s="51"/>
      <c r="AT48" s="51"/>
      <c r="AU48" s="51"/>
    </row>
    <row r="49" spans="2:47" x14ac:dyDescent="0.25"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AR49" s="51"/>
      <c r="AS49" s="51"/>
      <c r="AT49" s="51"/>
      <c r="AU49" s="51"/>
    </row>
    <row r="50" spans="2:47" x14ac:dyDescent="0.25"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AR50" s="51"/>
      <c r="AS50" s="51"/>
      <c r="AT50" s="51"/>
      <c r="AU50" s="51"/>
    </row>
    <row r="51" spans="2:47" x14ac:dyDescent="0.25"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AR51" s="51"/>
      <c r="AS51" s="51"/>
      <c r="AT51" s="51"/>
      <c r="AU51" s="51"/>
    </row>
    <row r="52" spans="2:47" x14ac:dyDescent="0.25"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AR52" s="51"/>
      <c r="AS52" s="51"/>
      <c r="AT52" s="51"/>
      <c r="AU52" s="51"/>
    </row>
    <row r="53" spans="2:47" x14ac:dyDescent="0.25"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AR53" s="51"/>
      <c r="AS53" s="51"/>
      <c r="AT53" s="51"/>
      <c r="AU53" s="51"/>
    </row>
    <row r="54" spans="2:47" x14ac:dyDescent="0.25"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AR54" s="51"/>
      <c r="AS54" s="51"/>
      <c r="AT54" s="51"/>
      <c r="AU54" s="51"/>
    </row>
    <row r="55" spans="2:47" x14ac:dyDescent="0.25"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AR55" s="51"/>
      <c r="AS55" s="51"/>
      <c r="AT55" s="51"/>
      <c r="AU55" s="51"/>
    </row>
    <row r="56" spans="2:47" x14ac:dyDescent="0.25"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AR56" s="51"/>
      <c r="AS56" s="51"/>
      <c r="AT56" s="51"/>
      <c r="AU56" s="51"/>
    </row>
    <row r="57" spans="2:47" x14ac:dyDescent="0.25"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AR57" s="51"/>
      <c r="AS57" s="51"/>
      <c r="AT57" s="51"/>
      <c r="AU57" s="51"/>
    </row>
    <row r="58" spans="2:47" x14ac:dyDescent="0.25"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AR58" s="51"/>
      <c r="AS58" s="51"/>
      <c r="AT58" s="51"/>
      <c r="AU58" s="51"/>
    </row>
    <row r="59" spans="2:47" x14ac:dyDescent="0.25"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AR59" s="51"/>
      <c r="AS59" s="51"/>
      <c r="AT59" s="51"/>
      <c r="AU59" s="51"/>
    </row>
    <row r="60" spans="2:47" x14ac:dyDescent="0.25"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AR60" s="51"/>
      <c r="AS60" s="51"/>
      <c r="AT60" s="51"/>
      <c r="AU60" s="51"/>
    </row>
    <row r="61" spans="2:47" x14ac:dyDescent="0.25"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AR61" s="51"/>
      <c r="AS61" s="51"/>
      <c r="AT61" s="51"/>
      <c r="AU61" s="51"/>
    </row>
    <row r="62" spans="2:47" x14ac:dyDescent="0.25"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AR62" s="51"/>
      <c r="AS62" s="51"/>
      <c r="AT62" s="51"/>
      <c r="AU62" s="51"/>
    </row>
    <row r="63" spans="2:47" x14ac:dyDescent="0.25"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AR63" s="51"/>
      <c r="AS63" s="51"/>
      <c r="AT63" s="51"/>
      <c r="AU63" s="51"/>
    </row>
    <row r="64" spans="2:47" x14ac:dyDescent="0.25"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AR64" s="51"/>
      <c r="AS64" s="51"/>
      <c r="AT64" s="51"/>
      <c r="AU64" s="51"/>
    </row>
    <row r="65" spans="2:47" x14ac:dyDescent="0.25"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AR65" s="51"/>
      <c r="AS65" s="51"/>
      <c r="AT65" s="51"/>
      <c r="AU65" s="51"/>
    </row>
    <row r="66" spans="2:47" x14ac:dyDescent="0.25"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AR66" s="51"/>
      <c r="AS66" s="51"/>
      <c r="AT66" s="51"/>
      <c r="AU66" s="51"/>
    </row>
    <row r="67" spans="2:47" x14ac:dyDescent="0.25"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AR67" s="51"/>
      <c r="AS67" s="51"/>
      <c r="AT67" s="51"/>
      <c r="AU67" s="51"/>
    </row>
    <row r="68" spans="2:47" x14ac:dyDescent="0.25"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AR68" s="51"/>
      <c r="AS68" s="51"/>
      <c r="AT68" s="51"/>
      <c r="AU68" s="51"/>
    </row>
    <row r="69" spans="2:47" x14ac:dyDescent="0.25"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AR69" s="51"/>
      <c r="AS69" s="51"/>
      <c r="AT69" s="51"/>
      <c r="AU69" s="51"/>
    </row>
    <row r="70" spans="2:47" x14ac:dyDescent="0.25"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AR70" s="51"/>
      <c r="AS70" s="51"/>
      <c r="AT70" s="51"/>
      <c r="AU70" s="51"/>
    </row>
    <row r="71" spans="2:47" x14ac:dyDescent="0.25"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AR71" s="51"/>
      <c r="AS71" s="51"/>
      <c r="AT71" s="51"/>
      <c r="AU71" s="51"/>
    </row>
    <row r="72" spans="2:47" x14ac:dyDescent="0.25"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AR72" s="51"/>
      <c r="AS72" s="51"/>
      <c r="AT72" s="51"/>
      <c r="AU72" s="51"/>
    </row>
    <row r="73" spans="2:47" x14ac:dyDescent="0.25"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AR73" s="51"/>
      <c r="AS73" s="51"/>
      <c r="AT73" s="51"/>
      <c r="AU73" s="51"/>
    </row>
    <row r="74" spans="2:47" x14ac:dyDescent="0.25"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AR74" s="51"/>
      <c r="AS74" s="51"/>
      <c r="AT74" s="51"/>
      <c r="AU74" s="51"/>
    </row>
    <row r="75" spans="2:47" x14ac:dyDescent="0.25"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AR75" s="51"/>
      <c r="AS75" s="51"/>
      <c r="AT75" s="51"/>
      <c r="AU75" s="51"/>
    </row>
    <row r="76" spans="2:47" x14ac:dyDescent="0.25"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AR76" s="51"/>
      <c r="AS76" s="51"/>
      <c r="AT76" s="51"/>
      <c r="AU76" s="51"/>
    </row>
    <row r="77" spans="2:47" x14ac:dyDescent="0.25"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AR77" s="51"/>
      <c r="AS77" s="51"/>
      <c r="AT77" s="51"/>
      <c r="AU77" s="51"/>
    </row>
    <row r="78" spans="2:47" x14ac:dyDescent="0.25"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AR78" s="51"/>
      <c r="AS78" s="51"/>
      <c r="AT78" s="51"/>
      <c r="AU78" s="51"/>
    </row>
    <row r="79" spans="2:47" x14ac:dyDescent="0.25"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AR79" s="51"/>
      <c r="AS79" s="51"/>
      <c r="AT79" s="51"/>
      <c r="AU79" s="51"/>
    </row>
    <row r="80" spans="2:47" x14ac:dyDescent="0.25"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AR80" s="51"/>
      <c r="AS80" s="51"/>
      <c r="AT80" s="51"/>
      <c r="AU80" s="51"/>
    </row>
    <row r="81" spans="2:47" x14ac:dyDescent="0.25"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AR81" s="51"/>
      <c r="AS81" s="51"/>
      <c r="AT81" s="51"/>
      <c r="AU81" s="51"/>
    </row>
    <row r="82" spans="2:47" x14ac:dyDescent="0.25"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AR82" s="51"/>
      <c r="AS82" s="51"/>
      <c r="AT82" s="51"/>
      <c r="AU82" s="51"/>
    </row>
    <row r="83" spans="2:47" x14ac:dyDescent="0.25"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AR83" s="51"/>
      <c r="AS83" s="51"/>
      <c r="AT83" s="51"/>
      <c r="AU83" s="51"/>
    </row>
    <row r="84" spans="2:47" x14ac:dyDescent="0.25"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AR84" s="51"/>
      <c r="AS84" s="51"/>
      <c r="AT84" s="51"/>
      <c r="AU84" s="51"/>
    </row>
    <row r="85" spans="2:47" x14ac:dyDescent="0.25"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AR85" s="51"/>
      <c r="AS85" s="51"/>
      <c r="AT85" s="51"/>
      <c r="AU85" s="51"/>
    </row>
    <row r="86" spans="2:47" x14ac:dyDescent="0.25"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AR86" s="51"/>
      <c r="AS86" s="51"/>
      <c r="AT86" s="51"/>
      <c r="AU86" s="51"/>
    </row>
    <row r="87" spans="2:47" x14ac:dyDescent="0.25"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AR87" s="51"/>
      <c r="AS87" s="51"/>
      <c r="AT87" s="51"/>
      <c r="AU87" s="51"/>
    </row>
    <row r="88" spans="2:47" x14ac:dyDescent="0.25"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AR88" s="51"/>
      <c r="AS88" s="51"/>
      <c r="AT88" s="51"/>
      <c r="AU88" s="51"/>
    </row>
    <row r="89" spans="2:47" x14ac:dyDescent="0.25"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AR89" s="51"/>
      <c r="AS89" s="51"/>
      <c r="AT89" s="51"/>
      <c r="AU89" s="51"/>
    </row>
    <row r="90" spans="2:47" x14ac:dyDescent="0.25"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AR90" s="51"/>
      <c r="AS90" s="51"/>
      <c r="AT90" s="51"/>
      <c r="AU90" s="51"/>
    </row>
    <row r="91" spans="2:47" x14ac:dyDescent="0.25"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AR91" s="51"/>
      <c r="AS91" s="51"/>
      <c r="AT91" s="51"/>
      <c r="AU91" s="51"/>
    </row>
    <row r="92" spans="2:47" x14ac:dyDescent="0.25"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AR92" s="51"/>
      <c r="AS92" s="51"/>
      <c r="AT92" s="51"/>
      <c r="AU92" s="51"/>
    </row>
    <row r="93" spans="2:47" x14ac:dyDescent="0.25"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AR93" s="51"/>
      <c r="AS93" s="51"/>
      <c r="AT93" s="51"/>
      <c r="AU93" s="51"/>
    </row>
    <row r="94" spans="2:47" x14ac:dyDescent="0.25"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AR94" s="51"/>
      <c r="AS94" s="51"/>
      <c r="AT94" s="51"/>
      <c r="AU94" s="51"/>
    </row>
    <row r="95" spans="2:47" x14ac:dyDescent="0.25"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AR95" s="51"/>
      <c r="AS95" s="51"/>
      <c r="AT95" s="51"/>
      <c r="AU95" s="51"/>
    </row>
    <row r="96" spans="2:47" x14ac:dyDescent="0.25"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AR96" s="51"/>
      <c r="AS96" s="51"/>
      <c r="AT96" s="51"/>
      <c r="AU96" s="51"/>
    </row>
    <row r="97" spans="2:47" x14ac:dyDescent="0.25"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AR97" s="51"/>
      <c r="AS97" s="51"/>
      <c r="AT97" s="51"/>
      <c r="AU97" s="51"/>
    </row>
    <row r="98" spans="2:47" x14ac:dyDescent="0.25"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AR98" s="51"/>
      <c r="AS98" s="51"/>
      <c r="AT98" s="51"/>
      <c r="AU98" s="51"/>
    </row>
    <row r="99" spans="2:47" x14ac:dyDescent="0.25"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AR99" s="51"/>
      <c r="AS99" s="51"/>
      <c r="AT99" s="51"/>
      <c r="AU99" s="51"/>
    </row>
    <row r="100" spans="2:47" x14ac:dyDescent="0.25"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AR100" s="51"/>
      <c r="AS100" s="51"/>
      <c r="AT100" s="51"/>
      <c r="AU100" s="51"/>
    </row>
    <row r="101" spans="2:47" x14ac:dyDescent="0.25"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AR101" s="51"/>
      <c r="AS101" s="51"/>
      <c r="AT101" s="51"/>
      <c r="AU101" s="51"/>
    </row>
    <row r="102" spans="2:47" x14ac:dyDescent="0.25"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AR102" s="51"/>
      <c r="AS102" s="51"/>
      <c r="AT102" s="51"/>
      <c r="AU102" s="51"/>
    </row>
    <row r="103" spans="2:47" x14ac:dyDescent="0.25"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AR103" s="51"/>
      <c r="AS103" s="51"/>
      <c r="AT103" s="51"/>
      <c r="AU103" s="51"/>
    </row>
    <row r="104" spans="2:47" x14ac:dyDescent="0.25"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AR104" s="51"/>
      <c r="AS104" s="51"/>
      <c r="AT104" s="51"/>
      <c r="AU104" s="51"/>
    </row>
    <row r="105" spans="2:47" x14ac:dyDescent="0.25"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AR105" s="51"/>
      <c r="AS105" s="51"/>
      <c r="AT105" s="51"/>
      <c r="AU105" s="51"/>
    </row>
    <row r="106" spans="2:47" x14ac:dyDescent="0.25"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AR106" s="51"/>
      <c r="AS106" s="51"/>
      <c r="AT106" s="51"/>
      <c r="AU106" s="51"/>
    </row>
    <row r="107" spans="2:47" x14ac:dyDescent="0.25"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AR107" s="51"/>
      <c r="AS107" s="51"/>
      <c r="AT107" s="51"/>
      <c r="AU107" s="51"/>
    </row>
    <row r="108" spans="2:47" x14ac:dyDescent="0.25"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AR108" s="51"/>
      <c r="AS108" s="51"/>
      <c r="AT108" s="51"/>
      <c r="AU108" s="51"/>
    </row>
    <row r="109" spans="2:47" x14ac:dyDescent="0.25"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AR109" s="51"/>
      <c r="AS109" s="51"/>
      <c r="AT109" s="51"/>
      <c r="AU109" s="51"/>
    </row>
    <row r="110" spans="2:47" x14ac:dyDescent="0.25"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AR110" s="51"/>
      <c r="AS110" s="51"/>
      <c r="AT110" s="51"/>
      <c r="AU110" s="51"/>
    </row>
    <row r="111" spans="2:47" x14ac:dyDescent="0.25">
      <c r="B111" s="51"/>
      <c r="C111" s="51"/>
      <c r="D111" s="51"/>
      <c r="E111" s="51"/>
      <c r="F111" s="51"/>
    </row>
  </sheetData>
  <mergeCells count="3">
    <mergeCell ref="G5:H5"/>
    <mergeCell ref="D10:D13"/>
    <mergeCell ref="E10:E13"/>
  </mergeCells>
  <dataValidations count="1">
    <dataValidation type="list" allowBlank="1" showInputMessage="1" showErrorMessage="1" sqref="H6" xr:uid="{00000000-0002-0000-0900-000000000000}">
      <formula1>$B$10:$B$13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D9A3-19E8-47DC-A1E5-C67809CC20BE}">
  <dimension ref="A2:E7"/>
  <sheetViews>
    <sheetView showGridLines="0" workbookViewId="0">
      <selection activeCell="B13" sqref="B13"/>
    </sheetView>
  </sheetViews>
  <sheetFormatPr baseColWidth="10" defaultColWidth="20.7109375" defaultRowHeight="12.75" x14ac:dyDescent="0.2"/>
  <cols>
    <col min="1" max="3" width="20.7109375" style="240"/>
    <col min="4" max="4" width="23.140625" style="240" customWidth="1"/>
    <col min="5" max="5" width="24" style="240" customWidth="1"/>
    <col min="6" max="16384" width="20.7109375" style="240"/>
  </cols>
  <sheetData>
    <row r="2" spans="1:5" x14ac:dyDescent="0.2">
      <c r="A2" s="241"/>
      <c r="B2" s="241"/>
      <c r="C2" s="241"/>
      <c r="D2" s="241"/>
      <c r="E2" s="241"/>
    </row>
    <row r="3" spans="1:5" x14ac:dyDescent="0.2">
      <c r="A3" s="243" t="s">
        <v>107</v>
      </c>
      <c r="B3" s="242" t="s">
        <v>188</v>
      </c>
      <c r="C3" s="242" t="s">
        <v>203</v>
      </c>
      <c r="D3" s="242" t="s">
        <v>219</v>
      </c>
      <c r="E3" s="242" t="s">
        <v>220</v>
      </c>
    </row>
    <row r="4" spans="1:5" x14ac:dyDescent="0.2">
      <c r="A4" s="244" t="s">
        <v>6</v>
      </c>
      <c r="B4" s="245">
        <v>34</v>
      </c>
      <c r="C4" s="246">
        <v>250</v>
      </c>
      <c r="D4" s="246">
        <v>9</v>
      </c>
      <c r="E4" s="246">
        <v>3</v>
      </c>
    </row>
    <row r="5" spans="1:5" x14ac:dyDescent="0.2">
      <c r="A5" s="247" t="s">
        <v>43</v>
      </c>
      <c r="B5" s="248">
        <v>49</v>
      </c>
      <c r="C5" s="249">
        <v>250</v>
      </c>
      <c r="D5" s="249">
        <v>9</v>
      </c>
      <c r="E5" s="249">
        <v>3</v>
      </c>
    </row>
    <row r="6" spans="1:5" x14ac:dyDescent="0.2">
      <c r="A6" s="250" t="s">
        <v>46</v>
      </c>
      <c r="B6" s="251">
        <v>63</v>
      </c>
      <c r="C6" s="252">
        <v>250</v>
      </c>
      <c r="D6" s="252">
        <v>9</v>
      </c>
      <c r="E6" s="252">
        <v>3</v>
      </c>
    </row>
    <row r="7" spans="1:5" x14ac:dyDescent="0.2">
      <c r="A7" s="253" t="s">
        <v>217</v>
      </c>
      <c r="B7" s="254">
        <v>70</v>
      </c>
      <c r="C7" s="255">
        <v>250</v>
      </c>
      <c r="D7" s="255">
        <v>9</v>
      </c>
      <c r="E7" s="255">
        <v>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0BA3-171B-45EE-9D4B-9F0F2BABB7C1}">
  <dimension ref="B2:C21"/>
  <sheetViews>
    <sheetView showGridLines="0" workbookViewId="0">
      <selection activeCell="C3" sqref="C3"/>
    </sheetView>
  </sheetViews>
  <sheetFormatPr baseColWidth="10" defaultRowHeight="15" x14ac:dyDescent="0.25"/>
  <cols>
    <col min="2" max="2" width="32.140625" bestFit="1" customWidth="1"/>
    <col min="3" max="3" width="31.5703125" customWidth="1"/>
  </cols>
  <sheetData>
    <row r="2" spans="2:3" x14ac:dyDescent="0.25">
      <c r="B2" s="307" t="s">
        <v>189</v>
      </c>
      <c r="C2" s="307"/>
    </row>
    <row r="3" spans="2:3" x14ac:dyDescent="0.25">
      <c r="B3" s="221" t="s">
        <v>190</v>
      </c>
      <c r="C3" s="221"/>
    </row>
    <row r="4" spans="2:3" x14ac:dyDescent="0.25">
      <c r="B4" s="221" t="s">
        <v>192</v>
      </c>
      <c r="C4" s="221">
        <v>400</v>
      </c>
    </row>
    <row r="5" spans="2:3" x14ac:dyDescent="0.25">
      <c r="B5" s="221" t="s">
        <v>191</v>
      </c>
      <c r="C5" s="221">
        <v>52</v>
      </c>
    </row>
    <row r="6" spans="2:3" x14ac:dyDescent="0.25">
      <c r="B6" s="223" t="s">
        <v>215</v>
      </c>
      <c r="C6" s="224">
        <f>C4/C5</f>
        <v>7.6923076923076925</v>
      </c>
    </row>
    <row r="7" spans="2:3" x14ac:dyDescent="0.25">
      <c r="B7" s="221" t="s">
        <v>204</v>
      </c>
      <c r="C7" s="221">
        <v>10</v>
      </c>
    </row>
    <row r="8" spans="2:3" x14ac:dyDescent="0.25">
      <c r="B8" s="221" t="s">
        <v>214</v>
      </c>
      <c r="C8" s="226">
        <f>C4/C7</f>
        <v>40</v>
      </c>
    </row>
    <row r="9" spans="2:3" x14ac:dyDescent="0.25">
      <c r="B9" s="221" t="s">
        <v>193</v>
      </c>
      <c r="C9" s="221">
        <v>3</v>
      </c>
    </row>
    <row r="10" spans="2:3" x14ac:dyDescent="0.25">
      <c r="B10" s="51"/>
      <c r="C10" s="51"/>
    </row>
    <row r="11" spans="2:3" x14ac:dyDescent="0.25">
      <c r="B11" s="51"/>
      <c r="C11" s="51"/>
    </row>
    <row r="12" spans="2:3" x14ac:dyDescent="0.25">
      <c r="B12" s="217" t="s">
        <v>197</v>
      </c>
      <c r="C12" s="227" t="e">
        <f>(IF(C3="STANDARD",#REF!,1)*IF(C3="CARBONE",#REF!,1)*IF(C3="PREMIUM",#REF!,1)*IF(C3="PREMIUM CARBONE",#REF!,1))*C4+I7+#REF!*C4*C9</f>
        <v>#REF!</v>
      </c>
    </row>
    <row r="13" spans="2:3" x14ac:dyDescent="0.25">
      <c r="B13" s="221" t="s">
        <v>202</v>
      </c>
      <c r="C13" s="228" t="e">
        <f>C12/C4</f>
        <v>#REF!</v>
      </c>
    </row>
    <row r="14" spans="2:3" x14ac:dyDescent="0.25">
      <c r="B14" s="221" t="s">
        <v>195</v>
      </c>
      <c r="C14" s="228" t="e">
        <f>C13/5</f>
        <v>#REF!</v>
      </c>
    </row>
    <row r="15" spans="2:3" ht="15.75" x14ac:dyDescent="0.25">
      <c r="B15" s="229" t="s">
        <v>200</v>
      </c>
      <c r="C15" s="230" t="e">
        <f>(C13-(IF(C3="STANDARD",#REF!,1)*IF(C3="CARBONE",#REF!,1)*IF(C3="PREMIUM",#REF!,1)*IF(C3="PREMIUM CARBONE",#REF!,1)))/C13*100</f>
        <v>#REF!</v>
      </c>
    </row>
    <row r="16" spans="2:3" x14ac:dyDescent="0.25">
      <c r="B16" s="51"/>
      <c r="C16" s="51"/>
    </row>
    <row r="17" spans="2:3" x14ac:dyDescent="0.25">
      <c r="B17" s="51"/>
      <c r="C17" s="51"/>
    </row>
    <row r="18" spans="2:3" x14ac:dyDescent="0.25">
      <c r="B18" s="219" t="s">
        <v>201</v>
      </c>
      <c r="C18" s="221"/>
    </row>
    <row r="19" spans="2:3" x14ac:dyDescent="0.25">
      <c r="B19" s="221" t="s">
        <v>198</v>
      </c>
      <c r="C19" s="227" t="e">
        <f>C12*((100+D18)/100)</f>
        <v>#REF!</v>
      </c>
    </row>
    <row r="20" spans="2:3" x14ac:dyDescent="0.25">
      <c r="B20" s="221" t="s">
        <v>194</v>
      </c>
      <c r="C20" s="228" t="e">
        <f>C19/C4</f>
        <v>#REF!</v>
      </c>
    </row>
    <row r="21" spans="2:3" x14ac:dyDescent="0.25">
      <c r="B21" s="221" t="s">
        <v>195</v>
      </c>
      <c r="C21" s="228" t="e">
        <f>(C20+(#REF!*2))/5</f>
        <v>#REF!</v>
      </c>
    </row>
  </sheetData>
  <mergeCells count="1">
    <mergeCell ref="B2:C2"/>
  </mergeCells>
  <dataValidations count="1">
    <dataValidation type="list" allowBlank="1" showInputMessage="1" showErrorMessage="1" sqref="C3" xr:uid="{3EB07932-44F1-400D-AF98-4371F7F5C457}">
      <formula1>$B$10:$B$13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8"/>
  <sheetViews>
    <sheetView zoomScale="74" zoomScaleNormal="74" workbookViewId="0">
      <selection activeCell="D41" sqref="D41"/>
    </sheetView>
  </sheetViews>
  <sheetFormatPr baseColWidth="10" defaultColWidth="10.85546875" defaultRowHeight="15" x14ac:dyDescent="0.25"/>
  <cols>
    <col min="1" max="1" width="21.28515625" style="6" customWidth="1"/>
    <col min="2" max="2" width="13.85546875" style="6" customWidth="1"/>
    <col min="3" max="4" width="13" style="6" customWidth="1"/>
    <col min="5" max="5" width="16.85546875" style="6" customWidth="1"/>
    <col min="6" max="7" width="20.140625" style="6" customWidth="1"/>
    <col min="8" max="8" width="31.28515625" style="6" customWidth="1"/>
    <col min="9" max="9" width="19" style="6" customWidth="1"/>
    <col min="10" max="14" width="21.85546875" style="6" customWidth="1"/>
    <col min="15" max="16384" width="10.85546875" style="6"/>
  </cols>
  <sheetData>
    <row r="1" spans="1:19" x14ac:dyDescent="0.25">
      <c r="A1" s="6" t="s">
        <v>41</v>
      </c>
      <c r="B1" s="6" t="s">
        <v>1</v>
      </c>
      <c r="C1" s="6" t="s">
        <v>42</v>
      </c>
      <c r="D1" s="6" t="s">
        <v>3</v>
      </c>
      <c r="E1" s="6" t="s">
        <v>4</v>
      </c>
    </row>
    <row r="2" spans="1:19" x14ac:dyDescent="0.25">
      <c r="N2" s="6" t="s">
        <v>5</v>
      </c>
    </row>
    <row r="3" spans="1:19" ht="15.75" thickBot="1" x14ac:dyDescent="0.3"/>
    <row r="4" spans="1:19" ht="15.75" thickBot="1" x14ac:dyDescent="0.3">
      <c r="N4" s="29" t="s">
        <v>43</v>
      </c>
      <c r="O4" s="256" t="s">
        <v>7</v>
      </c>
      <c r="P4" s="257"/>
      <c r="Q4" s="257"/>
      <c r="R4" s="257"/>
      <c r="S4" s="258"/>
    </row>
    <row r="5" spans="1:19" ht="26.25" x14ac:dyDescent="0.4">
      <c r="C5" s="269" t="s">
        <v>8</v>
      </c>
      <c r="D5" s="270"/>
      <c r="E5" s="270"/>
      <c r="F5" s="270"/>
      <c r="G5" s="270"/>
      <c r="H5" s="270"/>
      <c r="I5" s="270"/>
      <c r="J5" s="270"/>
      <c r="K5" s="270"/>
      <c r="L5" s="21"/>
      <c r="N5" s="24"/>
      <c r="O5" s="1" t="s">
        <v>9</v>
      </c>
      <c r="P5" s="1" t="s">
        <v>10</v>
      </c>
      <c r="Q5" s="1" t="s">
        <v>11</v>
      </c>
      <c r="R5" s="1" t="s">
        <v>12</v>
      </c>
      <c r="S5" s="4" t="s">
        <v>13</v>
      </c>
    </row>
    <row r="6" spans="1:19" x14ac:dyDescent="0.25">
      <c r="C6" s="18" t="s">
        <v>14</v>
      </c>
      <c r="D6" s="261">
        <v>25</v>
      </c>
      <c r="E6" s="262"/>
      <c r="F6" s="262"/>
      <c r="G6" s="262"/>
      <c r="H6" s="263"/>
      <c r="I6" s="264">
        <v>50</v>
      </c>
      <c r="J6" s="265"/>
      <c r="K6" s="265"/>
      <c r="L6" s="265"/>
      <c r="N6" s="3" t="s">
        <v>15</v>
      </c>
      <c r="O6" s="2">
        <v>95</v>
      </c>
      <c r="P6" s="2">
        <v>85</v>
      </c>
      <c r="Q6" s="2">
        <v>80</v>
      </c>
      <c r="R6" s="2">
        <v>75</v>
      </c>
      <c r="S6" s="5">
        <v>70</v>
      </c>
    </row>
    <row r="7" spans="1:19" x14ac:dyDescent="0.25">
      <c r="C7" s="9" t="s">
        <v>16</v>
      </c>
      <c r="D7" s="23" t="s">
        <v>17</v>
      </c>
      <c r="E7" s="17" t="s">
        <v>18</v>
      </c>
      <c r="F7" s="17" t="s">
        <v>19</v>
      </c>
      <c r="G7" s="17" t="s">
        <v>20</v>
      </c>
      <c r="H7" s="17" t="s">
        <v>21</v>
      </c>
      <c r="I7" s="17" t="s">
        <v>22</v>
      </c>
      <c r="J7" s="17" t="s">
        <v>19</v>
      </c>
      <c r="K7" s="17" t="s">
        <v>20</v>
      </c>
      <c r="L7" s="8" t="s">
        <v>23</v>
      </c>
      <c r="N7" s="25" t="s">
        <v>24</v>
      </c>
      <c r="O7" s="2">
        <v>500</v>
      </c>
      <c r="P7" s="2">
        <v>500</v>
      </c>
      <c r="Q7" s="2">
        <v>500</v>
      </c>
      <c r="R7" s="2">
        <v>500</v>
      </c>
      <c r="S7" s="5">
        <v>500</v>
      </c>
    </row>
    <row r="8" spans="1:19" x14ac:dyDescent="0.25">
      <c r="A8" s="7" t="s">
        <v>25</v>
      </c>
      <c r="B8" s="2" t="s">
        <v>26</v>
      </c>
      <c r="C8" s="22">
        <v>95</v>
      </c>
      <c r="D8" s="23">
        <v>59</v>
      </c>
      <c r="E8" s="11"/>
      <c r="F8" s="11"/>
      <c r="G8" s="11"/>
      <c r="H8" s="11"/>
      <c r="I8" s="11"/>
      <c r="J8" s="11"/>
      <c r="K8" s="11"/>
      <c r="L8" s="11"/>
      <c r="N8" s="3" t="s">
        <v>27</v>
      </c>
      <c r="O8" s="2">
        <v>750</v>
      </c>
      <c r="P8" s="2">
        <v>650</v>
      </c>
      <c r="Q8" s="2">
        <v>650</v>
      </c>
      <c r="R8" s="2">
        <v>650</v>
      </c>
      <c r="S8" s="5">
        <v>650</v>
      </c>
    </row>
    <row r="9" spans="1:19" x14ac:dyDescent="0.25">
      <c r="A9" s="266" t="s">
        <v>28</v>
      </c>
      <c r="B9" s="7" t="s">
        <v>24</v>
      </c>
      <c r="C9" s="10">
        <v>500</v>
      </c>
      <c r="D9" s="23">
        <v>600</v>
      </c>
      <c r="E9" s="17">
        <f>$C$8*$D$6+C9*5</f>
        <v>4875</v>
      </c>
      <c r="F9" s="17">
        <f>E9/D6/5</f>
        <v>39</v>
      </c>
      <c r="G9" s="20">
        <f>($C$8*$D$6+C9*10)/$D$6/10</f>
        <v>29.5</v>
      </c>
      <c r="H9" s="19">
        <f>((E9-($D$8*$D$6)-600*5))/(($D$8*$D$6)+600*5)</f>
        <v>8.9385474860335198E-2</v>
      </c>
      <c r="I9" s="17">
        <f>$C$8*$I$6+C9*5</f>
        <v>7250</v>
      </c>
      <c r="J9" s="17">
        <f>I9/$I$6/5</f>
        <v>29</v>
      </c>
      <c r="K9" s="20">
        <f>($C$8*$I$6+C9*10)/$I$6/10</f>
        <v>19.5</v>
      </c>
      <c r="L9" s="19">
        <f>((I9-($D$8*$I$6)-600*5))/(($D$8*$I$6)+600*5)</f>
        <v>0.21848739495798319</v>
      </c>
      <c r="N9" s="3" t="s">
        <v>29</v>
      </c>
      <c r="O9" s="2">
        <v>900</v>
      </c>
      <c r="P9" s="2">
        <v>900</v>
      </c>
      <c r="Q9" s="2">
        <v>850</v>
      </c>
      <c r="R9" s="2">
        <v>850</v>
      </c>
      <c r="S9" s="5">
        <v>850</v>
      </c>
    </row>
    <row r="10" spans="1:19" ht="14.45" customHeight="1" thickBot="1" x14ac:dyDescent="0.3">
      <c r="A10" s="267"/>
      <c r="B10" s="2" t="s">
        <v>27</v>
      </c>
      <c r="C10" s="10">
        <v>750</v>
      </c>
      <c r="D10" s="23">
        <v>600</v>
      </c>
      <c r="E10" s="17">
        <f>$C$8*$D$6+C10*5</f>
        <v>6125</v>
      </c>
      <c r="F10" s="17">
        <f>E10/25/5</f>
        <v>49</v>
      </c>
      <c r="G10" s="20">
        <f t="shared" ref="G10:G11" si="0">($C$8*$D$6+C10*10)/$D$6/10</f>
        <v>39.5</v>
      </c>
      <c r="H10" s="19">
        <f t="shared" ref="H10:H11" si="1">((E10-($D$8*$D$6)-600*5))/(($D$8*$D$6)+600*5)</f>
        <v>0.36871508379888268</v>
      </c>
      <c r="I10" s="17">
        <f>$C$8*$I$6+C10*5</f>
        <v>8500</v>
      </c>
      <c r="J10" s="17">
        <f t="shared" ref="J10:J11" si="2">I10/$I$6/5</f>
        <v>34</v>
      </c>
      <c r="K10" s="20">
        <f t="shared" ref="K10:K11" si="3">($C$8*$I$6+C10*10)/$I$6/10</f>
        <v>24.5</v>
      </c>
      <c r="L10" s="19">
        <f t="shared" ref="L10:L11" si="4">((I10-($D$8*$I$6)-600*5))/(($D$8*$I$6)+600*5)</f>
        <v>0.42857142857142855</v>
      </c>
      <c r="N10" s="15" t="s">
        <v>30</v>
      </c>
      <c r="O10" s="26"/>
      <c r="P10" s="16">
        <v>1000</v>
      </c>
      <c r="Q10" s="16">
        <v>1500</v>
      </c>
      <c r="R10" s="16">
        <v>2000</v>
      </c>
      <c r="S10" s="14">
        <v>3000</v>
      </c>
    </row>
    <row r="11" spans="1:19" ht="14.45" customHeight="1" x14ac:dyDescent="0.25">
      <c r="A11" s="267"/>
      <c r="B11" s="2" t="s">
        <v>31</v>
      </c>
      <c r="C11" s="10">
        <v>900</v>
      </c>
      <c r="D11" s="23">
        <v>600</v>
      </c>
      <c r="E11" s="17">
        <f>$C$8*$D$6+C11*5</f>
        <v>6875</v>
      </c>
      <c r="F11" s="17">
        <f>E11/25/5</f>
        <v>55</v>
      </c>
      <c r="G11" s="20">
        <f t="shared" si="0"/>
        <v>45.5</v>
      </c>
      <c r="H11" s="19">
        <f t="shared" si="1"/>
        <v>0.53631284916201116</v>
      </c>
      <c r="I11" s="17">
        <f>$C$8*$I$6+C11*5</f>
        <v>9250</v>
      </c>
      <c r="J11" s="17">
        <f t="shared" si="2"/>
        <v>37</v>
      </c>
      <c r="K11" s="20">
        <f t="shared" si="3"/>
        <v>27.5</v>
      </c>
      <c r="L11" s="19">
        <f t="shared" si="4"/>
        <v>0.55462184873949583</v>
      </c>
    </row>
    <row r="12" spans="1:19" x14ac:dyDescent="0.25">
      <c r="A12" s="267"/>
      <c r="B12" s="11"/>
      <c r="C12" s="12"/>
      <c r="D12" s="12"/>
      <c r="E12" s="11"/>
      <c r="F12" s="11"/>
      <c r="G12" s="11"/>
      <c r="H12" s="11"/>
      <c r="I12" s="11"/>
      <c r="J12" s="11"/>
      <c r="K12" s="11"/>
      <c r="L12" s="11"/>
    </row>
    <row r="13" spans="1:19" x14ac:dyDescent="0.25">
      <c r="A13" s="267"/>
      <c r="B13" s="11"/>
      <c r="C13" s="12"/>
      <c r="D13" s="12"/>
      <c r="E13" s="11"/>
      <c r="F13" s="11"/>
      <c r="G13" s="11"/>
      <c r="H13" s="11"/>
      <c r="I13" s="11"/>
      <c r="J13" s="11"/>
      <c r="K13" s="11"/>
      <c r="L13" s="11"/>
    </row>
    <row r="14" spans="1:19" ht="15.75" thickBot="1" x14ac:dyDescent="0.3">
      <c r="A14" s="268"/>
      <c r="B14" s="11"/>
      <c r="C14" s="13"/>
      <c r="D14" s="13"/>
      <c r="E14" s="11"/>
      <c r="F14" s="11"/>
      <c r="G14" s="11"/>
      <c r="H14" s="11"/>
      <c r="I14" s="11"/>
      <c r="J14" s="11"/>
      <c r="K14" s="11"/>
      <c r="L14" s="11"/>
    </row>
    <row r="17" spans="1:12" ht="28.5" x14ac:dyDescent="0.45">
      <c r="C17" s="259" t="s">
        <v>32</v>
      </c>
      <c r="D17" s="260"/>
      <c r="E17" s="260"/>
      <c r="F17" s="260"/>
      <c r="G17" s="260"/>
      <c r="H17" s="260"/>
      <c r="I17" s="260"/>
      <c r="J17" s="260"/>
      <c r="K17" s="260"/>
      <c r="L17" s="21"/>
    </row>
    <row r="18" spans="1:12" x14ac:dyDescent="0.25">
      <c r="C18" s="18" t="s">
        <v>14</v>
      </c>
      <c r="D18" s="261">
        <v>50</v>
      </c>
      <c r="E18" s="262"/>
      <c r="F18" s="262"/>
      <c r="G18" s="262"/>
      <c r="H18" s="263"/>
      <c r="I18" s="264">
        <v>100</v>
      </c>
      <c r="J18" s="265"/>
      <c r="K18" s="265"/>
      <c r="L18" s="265"/>
    </row>
    <row r="19" spans="1:12" x14ac:dyDescent="0.25">
      <c r="C19" s="9" t="s">
        <v>16</v>
      </c>
      <c r="D19" s="23" t="s">
        <v>17</v>
      </c>
      <c r="E19" s="17" t="s">
        <v>22</v>
      </c>
      <c r="F19" s="17" t="s">
        <v>19</v>
      </c>
      <c r="G19" s="17" t="s">
        <v>20</v>
      </c>
      <c r="H19" s="17" t="s">
        <v>21</v>
      </c>
      <c r="I19" s="17" t="s">
        <v>33</v>
      </c>
      <c r="J19" s="17" t="s">
        <v>19</v>
      </c>
      <c r="K19" s="17" t="s">
        <v>20</v>
      </c>
      <c r="L19" s="8" t="s">
        <v>23</v>
      </c>
    </row>
    <row r="20" spans="1:12" x14ac:dyDescent="0.25">
      <c r="A20" s="7" t="s">
        <v>25</v>
      </c>
      <c r="B20" s="2" t="s">
        <v>26</v>
      </c>
      <c r="C20" s="22">
        <v>85</v>
      </c>
      <c r="D20" s="23">
        <v>59</v>
      </c>
      <c r="E20" s="11"/>
      <c r="F20" s="11"/>
      <c r="G20" s="11"/>
      <c r="H20" s="11"/>
      <c r="I20" s="11"/>
      <c r="J20" s="11"/>
      <c r="K20" s="11"/>
      <c r="L20" s="11"/>
    </row>
    <row r="21" spans="1:12" x14ac:dyDescent="0.25">
      <c r="A21" s="266" t="s">
        <v>28</v>
      </c>
      <c r="B21" s="7" t="s">
        <v>24</v>
      </c>
      <c r="C21" s="10">
        <v>500</v>
      </c>
      <c r="D21" s="23">
        <v>600</v>
      </c>
      <c r="E21" s="17">
        <f>$C$20*$D$18+C21*5</f>
        <v>6750</v>
      </c>
      <c r="F21" s="17">
        <f>E21/D18/5</f>
        <v>27</v>
      </c>
      <c r="G21" s="20">
        <f>($C$20*$D$18+C21*10)/$D$18/10</f>
        <v>18.5</v>
      </c>
      <c r="H21" s="19">
        <f>((E21-($D$20*$D$18)-600*5))/(($D$20*$D$18)+600*5)</f>
        <v>0.13445378151260504</v>
      </c>
      <c r="I21" s="17">
        <f>$C$20*$I$18+C21*5</f>
        <v>11000</v>
      </c>
      <c r="J21" s="17">
        <f>I21/$I$18/5</f>
        <v>22</v>
      </c>
      <c r="K21" s="20">
        <f>($C$20*$I$18+C21*10)/$I$18/10</f>
        <v>13.5</v>
      </c>
      <c r="L21" s="19">
        <f>((I21-($D$20*$I$18)-600*5))/(($D$20*$I$18)+600*5)</f>
        <v>0.23595505617977527</v>
      </c>
    </row>
    <row r="22" spans="1:12" x14ac:dyDescent="0.25">
      <c r="A22" s="267"/>
      <c r="B22" s="2" t="s">
        <v>27</v>
      </c>
      <c r="C22" s="10">
        <v>650</v>
      </c>
      <c r="D22" s="23">
        <v>600</v>
      </c>
      <c r="E22" s="17">
        <f>$C$20*$D$18+C22*5</f>
        <v>7500</v>
      </c>
      <c r="F22" s="17">
        <f>E22/D18/5</f>
        <v>30</v>
      </c>
      <c r="G22" s="20">
        <f t="shared" ref="G22:G24" si="5">($C$20*$D$18+C22*10)/$D$18/10</f>
        <v>21.5</v>
      </c>
      <c r="H22" s="19">
        <f t="shared" ref="H22:H24" si="6">((E22-($D$20*$D$18)-600*5))/(($D$20*$D$18)+600*5)</f>
        <v>0.26050420168067229</v>
      </c>
      <c r="I22" s="17">
        <f>$C$20*$I$18+C22*5</f>
        <v>11750</v>
      </c>
      <c r="J22" s="17">
        <f>I22/$I$18/5</f>
        <v>23.5</v>
      </c>
      <c r="K22" s="20">
        <f t="shared" ref="K22:K24" si="7">($C$20*$I$18+C22*10)/$I$18/10</f>
        <v>15</v>
      </c>
      <c r="L22" s="19">
        <f t="shared" ref="L22:L24" si="8">((I22-($D$20*$I$18)-600*5))/(($D$20*$I$18)+600*5)</f>
        <v>0.3202247191011236</v>
      </c>
    </row>
    <row r="23" spans="1:12" x14ac:dyDescent="0.25">
      <c r="A23" s="267"/>
      <c r="B23" s="2" t="s">
        <v>29</v>
      </c>
      <c r="C23" s="10">
        <v>900</v>
      </c>
      <c r="D23" s="23">
        <v>600</v>
      </c>
      <c r="E23" s="17">
        <f>$C$20*$D$18+C23*5</f>
        <v>8750</v>
      </c>
      <c r="F23" s="17">
        <f>E23/D18/5</f>
        <v>35</v>
      </c>
      <c r="G23" s="20">
        <f t="shared" si="5"/>
        <v>26.5</v>
      </c>
      <c r="H23" s="19">
        <f t="shared" si="6"/>
        <v>0.47058823529411764</v>
      </c>
      <c r="I23" s="17">
        <f>$C$20*$I$18+C23*5</f>
        <v>13000</v>
      </c>
      <c r="J23" s="17">
        <f t="shared" ref="J23:J24" si="9">I23/$I$18/5</f>
        <v>26</v>
      </c>
      <c r="K23" s="20">
        <f t="shared" si="7"/>
        <v>17.5</v>
      </c>
      <c r="L23" s="19">
        <f t="shared" si="8"/>
        <v>0.4606741573033708</v>
      </c>
    </row>
    <row r="24" spans="1:12" x14ac:dyDescent="0.25">
      <c r="A24" s="267"/>
      <c r="B24" s="2" t="s">
        <v>30</v>
      </c>
      <c r="C24" s="10">
        <v>1000</v>
      </c>
      <c r="D24" s="23">
        <v>600</v>
      </c>
      <c r="E24" s="17">
        <f>$C$20*$D$18+C24*5</f>
        <v>9250</v>
      </c>
      <c r="F24" s="17">
        <f>E24/D18/5</f>
        <v>37</v>
      </c>
      <c r="G24" s="20">
        <f t="shared" si="5"/>
        <v>28.5</v>
      </c>
      <c r="H24" s="19">
        <f t="shared" si="6"/>
        <v>0.55462184873949583</v>
      </c>
      <c r="I24" s="17">
        <f>$C$20*$I$18+C24*5</f>
        <v>13500</v>
      </c>
      <c r="J24" s="17">
        <f t="shared" si="9"/>
        <v>27</v>
      </c>
      <c r="K24" s="20">
        <f t="shared" si="7"/>
        <v>18.5</v>
      </c>
      <c r="L24" s="19">
        <f t="shared" si="8"/>
        <v>0.5168539325842697</v>
      </c>
    </row>
    <row r="25" spans="1:12" ht="15.75" thickBot="1" x14ac:dyDescent="0.3">
      <c r="A25" s="268"/>
      <c r="B25" s="11"/>
      <c r="C25" s="13"/>
      <c r="D25" s="13"/>
      <c r="E25" s="11"/>
      <c r="F25" s="11"/>
      <c r="G25" s="11"/>
      <c r="H25" s="11"/>
      <c r="I25" s="11"/>
      <c r="J25" s="11"/>
      <c r="K25" s="11"/>
      <c r="L25" s="11"/>
    </row>
    <row r="28" spans="1:12" ht="28.5" x14ac:dyDescent="0.45">
      <c r="C28" s="259" t="s">
        <v>35</v>
      </c>
      <c r="D28" s="260"/>
      <c r="E28" s="260"/>
      <c r="F28" s="260"/>
      <c r="G28" s="260"/>
      <c r="H28" s="260"/>
      <c r="I28" s="260"/>
      <c r="J28" s="260"/>
      <c r="K28" s="260"/>
      <c r="L28" s="21"/>
    </row>
    <row r="29" spans="1:12" x14ac:dyDescent="0.25">
      <c r="C29" s="18" t="s">
        <v>14</v>
      </c>
      <c r="D29" s="261">
        <v>100</v>
      </c>
      <c r="E29" s="262"/>
      <c r="F29" s="262"/>
      <c r="G29" s="262"/>
      <c r="H29" s="263"/>
      <c r="I29" s="264">
        <v>200</v>
      </c>
      <c r="J29" s="265"/>
      <c r="K29" s="265"/>
      <c r="L29" s="265"/>
    </row>
    <row r="30" spans="1:12" x14ac:dyDescent="0.25">
      <c r="C30" s="9" t="s">
        <v>16</v>
      </c>
      <c r="D30" s="23" t="s">
        <v>17</v>
      </c>
      <c r="E30" s="17" t="s">
        <v>33</v>
      </c>
      <c r="F30" s="17" t="s">
        <v>19</v>
      </c>
      <c r="G30" s="17" t="s">
        <v>20</v>
      </c>
      <c r="H30" s="17" t="s">
        <v>21</v>
      </c>
      <c r="I30" s="17" t="s">
        <v>36</v>
      </c>
      <c r="J30" s="17" t="s">
        <v>19</v>
      </c>
      <c r="K30" s="17" t="s">
        <v>20</v>
      </c>
      <c r="L30" s="8" t="s">
        <v>23</v>
      </c>
    </row>
    <row r="31" spans="1:12" x14ac:dyDescent="0.25">
      <c r="A31" s="7" t="s">
        <v>25</v>
      </c>
      <c r="B31" s="2" t="s">
        <v>26</v>
      </c>
      <c r="C31" s="22">
        <v>80</v>
      </c>
      <c r="D31" s="23">
        <v>59</v>
      </c>
      <c r="E31" s="11"/>
      <c r="F31" s="11"/>
      <c r="G31" s="11"/>
      <c r="H31" s="11"/>
      <c r="I31" s="11"/>
      <c r="J31" s="11"/>
      <c r="K31" s="11"/>
      <c r="L31" s="11"/>
    </row>
    <row r="32" spans="1:12" x14ac:dyDescent="0.25">
      <c r="A32" s="266" t="s">
        <v>28</v>
      </c>
      <c r="B32" s="7" t="s">
        <v>24</v>
      </c>
      <c r="C32" s="10">
        <v>500</v>
      </c>
      <c r="D32" s="23">
        <v>600</v>
      </c>
      <c r="E32" s="17">
        <f>$C$31*$D$29+C32*5</f>
        <v>10500</v>
      </c>
      <c r="F32" s="17">
        <f>E32/D29/5</f>
        <v>21</v>
      </c>
      <c r="G32" s="20">
        <f>($C$31*$D$29+C32*10)/$D$29/10</f>
        <v>13</v>
      </c>
      <c r="H32" s="19">
        <f>((E32-($D$8*$D$29)-600*5))/(($D$8*$D$29)+600*5)</f>
        <v>0.1797752808988764</v>
      </c>
      <c r="I32" s="17">
        <f>$C$31*$I$29+C32*5</f>
        <v>18500</v>
      </c>
      <c r="J32" s="17">
        <f>I32/$I$29/5</f>
        <v>18.5</v>
      </c>
      <c r="K32" s="20">
        <f>(($C$31*$I$29+C32*10)/$I$29)/10</f>
        <v>10.5</v>
      </c>
      <c r="L32" s="19">
        <f>((I32-($D$31*$I$29)-600*5))/(($D$31*$I$29)+600*5)</f>
        <v>0.25</v>
      </c>
    </row>
    <row r="33" spans="1:12" x14ac:dyDescent="0.25">
      <c r="A33" s="267"/>
      <c r="B33" s="2" t="s">
        <v>27</v>
      </c>
      <c r="C33" s="10">
        <v>650</v>
      </c>
      <c r="D33" s="23">
        <v>600</v>
      </c>
      <c r="E33" s="17">
        <f>$C$31*$D$29+C33*5</f>
        <v>11250</v>
      </c>
      <c r="F33" s="17">
        <f>E33/D29/5</f>
        <v>22.5</v>
      </c>
      <c r="G33" s="20">
        <f t="shared" ref="G33:G35" si="10">($C$31*$D$29+C33*10)/$D$29/10</f>
        <v>14.5</v>
      </c>
      <c r="H33" s="19">
        <f t="shared" ref="H33:H35" si="11">((E33-($D$8*$D$29)-600*5))/(($D$8*$D$29)+600*5)</f>
        <v>0.2640449438202247</v>
      </c>
      <c r="I33" s="17">
        <f t="shared" ref="I33:I35" si="12">$C$31*$I$29+C33*5</f>
        <v>19250</v>
      </c>
      <c r="J33" s="17">
        <f t="shared" ref="J33:J35" si="13">I33/$I$29/5</f>
        <v>19.25</v>
      </c>
      <c r="K33" s="20">
        <f t="shared" ref="K33:K35" si="14">(($C$31*$I$29+C33*10)/$I$29)/10</f>
        <v>11.25</v>
      </c>
      <c r="L33" s="19">
        <f t="shared" ref="L33:L35" si="15">((I33-($D$31*$I$29)-600*5))/(($D$31*$I$29)+600*5)</f>
        <v>0.30067567567567566</v>
      </c>
    </row>
    <row r="34" spans="1:12" x14ac:dyDescent="0.25">
      <c r="A34" s="267"/>
      <c r="B34" s="2" t="s">
        <v>29</v>
      </c>
      <c r="C34" s="10">
        <v>850</v>
      </c>
      <c r="D34" s="23">
        <v>600</v>
      </c>
      <c r="E34" s="17">
        <f>$C$31*$D$29+C34*5</f>
        <v>12250</v>
      </c>
      <c r="F34" s="17">
        <f>E34/D29/5</f>
        <v>24.5</v>
      </c>
      <c r="G34" s="20">
        <f t="shared" si="10"/>
        <v>16.5</v>
      </c>
      <c r="H34" s="19">
        <f t="shared" si="11"/>
        <v>0.37640449438202245</v>
      </c>
      <c r="I34" s="17">
        <f t="shared" si="12"/>
        <v>20250</v>
      </c>
      <c r="J34" s="17">
        <f t="shared" si="13"/>
        <v>20.25</v>
      </c>
      <c r="K34" s="20">
        <f t="shared" si="14"/>
        <v>12.25</v>
      </c>
      <c r="L34" s="19">
        <f t="shared" si="15"/>
        <v>0.36824324324324326</v>
      </c>
    </row>
    <row r="35" spans="1:12" x14ac:dyDescent="0.25">
      <c r="A35" s="267"/>
      <c r="B35" s="2" t="s">
        <v>30</v>
      </c>
      <c r="C35" s="10">
        <v>1500</v>
      </c>
      <c r="D35" s="23">
        <v>600</v>
      </c>
      <c r="E35" s="17">
        <f>$C$31*$D$29+C35*5</f>
        <v>15500</v>
      </c>
      <c r="F35" s="17">
        <f>E35/D29/5</f>
        <v>31</v>
      </c>
      <c r="G35" s="20">
        <f t="shared" si="10"/>
        <v>23</v>
      </c>
      <c r="H35" s="19">
        <f t="shared" si="11"/>
        <v>0.7415730337078652</v>
      </c>
      <c r="I35" s="17">
        <f t="shared" si="12"/>
        <v>23500</v>
      </c>
      <c r="J35" s="17">
        <f t="shared" si="13"/>
        <v>23.5</v>
      </c>
      <c r="K35" s="20">
        <f t="shared" si="14"/>
        <v>15.5</v>
      </c>
      <c r="L35" s="19">
        <f t="shared" si="15"/>
        <v>0.58783783783783783</v>
      </c>
    </row>
    <row r="36" spans="1:12" ht="15.75" thickBot="1" x14ac:dyDescent="0.3">
      <c r="A36" s="268"/>
      <c r="B36" s="11"/>
      <c r="C36" s="13"/>
      <c r="D36" s="13"/>
      <c r="E36" s="11"/>
      <c r="F36" s="11"/>
      <c r="G36" s="11"/>
      <c r="H36" s="11"/>
      <c r="I36" s="11"/>
      <c r="J36" s="11"/>
      <c r="K36" s="11"/>
      <c r="L36" s="11"/>
    </row>
    <row r="39" spans="1:12" ht="28.5" x14ac:dyDescent="0.45">
      <c r="C39" s="259" t="s">
        <v>37</v>
      </c>
      <c r="D39" s="260"/>
      <c r="E39" s="260"/>
      <c r="F39" s="260"/>
      <c r="G39" s="260"/>
      <c r="H39" s="260"/>
      <c r="I39" s="260"/>
      <c r="J39" s="260"/>
      <c r="K39" s="260"/>
      <c r="L39" s="21"/>
    </row>
    <row r="40" spans="1:12" x14ac:dyDescent="0.25">
      <c r="C40" s="18" t="s">
        <v>14</v>
      </c>
      <c r="D40" s="261">
        <v>300</v>
      </c>
      <c r="E40" s="262"/>
      <c r="F40" s="262"/>
      <c r="G40" s="262"/>
      <c r="H40" s="263"/>
      <c r="I40" s="264">
        <v>500</v>
      </c>
      <c r="J40" s="265"/>
      <c r="K40" s="265"/>
      <c r="L40" s="265"/>
    </row>
    <row r="41" spans="1:12" x14ac:dyDescent="0.25">
      <c r="C41" s="9" t="s">
        <v>16</v>
      </c>
      <c r="D41" s="23" t="s">
        <v>17</v>
      </c>
      <c r="E41" s="17" t="s">
        <v>36</v>
      </c>
      <c r="F41" s="17" t="s">
        <v>19</v>
      </c>
      <c r="G41" s="17" t="s">
        <v>20</v>
      </c>
      <c r="H41" s="17" t="s">
        <v>21</v>
      </c>
      <c r="I41" s="17" t="s">
        <v>38</v>
      </c>
      <c r="J41" s="17" t="s">
        <v>19</v>
      </c>
      <c r="K41" s="17" t="s">
        <v>20</v>
      </c>
      <c r="L41" s="8" t="s">
        <v>23</v>
      </c>
    </row>
    <row r="42" spans="1:12" x14ac:dyDescent="0.25">
      <c r="A42" s="7" t="s">
        <v>25</v>
      </c>
      <c r="B42" s="2" t="s">
        <v>26</v>
      </c>
      <c r="C42" s="22">
        <v>75</v>
      </c>
      <c r="D42" s="23">
        <v>59</v>
      </c>
      <c r="E42" s="11"/>
      <c r="F42" s="11"/>
      <c r="G42" s="11"/>
      <c r="H42" s="11"/>
      <c r="I42" s="11"/>
      <c r="J42" s="11"/>
      <c r="K42" s="11"/>
      <c r="L42" s="11"/>
    </row>
    <row r="43" spans="1:12" x14ac:dyDescent="0.25">
      <c r="A43" s="266" t="s">
        <v>28</v>
      </c>
      <c r="B43" s="7" t="s">
        <v>24</v>
      </c>
      <c r="C43" s="10">
        <v>500</v>
      </c>
      <c r="D43" s="23">
        <v>600</v>
      </c>
      <c r="E43" s="17">
        <f>$C$42*$D$40+C43*5</f>
        <v>25000</v>
      </c>
      <c r="F43" s="17">
        <f>E43/D40/5</f>
        <v>16.666666666666664</v>
      </c>
      <c r="G43" s="20">
        <f>($C$20*$D$40+C43*10)/$D$40/10</f>
        <v>10.166666666666668</v>
      </c>
      <c r="H43" s="19">
        <f>((E43-($D$8*$D$40)-600*5))/(($D$8*$D$40)+600*5)</f>
        <v>0.20772946859903382</v>
      </c>
      <c r="I43" s="17">
        <f>$C$42*$I$40+C43*5</f>
        <v>40000</v>
      </c>
      <c r="J43" s="17">
        <f>I43/$I$40/5</f>
        <v>16</v>
      </c>
      <c r="K43" s="20">
        <f>($C$42*$I$40+C43*10)/$I$40/10</f>
        <v>8.5</v>
      </c>
      <c r="L43" s="19">
        <f>((I43-($D$53*$I$40)-600*5))/(($D$53*$I$40)+600*5)</f>
        <v>0.23076923076923078</v>
      </c>
    </row>
    <row r="44" spans="1:12" x14ac:dyDescent="0.25">
      <c r="A44" s="267"/>
      <c r="B44" s="2" t="s">
        <v>27</v>
      </c>
      <c r="C44" s="10">
        <v>650</v>
      </c>
      <c r="D44" s="23">
        <v>600</v>
      </c>
      <c r="E44" s="17">
        <f t="shared" ref="E44:E46" si="16">$C$42*$D$40+C44*5</f>
        <v>25750</v>
      </c>
      <c r="F44" s="17">
        <f>E44/D40/5</f>
        <v>17.166666666666664</v>
      </c>
      <c r="G44" s="20">
        <f t="shared" ref="G44:G46" si="17">($C$20*$D$40+C44*10)/$D$40/10</f>
        <v>10.666666666666668</v>
      </c>
      <c r="H44" s="19">
        <f t="shared" ref="H44:H46" si="18">((E44-($D$8*$D$40)-600*5))/(($D$8*$D$40)+600*5)</f>
        <v>0.24396135265700483</v>
      </c>
      <c r="I44" s="17">
        <f t="shared" ref="I44:I46" si="19">$C$42*$I$40+C44*5</f>
        <v>40750</v>
      </c>
      <c r="J44" s="17">
        <f t="shared" ref="J44:J46" si="20">I44/$I$40/5</f>
        <v>16.3</v>
      </c>
      <c r="K44" s="20">
        <f t="shared" ref="K44:K46" si="21">($C$42*$I$40+C44*10)/$I$40/10</f>
        <v>8.8000000000000007</v>
      </c>
      <c r="L44" s="19">
        <f t="shared" ref="L44:L46" si="22">((I44-($D$53*$I$40)-600*5))/(($D$53*$I$40)+600*5)</f>
        <v>0.25384615384615383</v>
      </c>
    </row>
    <row r="45" spans="1:12" x14ac:dyDescent="0.25">
      <c r="A45" s="267"/>
      <c r="B45" s="2" t="s">
        <v>29</v>
      </c>
      <c r="C45" s="10">
        <v>850</v>
      </c>
      <c r="D45" s="23">
        <v>600</v>
      </c>
      <c r="E45" s="17">
        <f t="shared" si="16"/>
        <v>26750</v>
      </c>
      <c r="F45" s="17">
        <f>E45/D40/5</f>
        <v>17.833333333333336</v>
      </c>
      <c r="G45" s="20">
        <f t="shared" si="17"/>
        <v>11.333333333333332</v>
      </c>
      <c r="H45" s="19">
        <f t="shared" si="18"/>
        <v>0.2922705314009662</v>
      </c>
      <c r="I45" s="17">
        <f t="shared" si="19"/>
        <v>41750</v>
      </c>
      <c r="J45" s="17">
        <f t="shared" si="20"/>
        <v>16.7</v>
      </c>
      <c r="K45" s="20">
        <f t="shared" si="21"/>
        <v>9.1999999999999993</v>
      </c>
      <c r="L45" s="19">
        <f t="shared" si="22"/>
        <v>0.2846153846153846</v>
      </c>
    </row>
    <row r="46" spans="1:12" x14ac:dyDescent="0.25">
      <c r="A46" s="267"/>
      <c r="B46" s="2" t="s">
        <v>30</v>
      </c>
      <c r="C46" s="10">
        <v>2000</v>
      </c>
      <c r="D46" s="23">
        <v>600</v>
      </c>
      <c r="E46" s="17">
        <f t="shared" si="16"/>
        <v>32500</v>
      </c>
      <c r="F46" s="17">
        <f>E46/D40/5</f>
        <v>21.666666666666664</v>
      </c>
      <c r="G46" s="20">
        <f t="shared" si="17"/>
        <v>15.166666666666666</v>
      </c>
      <c r="H46" s="19">
        <f t="shared" si="18"/>
        <v>0.57004830917874394</v>
      </c>
      <c r="I46" s="17">
        <f t="shared" si="19"/>
        <v>47500</v>
      </c>
      <c r="J46" s="17">
        <f t="shared" si="20"/>
        <v>19</v>
      </c>
      <c r="K46" s="20">
        <f t="shared" si="21"/>
        <v>11.5</v>
      </c>
      <c r="L46" s="19">
        <f t="shared" si="22"/>
        <v>0.46153846153846156</v>
      </c>
    </row>
    <row r="47" spans="1:12" ht="15.75" thickBot="1" x14ac:dyDescent="0.3">
      <c r="A47" s="268"/>
      <c r="B47" s="11"/>
      <c r="C47" s="13"/>
      <c r="D47" s="13"/>
      <c r="E47" s="11"/>
      <c r="F47" s="11"/>
      <c r="G47" s="11"/>
      <c r="H47" s="11"/>
      <c r="I47" s="11"/>
      <c r="J47" s="11"/>
      <c r="K47" s="11"/>
      <c r="L47" s="11"/>
    </row>
    <row r="50" spans="1:12" ht="28.5" x14ac:dyDescent="0.45">
      <c r="C50" s="259" t="s">
        <v>39</v>
      </c>
      <c r="D50" s="260"/>
      <c r="E50" s="260"/>
      <c r="F50" s="260"/>
      <c r="G50" s="260"/>
      <c r="H50" s="260"/>
      <c r="I50" s="260"/>
      <c r="J50" s="260"/>
      <c r="K50" s="260"/>
      <c r="L50" s="21"/>
    </row>
    <row r="51" spans="1:12" x14ac:dyDescent="0.25">
      <c r="C51" s="18" t="s">
        <v>14</v>
      </c>
      <c r="D51" s="261">
        <v>500</v>
      </c>
      <c r="E51" s="262"/>
      <c r="F51" s="262"/>
      <c r="G51" s="262"/>
      <c r="H51" s="263"/>
      <c r="I51" s="264">
        <v>1000</v>
      </c>
      <c r="J51" s="265"/>
      <c r="K51" s="265"/>
      <c r="L51" s="265"/>
    </row>
    <row r="52" spans="1:12" x14ac:dyDescent="0.25">
      <c r="C52" s="9" t="s">
        <v>16</v>
      </c>
      <c r="D52" s="23" t="s">
        <v>17</v>
      </c>
      <c r="E52" s="17" t="s">
        <v>38</v>
      </c>
      <c r="F52" s="17" t="s">
        <v>19</v>
      </c>
      <c r="G52" s="17" t="s">
        <v>20</v>
      </c>
      <c r="H52" s="17" t="s">
        <v>21</v>
      </c>
      <c r="I52" s="17" t="s">
        <v>40</v>
      </c>
      <c r="J52" s="17" t="s">
        <v>19</v>
      </c>
      <c r="K52" s="17" t="s">
        <v>20</v>
      </c>
      <c r="L52" s="8" t="s">
        <v>23</v>
      </c>
    </row>
    <row r="53" spans="1:12" x14ac:dyDescent="0.25">
      <c r="A53" s="7" t="s">
        <v>25</v>
      </c>
      <c r="B53" s="2" t="s">
        <v>26</v>
      </c>
      <c r="C53" s="22">
        <v>70</v>
      </c>
      <c r="D53" s="23">
        <v>59</v>
      </c>
      <c r="E53" s="11"/>
      <c r="F53" s="11"/>
      <c r="G53" s="11"/>
      <c r="H53" s="11"/>
      <c r="I53" s="11"/>
      <c r="J53" s="11"/>
      <c r="K53" s="11"/>
      <c r="L53" s="11"/>
    </row>
    <row r="54" spans="1:12" x14ac:dyDescent="0.25">
      <c r="A54" s="266" t="s">
        <v>28</v>
      </c>
      <c r="B54" s="7" t="s">
        <v>24</v>
      </c>
      <c r="C54" s="10">
        <v>500</v>
      </c>
      <c r="D54" s="23">
        <v>600</v>
      </c>
      <c r="E54" s="17">
        <f>$C$53*$D$51+C54*5</f>
        <v>37500</v>
      </c>
      <c r="F54" s="17">
        <f>E54/D51/5</f>
        <v>15</v>
      </c>
      <c r="G54" s="20">
        <f>($C$20*$D$51+C54*10)/$D$51/10</f>
        <v>9.5</v>
      </c>
      <c r="H54" s="19">
        <f>((E54-($D$53*$D$51)-600*5))/(($D$53*$D$51)+600*5)</f>
        <v>0.15384615384615385</v>
      </c>
      <c r="I54" s="17">
        <f>$C$53*$I$51+C54*5</f>
        <v>72500</v>
      </c>
      <c r="J54" s="17">
        <f>I54/$I$51/5</f>
        <v>14.5</v>
      </c>
      <c r="K54" s="20">
        <f>($C$53*$I$51+C54*10)/$I$51/10</f>
        <v>7.5</v>
      </c>
      <c r="L54" s="19">
        <f>((I54-($D$53*$I$51)-600*5))/(($D$53*$I$51)+600*5)</f>
        <v>0.16935483870967741</v>
      </c>
    </row>
    <row r="55" spans="1:12" x14ac:dyDescent="0.25">
      <c r="A55" s="267"/>
      <c r="B55" s="2" t="s">
        <v>27</v>
      </c>
      <c r="C55" s="10">
        <v>650</v>
      </c>
      <c r="D55" s="23">
        <v>600</v>
      </c>
      <c r="E55" s="17">
        <f t="shared" ref="E55:E57" si="23">$C$53*$D$51+C55*5</f>
        <v>38250</v>
      </c>
      <c r="F55" s="17">
        <f>E55/D51/5</f>
        <v>15.3</v>
      </c>
      <c r="G55" s="20">
        <f t="shared" ref="G55:G57" si="24">($C$20*$D$51+C55*10)/$D$51/10</f>
        <v>9.8000000000000007</v>
      </c>
      <c r="H55" s="19">
        <f t="shared" ref="H55:H57" si="25">((E55-($D$53*$D$51)-600*5))/(($D$53*$D$51)+600*5)</f>
        <v>0.17692307692307693</v>
      </c>
      <c r="I55" s="17">
        <f t="shared" ref="I55:I57" si="26">$C$53*$I$51+C55*5</f>
        <v>73250</v>
      </c>
      <c r="J55" s="17">
        <f t="shared" ref="J55:J57" si="27">I55/$I$51/5</f>
        <v>14.65</v>
      </c>
      <c r="K55" s="20">
        <f t="shared" ref="K55:K57" si="28">($C$53*$I$51+C55*10)/$I$51/10</f>
        <v>7.65</v>
      </c>
      <c r="L55" s="19">
        <f t="shared" ref="L55:L57" si="29">((I55-($D$53*$I$51)-600*5))/(($D$53*$I$51)+600*5)</f>
        <v>0.18145161290322581</v>
      </c>
    </row>
    <row r="56" spans="1:12" x14ac:dyDescent="0.25">
      <c r="A56" s="267"/>
      <c r="B56" s="2" t="s">
        <v>29</v>
      </c>
      <c r="C56" s="10">
        <v>850</v>
      </c>
      <c r="D56" s="23">
        <v>600</v>
      </c>
      <c r="E56" s="17">
        <f t="shared" si="23"/>
        <v>39250</v>
      </c>
      <c r="F56" s="17">
        <f>E56/D51/5</f>
        <v>15.7</v>
      </c>
      <c r="G56" s="20">
        <f t="shared" si="24"/>
        <v>10.199999999999999</v>
      </c>
      <c r="H56" s="19">
        <f t="shared" si="25"/>
        <v>0.2076923076923077</v>
      </c>
      <c r="I56" s="17">
        <f t="shared" si="26"/>
        <v>74250</v>
      </c>
      <c r="J56" s="17">
        <f t="shared" si="27"/>
        <v>14.85</v>
      </c>
      <c r="K56" s="20">
        <f t="shared" si="28"/>
        <v>7.85</v>
      </c>
      <c r="L56" s="19">
        <f t="shared" si="29"/>
        <v>0.19758064516129031</v>
      </c>
    </row>
    <row r="57" spans="1:12" x14ac:dyDescent="0.25">
      <c r="A57" s="267"/>
      <c r="B57" s="2" t="s">
        <v>30</v>
      </c>
      <c r="C57" s="10">
        <v>3000</v>
      </c>
      <c r="D57" s="23">
        <v>600</v>
      </c>
      <c r="E57" s="17">
        <f t="shared" si="23"/>
        <v>50000</v>
      </c>
      <c r="F57" s="17">
        <f>E57/D51/5</f>
        <v>20</v>
      </c>
      <c r="G57" s="20">
        <f t="shared" si="24"/>
        <v>14.5</v>
      </c>
      <c r="H57" s="19">
        <f t="shared" si="25"/>
        <v>0.53846153846153844</v>
      </c>
      <c r="I57" s="17">
        <f t="shared" si="26"/>
        <v>85000</v>
      </c>
      <c r="J57" s="17">
        <f t="shared" si="27"/>
        <v>17</v>
      </c>
      <c r="K57" s="20">
        <f t="shared" si="28"/>
        <v>10</v>
      </c>
      <c r="L57" s="19">
        <f t="shared" si="29"/>
        <v>0.37096774193548387</v>
      </c>
    </row>
    <row r="58" spans="1:12" ht="15.75" thickBot="1" x14ac:dyDescent="0.3">
      <c r="A58" s="268"/>
      <c r="B58" s="11"/>
      <c r="C58" s="13"/>
      <c r="D58" s="13"/>
      <c r="E58" s="11"/>
      <c r="F58" s="11"/>
      <c r="G58" s="11"/>
      <c r="H58" s="11"/>
      <c r="I58" s="11"/>
      <c r="J58" s="11"/>
      <c r="K58" s="11"/>
      <c r="L58" s="11"/>
    </row>
  </sheetData>
  <mergeCells count="21">
    <mergeCell ref="O4:S4"/>
    <mergeCell ref="C5:K5"/>
    <mergeCell ref="D6:H6"/>
    <mergeCell ref="I6:L6"/>
    <mergeCell ref="A9:A14"/>
    <mergeCell ref="D18:H18"/>
    <mergeCell ref="I18:L18"/>
    <mergeCell ref="A21:A25"/>
    <mergeCell ref="C28:K28"/>
    <mergeCell ref="C17:K17"/>
    <mergeCell ref="D29:H29"/>
    <mergeCell ref="I29:L29"/>
    <mergeCell ref="D51:H51"/>
    <mergeCell ref="I51:L51"/>
    <mergeCell ref="A54:A58"/>
    <mergeCell ref="A32:A36"/>
    <mergeCell ref="C39:K39"/>
    <mergeCell ref="D40:H40"/>
    <mergeCell ref="I40:L40"/>
    <mergeCell ref="A43:A47"/>
    <mergeCell ref="C50:K50"/>
  </mergeCells>
  <conditionalFormatting sqref="H9:H11">
    <cfRule type="colorScale" priority="8">
      <colorScale>
        <cfvo type="min"/>
        <cfvo type="max"/>
        <color rgb="FFFFEF9C"/>
        <color rgb="FF63BE7B"/>
      </colorScale>
    </cfRule>
  </conditionalFormatting>
  <conditionalFormatting sqref="H21:H24">
    <cfRule type="colorScale" priority="9">
      <colorScale>
        <cfvo type="min"/>
        <cfvo type="max"/>
        <color rgb="FFFFEF9C"/>
        <color rgb="FF63BE7B"/>
      </colorScale>
    </cfRule>
  </conditionalFormatting>
  <conditionalFormatting sqref="H32:H35">
    <cfRule type="colorScale" priority="10">
      <colorScale>
        <cfvo type="min"/>
        <cfvo type="max"/>
        <color rgb="FFFFEF9C"/>
        <color rgb="FF63BE7B"/>
      </colorScale>
    </cfRule>
  </conditionalFormatting>
  <conditionalFormatting sqref="H43:H46">
    <cfRule type="colorScale" priority="11">
      <colorScale>
        <cfvo type="min"/>
        <cfvo type="max"/>
        <color rgb="FFFFEF9C"/>
        <color rgb="FF63BE7B"/>
      </colorScale>
    </cfRule>
  </conditionalFormatting>
  <conditionalFormatting sqref="H54:H57">
    <cfRule type="colorScale" priority="12">
      <colorScale>
        <cfvo type="min"/>
        <cfvo type="max"/>
        <color rgb="FFFFEF9C"/>
        <color rgb="FF63BE7B"/>
      </colorScale>
    </cfRule>
  </conditionalFormatting>
  <conditionalFormatting sqref="L9:L11">
    <cfRule type="colorScale" priority="6">
      <colorScale>
        <cfvo type="min"/>
        <cfvo type="max"/>
        <color rgb="FFFFEF9C"/>
        <color rgb="FF63BE7B"/>
      </colorScale>
    </cfRule>
  </conditionalFormatting>
  <conditionalFormatting sqref="L21:L24">
    <cfRule type="colorScale" priority="7">
      <colorScale>
        <cfvo type="min"/>
        <cfvo type="max"/>
        <color rgb="FFFFEF9C"/>
        <color rgb="FF63BE7B"/>
      </colorScale>
    </cfRule>
  </conditionalFormatting>
  <conditionalFormatting sqref="L32:L35">
    <cfRule type="colorScale" priority="5">
      <colorScale>
        <cfvo type="min"/>
        <cfvo type="max"/>
        <color rgb="FFFFEF9C"/>
        <color rgb="FF63BE7B"/>
      </colorScale>
    </cfRule>
  </conditionalFormatting>
  <conditionalFormatting sqref="L43:L46">
    <cfRule type="colorScale" priority="4">
      <colorScale>
        <cfvo type="min"/>
        <cfvo type="max"/>
        <color rgb="FFFFEF9C"/>
        <color rgb="FF63BE7B"/>
      </colorScale>
    </cfRule>
  </conditionalFormatting>
  <conditionalFormatting sqref="L54:L57">
    <cfRule type="colorScale" priority="3">
      <colorScale>
        <cfvo type="min"/>
        <cfvo type="max"/>
        <color rgb="FFFFEF9C"/>
        <color rgb="FF63BE7B"/>
      </colorScale>
    </cfRule>
  </conditionalFormatting>
  <conditionalFormatting sqref="O6:S6">
    <cfRule type="colorScale" priority="2">
      <colorScale>
        <cfvo type="min"/>
        <cfvo type="max"/>
        <color rgb="FFFFEF9C"/>
        <color rgb="FF63BE7B"/>
      </colorScale>
    </cfRule>
  </conditionalFormatting>
  <conditionalFormatting sqref="O7:S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8"/>
  <sheetViews>
    <sheetView topLeftCell="A13" zoomScale="74" zoomScaleNormal="74" workbookViewId="0">
      <selection activeCell="F60" sqref="F60"/>
    </sheetView>
  </sheetViews>
  <sheetFormatPr baseColWidth="10" defaultColWidth="10.85546875" defaultRowHeight="15" x14ac:dyDescent="0.25"/>
  <cols>
    <col min="1" max="1" width="21.28515625" style="6" customWidth="1"/>
    <col min="2" max="2" width="13.85546875" style="6" customWidth="1"/>
    <col min="3" max="4" width="13" style="6" customWidth="1"/>
    <col min="5" max="5" width="16.85546875" style="6" customWidth="1"/>
    <col min="6" max="7" width="20.140625" style="6" customWidth="1"/>
    <col min="8" max="8" width="31.28515625" style="6" customWidth="1"/>
    <col min="9" max="9" width="19" style="6" customWidth="1"/>
    <col min="10" max="14" width="21.85546875" style="6" customWidth="1"/>
    <col min="15" max="16384" width="10.85546875" style="6"/>
  </cols>
  <sheetData>
    <row r="1" spans="1:19" x14ac:dyDescent="0.25">
      <c r="A1" s="6" t="s">
        <v>44</v>
      </c>
      <c r="B1" s="6" t="s">
        <v>1</v>
      </c>
      <c r="C1" s="6" t="s">
        <v>45</v>
      </c>
      <c r="D1" s="6" t="s">
        <v>3</v>
      </c>
      <c r="E1" s="6" t="s">
        <v>4</v>
      </c>
    </row>
    <row r="2" spans="1:19" x14ac:dyDescent="0.25">
      <c r="N2" s="6" t="s">
        <v>5</v>
      </c>
    </row>
    <row r="3" spans="1:19" ht="15.75" thickBot="1" x14ac:dyDescent="0.3"/>
    <row r="4" spans="1:19" ht="15.75" thickBot="1" x14ac:dyDescent="0.3">
      <c r="N4" s="28" t="s">
        <v>46</v>
      </c>
      <c r="O4" s="256" t="s">
        <v>7</v>
      </c>
      <c r="P4" s="257"/>
      <c r="Q4" s="257"/>
      <c r="R4" s="257"/>
      <c r="S4" s="258"/>
    </row>
    <row r="5" spans="1:19" ht="26.25" x14ac:dyDescent="0.4">
      <c r="C5" s="269" t="s">
        <v>8</v>
      </c>
      <c r="D5" s="270"/>
      <c r="E5" s="270"/>
      <c r="F5" s="270"/>
      <c r="G5" s="270"/>
      <c r="H5" s="270"/>
      <c r="I5" s="270"/>
      <c r="J5" s="270"/>
      <c r="K5" s="270"/>
      <c r="L5" s="21"/>
      <c r="N5" s="24"/>
      <c r="O5" s="1" t="s">
        <v>9</v>
      </c>
      <c r="P5" s="1" t="s">
        <v>10</v>
      </c>
      <c r="Q5" s="1" t="s">
        <v>11</v>
      </c>
      <c r="R5" s="1" t="s">
        <v>12</v>
      </c>
      <c r="S5" s="4" t="s">
        <v>13</v>
      </c>
    </row>
    <row r="6" spans="1:19" x14ac:dyDescent="0.25">
      <c r="C6" s="18" t="s">
        <v>14</v>
      </c>
      <c r="D6" s="261">
        <v>25</v>
      </c>
      <c r="E6" s="262"/>
      <c r="F6" s="262"/>
      <c r="G6" s="262"/>
      <c r="H6" s="263"/>
      <c r="I6" s="264">
        <v>50</v>
      </c>
      <c r="J6" s="265"/>
      <c r="K6" s="265"/>
      <c r="L6" s="265"/>
      <c r="N6" s="3" t="s">
        <v>47</v>
      </c>
      <c r="O6" s="2">
        <v>110</v>
      </c>
      <c r="P6" s="2">
        <v>100</v>
      </c>
      <c r="Q6" s="2">
        <v>95</v>
      </c>
      <c r="R6" s="2">
        <v>90</v>
      </c>
      <c r="S6" s="5">
        <v>85</v>
      </c>
    </row>
    <row r="7" spans="1:19" x14ac:dyDescent="0.25">
      <c r="C7" s="9" t="s">
        <v>16</v>
      </c>
      <c r="D7" s="23" t="s">
        <v>17</v>
      </c>
      <c r="E7" s="17" t="s">
        <v>18</v>
      </c>
      <c r="F7" s="17" t="s">
        <v>19</v>
      </c>
      <c r="G7" s="17" t="s">
        <v>20</v>
      </c>
      <c r="H7" s="17" t="s">
        <v>21</v>
      </c>
      <c r="I7" s="17" t="s">
        <v>22</v>
      </c>
      <c r="J7" s="17" t="s">
        <v>19</v>
      </c>
      <c r="K7" s="17" t="s">
        <v>20</v>
      </c>
      <c r="L7" s="8" t="s">
        <v>23</v>
      </c>
      <c r="N7" s="25" t="s">
        <v>24</v>
      </c>
      <c r="O7" s="2">
        <v>500</v>
      </c>
      <c r="P7" s="2">
        <v>500</v>
      </c>
      <c r="Q7" s="2">
        <v>500</v>
      </c>
      <c r="R7" s="2">
        <v>500</v>
      </c>
      <c r="S7" s="5">
        <v>500</v>
      </c>
    </row>
    <row r="8" spans="1:19" x14ac:dyDescent="0.25">
      <c r="A8" s="7" t="s">
        <v>25</v>
      </c>
      <c r="B8" s="2" t="s">
        <v>26</v>
      </c>
      <c r="C8" s="22">
        <v>110</v>
      </c>
      <c r="D8" s="23">
        <v>77</v>
      </c>
      <c r="E8" s="11"/>
      <c r="F8" s="11"/>
      <c r="G8" s="11"/>
      <c r="H8" s="11"/>
      <c r="I8" s="11"/>
      <c r="J8" s="11"/>
      <c r="K8" s="11"/>
      <c r="L8" s="11"/>
      <c r="N8" s="3" t="s">
        <v>27</v>
      </c>
      <c r="O8" s="2">
        <v>750</v>
      </c>
      <c r="P8" s="2">
        <v>650</v>
      </c>
      <c r="Q8" s="2">
        <v>650</v>
      </c>
      <c r="R8" s="2">
        <v>650</v>
      </c>
      <c r="S8" s="5">
        <v>650</v>
      </c>
    </row>
    <row r="9" spans="1:19" x14ac:dyDescent="0.25">
      <c r="A9" s="266" t="s">
        <v>28</v>
      </c>
      <c r="B9" s="7" t="s">
        <v>24</v>
      </c>
      <c r="C9" s="10">
        <v>500</v>
      </c>
      <c r="D9" s="23">
        <v>600</v>
      </c>
      <c r="E9" s="17">
        <f>$C$8*$D$6+C9*5</f>
        <v>5250</v>
      </c>
      <c r="F9" s="17">
        <f>E9/D6/5</f>
        <v>42</v>
      </c>
      <c r="G9" s="20">
        <f>($C$8*$D$6+C9*10)/$D$6/10</f>
        <v>31</v>
      </c>
      <c r="H9" s="19">
        <f>((E9-($D$8*$D$6)-600*5))/(($D$8*$D$6)+600*5)</f>
        <v>6.5989847715736044E-2</v>
      </c>
      <c r="I9" s="17">
        <f>$C$8*$I$6+C9*5</f>
        <v>8000</v>
      </c>
      <c r="J9" s="17">
        <f>I9/$I$6/5</f>
        <v>32</v>
      </c>
      <c r="K9" s="20">
        <f>($C$8*$I$6+C9*10)/$I$6/10</f>
        <v>21</v>
      </c>
      <c r="L9" s="19">
        <f>((I9-($D$8*$I$6)-600*5))/(($D$8*$I$6)+600*5)</f>
        <v>0.16788321167883211</v>
      </c>
      <c r="N9" s="3" t="s">
        <v>29</v>
      </c>
      <c r="O9" s="2">
        <v>900</v>
      </c>
      <c r="P9" s="2">
        <v>900</v>
      </c>
      <c r="Q9" s="2">
        <v>850</v>
      </c>
      <c r="R9" s="2">
        <v>850</v>
      </c>
      <c r="S9" s="5">
        <v>850</v>
      </c>
    </row>
    <row r="10" spans="1:19" ht="14.45" customHeight="1" thickBot="1" x14ac:dyDescent="0.3">
      <c r="A10" s="267"/>
      <c r="B10" s="2" t="s">
        <v>27</v>
      </c>
      <c r="C10" s="10">
        <v>750</v>
      </c>
      <c r="D10" s="23">
        <v>600</v>
      </c>
      <c r="E10" s="17">
        <f>$C$8*$D$6+C10*5</f>
        <v>6500</v>
      </c>
      <c r="F10" s="17">
        <f>E10/25/5</f>
        <v>52</v>
      </c>
      <c r="G10" s="20">
        <f t="shared" ref="G10:G11" si="0">($C$8*$D$6+C10*10)/$D$6/10</f>
        <v>41</v>
      </c>
      <c r="H10" s="19">
        <f t="shared" ref="H10:H11" si="1">((E10-($D$8*$D$6)-600*5))/(($D$8*$D$6)+600*5)</f>
        <v>0.31979695431472083</v>
      </c>
      <c r="I10" s="17">
        <f>$C$8*$I$6+C10*5</f>
        <v>9250</v>
      </c>
      <c r="J10" s="17">
        <f t="shared" ref="J10:J11" si="2">I10/$I$6/5</f>
        <v>37</v>
      </c>
      <c r="K10" s="20">
        <f t="shared" ref="K10:K11" si="3">($C$8*$I$6+C10*10)/$I$6/10</f>
        <v>26</v>
      </c>
      <c r="L10" s="19">
        <f t="shared" ref="L10:L11" si="4">((I10-($D$8*$I$6)-600*5))/(($D$8*$I$6)+600*5)</f>
        <v>0.35036496350364965</v>
      </c>
      <c r="N10" s="15" t="s">
        <v>30</v>
      </c>
      <c r="O10" s="26"/>
      <c r="P10" s="16">
        <v>1000</v>
      </c>
      <c r="Q10" s="16">
        <v>1500</v>
      </c>
      <c r="R10" s="16">
        <v>2000</v>
      </c>
      <c r="S10" s="14">
        <v>3000</v>
      </c>
    </row>
    <row r="11" spans="1:19" ht="14.45" customHeight="1" x14ac:dyDescent="0.25">
      <c r="A11" s="267"/>
      <c r="B11" s="2" t="s">
        <v>31</v>
      </c>
      <c r="C11" s="10">
        <v>900</v>
      </c>
      <c r="D11" s="23">
        <v>600</v>
      </c>
      <c r="E11" s="17">
        <f>$C$8*$D$6+C11*5</f>
        <v>7250</v>
      </c>
      <c r="F11" s="17">
        <f>E11/25/5</f>
        <v>58</v>
      </c>
      <c r="G11" s="20">
        <f t="shared" si="0"/>
        <v>47</v>
      </c>
      <c r="H11" s="19">
        <f t="shared" si="1"/>
        <v>0.4720812182741117</v>
      </c>
      <c r="I11" s="17">
        <f>$C$8*$I$6+C11*5</f>
        <v>10000</v>
      </c>
      <c r="J11" s="17">
        <f t="shared" si="2"/>
        <v>40</v>
      </c>
      <c r="K11" s="20">
        <f t="shared" si="3"/>
        <v>29</v>
      </c>
      <c r="L11" s="19">
        <f t="shared" si="4"/>
        <v>0.45985401459854014</v>
      </c>
    </row>
    <row r="12" spans="1:19" x14ac:dyDescent="0.25">
      <c r="A12" s="267"/>
      <c r="B12" s="11"/>
      <c r="C12" s="12"/>
      <c r="D12" s="12"/>
      <c r="E12" s="11"/>
      <c r="F12" s="11"/>
      <c r="G12" s="11"/>
      <c r="H12" s="11"/>
      <c r="I12" s="11"/>
      <c r="J12" s="11"/>
      <c r="K12" s="11"/>
      <c r="L12" s="11"/>
    </row>
    <row r="13" spans="1:19" x14ac:dyDescent="0.25">
      <c r="A13" s="267"/>
      <c r="B13" s="11"/>
      <c r="C13" s="12"/>
      <c r="D13" s="12"/>
      <c r="E13" s="11"/>
      <c r="F13" s="11"/>
      <c r="G13" s="11"/>
      <c r="H13" s="11"/>
      <c r="I13" s="11"/>
      <c r="J13" s="11"/>
      <c r="K13" s="11"/>
      <c r="L13" s="11"/>
    </row>
    <row r="14" spans="1:19" ht="15.75" thickBot="1" x14ac:dyDescent="0.3">
      <c r="A14" s="268"/>
      <c r="B14" s="11"/>
      <c r="C14" s="13"/>
      <c r="D14" s="13"/>
      <c r="E14" s="11"/>
      <c r="F14" s="11"/>
      <c r="G14" s="11"/>
      <c r="H14" s="11"/>
      <c r="I14" s="11"/>
      <c r="J14" s="11"/>
      <c r="K14" s="11"/>
      <c r="L14" s="11"/>
    </row>
    <row r="17" spans="1:12" ht="28.5" x14ac:dyDescent="0.45">
      <c r="C17" s="259" t="s">
        <v>32</v>
      </c>
      <c r="D17" s="260"/>
      <c r="E17" s="260"/>
      <c r="F17" s="260"/>
      <c r="G17" s="260"/>
      <c r="H17" s="260"/>
      <c r="I17" s="260"/>
      <c r="J17" s="260"/>
      <c r="K17" s="260"/>
      <c r="L17" s="21"/>
    </row>
    <row r="18" spans="1:12" x14ac:dyDescent="0.25">
      <c r="C18" s="18" t="s">
        <v>14</v>
      </c>
      <c r="D18" s="261">
        <v>50</v>
      </c>
      <c r="E18" s="262"/>
      <c r="F18" s="262"/>
      <c r="G18" s="262"/>
      <c r="H18" s="263"/>
      <c r="I18" s="264">
        <v>100</v>
      </c>
      <c r="J18" s="265"/>
      <c r="K18" s="265"/>
      <c r="L18" s="265"/>
    </row>
    <row r="19" spans="1:12" x14ac:dyDescent="0.25">
      <c r="C19" s="9" t="s">
        <v>16</v>
      </c>
      <c r="D19" s="23" t="s">
        <v>17</v>
      </c>
      <c r="E19" s="17" t="s">
        <v>22</v>
      </c>
      <c r="F19" s="17" t="s">
        <v>19</v>
      </c>
      <c r="G19" s="17" t="s">
        <v>20</v>
      </c>
      <c r="H19" s="17" t="s">
        <v>21</v>
      </c>
      <c r="I19" s="17" t="s">
        <v>33</v>
      </c>
      <c r="J19" s="17" t="s">
        <v>19</v>
      </c>
      <c r="K19" s="17" t="s">
        <v>20</v>
      </c>
      <c r="L19" s="8" t="s">
        <v>23</v>
      </c>
    </row>
    <row r="20" spans="1:12" x14ac:dyDescent="0.25">
      <c r="A20" s="7" t="s">
        <v>25</v>
      </c>
      <c r="B20" s="2" t="s">
        <v>26</v>
      </c>
      <c r="C20" s="22">
        <v>100</v>
      </c>
      <c r="D20" s="23">
        <v>77</v>
      </c>
      <c r="E20" s="11"/>
      <c r="F20" s="11"/>
      <c r="G20" s="11"/>
      <c r="H20" s="11"/>
      <c r="I20" s="11"/>
      <c r="J20" s="11"/>
      <c r="K20" s="11"/>
      <c r="L20" s="11"/>
    </row>
    <row r="21" spans="1:12" x14ac:dyDescent="0.25">
      <c r="A21" s="266" t="s">
        <v>28</v>
      </c>
      <c r="B21" s="7" t="s">
        <v>24</v>
      </c>
      <c r="C21" s="10">
        <v>500</v>
      </c>
      <c r="D21" s="23">
        <v>600</v>
      </c>
      <c r="E21" s="17">
        <f>$C$20*$D$18+C21*5</f>
        <v>7500</v>
      </c>
      <c r="F21" s="17">
        <f>E21/D18/5</f>
        <v>30</v>
      </c>
      <c r="G21" s="20">
        <f>($C$20*$D$18+C21*10)/$D$18/10</f>
        <v>20</v>
      </c>
      <c r="H21" s="19">
        <f>((E21-($D$20*$D$18)-600*5))/(($D$20*$D$18)+600*5)</f>
        <v>9.4890510948905105E-2</v>
      </c>
      <c r="I21" s="17">
        <f>$C$20*$I$18+C21*5</f>
        <v>12500</v>
      </c>
      <c r="J21" s="17">
        <f>I21/$I$18/5</f>
        <v>25</v>
      </c>
      <c r="K21" s="20">
        <f>($C$20*$I$18+C21*10)/$I$18/10</f>
        <v>15</v>
      </c>
      <c r="L21" s="19">
        <f>((I21-($D$20*$I$18)-600*5))/(($D$20*$I$18)+600*5)</f>
        <v>0.16822429906542055</v>
      </c>
    </row>
    <row r="22" spans="1:12" x14ac:dyDescent="0.25">
      <c r="A22" s="267"/>
      <c r="B22" s="2" t="s">
        <v>27</v>
      </c>
      <c r="C22" s="10">
        <v>650</v>
      </c>
      <c r="D22" s="23">
        <v>600</v>
      </c>
      <c r="E22" s="17">
        <f>$C$20*$D$18+C22*5</f>
        <v>8250</v>
      </c>
      <c r="F22" s="17">
        <f>E22/D18/5</f>
        <v>33</v>
      </c>
      <c r="G22" s="20">
        <f t="shared" ref="G22:G24" si="5">($C$20*$D$18+C22*10)/$D$18/10</f>
        <v>23</v>
      </c>
      <c r="H22" s="19">
        <f t="shared" ref="H22:H24" si="6">((E22-($D$20*$D$18)-600*5))/(($D$20*$D$18)+600*5)</f>
        <v>0.20437956204379562</v>
      </c>
      <c r="I22" s="17">
        <f>$C$20*$I$18+C22*5</f>
        <v>13250</v>
      </c>
      <c r="J22" s="17">
        <f t="shared" ref="J22:J24" si="7">I22/$I$18/5</f>
        <v>26.5</v>
      </c>
      <c r="K22" s="20">
        <f t="shared" ref="K22:K24" si="8">($C$20*$I$18+C22*10)/$I$18/10</f>
        <v>16.5</v>
      </c>
      <c r="L22" s="19">
        <f t="shared" ref="L22:L24" si="9">((I22-($D$20*$I$18)-600*5))/(($D$20*$I$18)+600*5)</f>
        <v>0.23831775700934579</v>
      </c>
    </row>
    <row r="23" spans="1:12" x14ac:dyDescent="0.25">
      <c r="A23" s="267"/>
      <c r="B23" s="2" t="s">
        <v>29</v>
      </c>
      <c r="C23" s="10">
        <v>900</v>
      </c>
      <c r="D23" s="23">
        <v>600</v>
      </c>
      <c r="E23" s="17">
        <f>$C$20*$D$18+C23*5</f>
        <v>9500</v>
      </c>
      <c r="F23" s="17">
        <f>E23/D18/5</f>
        <v>38</v>
      </c>
      <c r="G23" s="20">
        <f t="shared" si="5"/>
        <v>28</v>
      </c>
      <c r="H23" s="19">
        <f t="shared" si="6"/>
        <v>0.38686131386861317</v>
      </c>
      <c r="I23" s="17">
        <f>$C$20*$I$18+C23*5</f>
        <v>14500</v>
      </c>
      <c r="J23" s="17">
        <f t="shared" si="7"/>
        <v>29</v>
      </c>
      <c r="K23" s="20">
        <f t="shared" si="8"/>
        <v>19</v>
      </c>
      <c r="L23" s="19">
        <f t="shared" si="9"/>
        <v>0.35514018691588783</v>
      </c>
    </row>
    <row r="24" spans="1:12" x14ac:dyDescent="0.25">
      <c r="A24" s="267"/>
      <c r="B24" s="2" t="s">
        <v>30</v>
      </c>
      <c r="C24" s="10">
        <v>1000</v>
      </c>
      <c r="D24" s="23">
        <v>600</v>
      </c>
      <c r="E24" s="17">
        <f>$C$20*$D$18+C24*5</f>
        <v>10000</v>
      </c>
      <c r="F24" s="17">
        <f>E24/D18/5</f>
        <v>40</v>
      </c>
      <c r="G24" s="20">
        <f t="shared" si="5"/>
        <v>30</v>
      </c>
      <c r="H24" s="19">
        <f t="shared" si="6"/>
        <v>0.45985401459854014</v>
      </c>
      <c r="I24" s="17">
        <f>$C$20*$I$18+C24*5</f>
        <v>15000</v>
      </c>
      <c r="J24" s="17">
        <f t="shared" si="7"/>
        <v>30</v>
      </c>
      <c r="K24" s="20">
        <f t="shared" si="8"/>
        <v>20</v>
      </c>
      <c r="L24" s="19">
        <f t="shared" si="9"/>
        <v>0.40186915887850466</v>
      </c>
    </row>
    <row r="25" spans="1:12" ht="15.75" thickBot="1" x14ac:dyDescent="0.3">
      <c r="A25" s="268"/>
      <c r="B25" s="11"/>
      <c r="C25" s="13"/>
      <c r="D25" s="13"/>
      <c r="E25" s="11"/>
      <c r="F25" s="11"/>
      <c r="G25" s="11"/>
      <c r="H25" s="11"/>
      <c r="I25" s="11"/>
      <c r="J25" s="11"/>
      <c r="K25" s="11"/>
      <c r="L25" s="11"/>
    </row>
    <row r="28" spans="1:12" ht="28.5" x14ac:dyDescent="0.45">
      <c r="C28" s="259" t="s">
        <v>35</v>
      </c>
      <c r="D28" s="260"/>
      <c r="E28" s="260"/>
      <c r="F28" s="260"/>
      <c r="G28" s="260"/>
      <c r="H28" s="260"/>
      <c r="I28" s="260"/>
      <c r="J28" s="260"/>
      <c r="K28" s="260"/>
      <c r="L28" s="21"/>
    </row>
    <row r="29" spans="1:12" x14ac:dyDescent="0.25">
      <c r="C29" s="18" t="s">
        <v>14</v>
      </c>
      <c r="D29" s="261">
        <v>100</v>
      </c>
      <c r="E29" s="262"/>
      <c r="F29" s="262"/>
      <c r="G29" s="262"/>
      <c r="H29" s="263"/>
      <c r="I29" s="264">
        <v>200</v>
      </c>
      <c r="J29" s="265"/>
      <c r="K29" s="265"/>
      <c r="L29" s="265"/>
    </row>
    <row r="30" spans="1:12" x14ac:dyDescent="0.25">
      <c r="C30" s="9" t="s">
        <v>16</v>
      </c>
      <c r="D30" s="23" t="s">
        <v>17</v>
      </c>
      <c r="E30" s="17" t="s">
        <v>33</v>
      </c>
      <c r="F30" s="17" t="s">
        <v>19</v>
      </c>
      <c r="G30" s="17" t="s">
        <v>20</v>
      </c>
      <c r="H30" s="17" t="s">
        <v>21</v>
      </c>
      <c r="I30" s="17" t="s">
        <v>36</v>
      </c>
      <c r="J30" s="17" t="s">
        <v>19</v>
      </c>
      <c r="K30" s="17" t="s">
        <v>20</v>
      </c>
      <c r="L30" s="8" t="s">
        <v>23</v>
      </c>
    </row>
    <row r="31" spans="1:12" x14ac:dyDescent="0.25">
      <c r="A31" s="7" t="s">
        <v>25</v>
      </c>
      <c r="B31" s="2" t="s">
        <v>26</v>
      </c>
      <c r="C31" s="22">
        <v>95</v>
      </c>
      <c r="D31" s="23">
        <v>77</v>
      </c>
      <c r="E31" s="11"/>
      <c r="F31" s="11"/>
      <c r="G31" s="11"/>
      <c r="H31" s="11"/>
      <c r="I31" s="11"/>
      <c r="J31" s="11"/>
      <c r="K31" s="11"/>
      <c r="L31" s="11"/>
    </row>
    <row r="32" spans="1:12" x14ac:dyDescent="0.25">
      <c r="A32" s="266" t="s">
        <v>28</v>
      </c>
      <c r="B32" s="7" t="s">
        <v>24</v>
      </c>
      <c r="C32" s="10">
        <v>500</v>
      </c>
      <c r="D32" s="23">
        <v>600</v>
      </c>
      <c r="E32" s="17">
        <f>$C$31*$D$29+C32*5</f>
        <v>12000</v>
      </c>
      <c r="F32" s="17">
        <f>E32/D29/5</f>
        <v>24</v>
      </c>
      <c r="G32" s="20">
        <f>($C$31*$D$29+C32*10)/$D$29/10</f>
        <v>14.5</v>
      </c>
      <c r="H32" s="19">
        <f>((E32-($D$8*$D$29)-600*5))/(($D$8*$D$29)+600*5)</f>
        <v>0.12149532710280374</v>
      </c>
      <c r="I32" s="17">
        <f>$C$31*$I$29+C32*5</f>
        <v>21500</v>
      </c>
      <c r="J32" s="17">
        <f>I32/$I$29/5</f>
        <v>21.5</v>
      </c>
      <c r="K32" s="20">
        <f>(($C$31*$I$29+C32*10)/$I$29)/10</f>
        <v>12</v>
      </c>
      <c r="L32" s="19">
        <f>((I32-($D$31*$I$29)-600*5))/(($D$31*$I$29)+600*5)</f>
        <v>0.16847826086956522</v>
      </c>
    </row>
    <row r="33" spans="1:12" x14ac:dyDescent="0.25">
      <c r="A33" s="267"/>
      <c r="B33" s="2" t="s">
        <v>27</v>
      </c>
      <c r="C33" s="10">
        <v>650</v>
      </c>
      <c r="D33" s="23">
        <v>600</v>
      </c>
      <c r="E33" s="17">
        <f>$C$31*$D$29+C33*5</f>
        <v>12750</v>
      </c>
      <c r="F33" s="17">
        <f>E33/D29/5</f>
        <v>25.5</v>
      </c>
      <c r="G33" s="20">
        <f t="shared" ref="G33:G35" si="10">($C$31*$D$29+C33*10)/$D$29/10</f>
        <v>16</v>
      </c>
      <c r="H33" s="19">
        <f t="shared" ref="H33:H35" si="11">((E33-($D$8*$D$29)-600*5))/(($D$8*$D$29)+600*5)</f>
        <v>0.19158878504672897</v>
      </c>
      <c r="I33" s="17">
        <f t="shared" ref="I33:I35" si="12">$C$31*$I$29+C33*5</f>
        <v>22250</v>
      </c>
      <c r="J33" s="17">
        <f t="shared" ref="J33:J35" si="13">I33/$I$29/5</f>
        <v>22.25</v>
      </c>
      <c r="K33" s="20">
        <f t="shared" ref="K33:K35" si="14">(($C$31*$I$29+C33*10)/$I$29)/10</f>
        <v>12.75</v>
      </c>
      <c r="L33" s="19">
        <f t="shared" ref="L33:L35" si="15">((I33-($D$31*$I$29)-600*5))/(($D$31*$I$29)+600*5)</f>
        <v>0.20923913043478262</v>
      </c>
    </row>
    <row r="34" spans="1:12" x14ac:dyDescent="0.25">
      <c r="A34" s="267"/>
      <c r="B34" s="2" t="s">
        <v>29</v>
      </c>
      <c r="C34" s="10">
        <v>850</v>
      </c>
      <c r="D34" s="23">
        <v>600</v>
      </c>
      <c r="E34" s="17">
        <f>$C$31*$D$29+C34*5</f>
        <v>13750</v>
      </c>
      <c r="F34" s="17">
        <f>E34/D29/5</f>
        <v>27.5</v>
      </c>
      <c r="G34" s="20">
        <f t="shared" si="10"/>
        <v>18</v>
      </c>
      <c r="H34" s="19">
        <f t="shared" si="11"/>
        <v>0.28504672897196259</v>
      </c>
      <c r="I34" s="17">
        <f t="shared" si="12"/>
        <v>23250</v>
      </c>
      <c r="J34" s="17">
        <f t="shared" si="13"/>
        <v>23.25</v>
      </c>
      <c r="K34" s="20">
        <f t="shared" si="14"/>
        <v>13.75</v>
      </c>
      <c r="L34" s="19">
        <f t="shared" si="15"/>
        <v>0.26358695652173914</v>
      </c>
    </row>
    <row r="35" spans="1:12" x14ac:dyDescent="0.25">
      <c r="A35" s="267"/>
      <c r="B35" s="2" t="s">
        <v>30</v>
      </c>
      <c r="C35" s="10">
        <v>1500</v>
      </c>
      <c r="D35" s="23">
        <v>600</v>
      </c>
      <c r="E35" s="17">
        <f>$C$31*$D$29+C35*5</f>
        <v>17000</v>
      </c>
      <c r="F35" s="17">
        <f>E35/D29/5</f>
        <v>34</v>
      </c>
      <c r="G35" s="20">
        <f t="shared" si="10"/>
        <v>24.5</v>
      </c>
      <c r="H35" s="19">
        <f t="shared" si="11"/>
        <v>0.58878504672897192</v>
      </c>
      <c r="I35" s="17">
        <f t="shared" si="12"/>
        <v>26500</v>
      </c>
      <c r="J35" s="17">
        <f t="shared" si="13"/>
        <v>26.5</v>
      </c>
      <c r="K35" s="20">
        <f t="shared" si="14"/>
        <v>17</v>
      </c>
      <c r="L35" s="19">
        <f t="shared" si="15"/>
        <v>0.44021739130434784</v>
      </c>
    </row>
    <row r="36" spans="1:12" ht="15.75" thickBot="1" x14ac:dyDescent="0.3">
      <c r="A36" s="268"/>
      <c r="B36" s="11"/>
      <c r="C36" s="13"/>
      <c r="D36" s="13"/>
      <c r="E36" s="11"/>
      <c r="F36" s="11"/>
      <c r="G36" s="11"/>
      <c r="H36" s="11"/>
      <c r="I36" s="11"/>
      <c r="J36" s="11"/>
      <c r="K36" s="11"/>
      <c r="L36" s="11"/>
    </row>
    <row r="39" spans="1:12" ht="28.5" x14ac:dyDescent="0.45">
      <c r="C39" s="259" t="s">
        <v>37</v>
      </c>
      <c r="D39" s="260"/>
      <c r="E39" s="260"/>
      <c r="F39" s="260"/>
      <c r="G39" s="260"/>
      <c r="H39" s="260"/>
      <c r="I39" s="260"/>
      <c r="J39" s="260"/>
      <c r="K39" s="260"/>
      <c r="L39" s="21"/>
    </row>
    <row r="40" spans="1:12" x14ac:dyDescent="0.25">
      <c r="C40" s="18" t="s">
        <v>14</v>
      </c>
      <c r="D40" s="261">
        <v>200</v>
      </c>
      <c r="E40" s="262"/>
      <c r="F40" s="262"/>
      <c r="G40" s="262"/>
      <c r="H40" s="263"/>
      <c r="I40" s="264">
        <v>500</v>
      </c>
      <c r="J40" s="265"/>
      <c r="K40" s="265"/>
      <c r="L40" s="265"/>
    </row>
    <row r="41" spans="1:12" x14ac:dyDescent="0.25">
      <c r="C41" s="9" t="s">
        <v>16</v>
      </c>
      <c r="D41" s="23" t="s">
        <v>17</v>
      </c>
      <c r="E41" s="17" t="s">
        <v>36</v>
      </c>
      <c r="F41" s="17" t="s">
        <v>19</v>
      </c>
      <c r="G41" s="17" t="s">
        <v>20</v>
      </c>
      <c r="H41" s="17" t="s">
        <v>21</v>
      </c>
      <c r="I41" s="17" t="s">
        <v>38</v>
      </c>
      <c r="J41" s="17" t="s">
        <v>19</v>
      </c>
      <c r="K41" s="17" t="s">
        <v>20</v>
      </c>
      <c r="L41" s="8" t="s">
        <v>23</v>
      </c>
    </row>
    <row r="42" spans="1:12" x14ac:dyDescent="0.25">
      <c r="A42" s="7" t="s">
        <v>25</v>
      </c>
      <c r="B42" s="2" t="s">
        <v>26</v>
      </c>
      <c r="C42" s="22">
        <v>90</v>
      </c>
      <c r="D42" s="23">
        <v>77</v>
      </c>
      <c r="E42" s="11"/>
      <c r="F42" s="11"/>
      <c r="G42" s="11"/>
      <c r="H42" s="11"/>
      <c r="I42" s="11"/>
      <c r="J42" s="11"/>
      <c r="K42" s="11"/>
      <c r="L42" s="11"/>
    </row>
    <row r="43" spans="1:12" x14ac:dyDescent="0.25">
      <c r="A43" s="266" t="s">
        <v>28</v>
      </c>
      <c r="B43" s="7" t="s">
        <v>24</v>
      </c>
      <c r="C43" s="10">
        <v>500</v>
      </c>
      <c r="D43" s="23">
        <v>600</v>
      </c>
      <c r="E43" s="17">
        <f>$C$42*$D$40+C43*5</f>
        <v>20500</v>
      </c>
      <c r="F43" s="17">
        <f>E43/D40/5</f>
        <v>20.5</v>
      </c>
      <c r="G43" s="20">
        <f>($C$20*$D$40+C43*10)/$D$40/10</f>
        <v>12.5</v>
      </c>
      <c r="H43" s="19">
        <f>((E43-($D$8*$D$40)-600*5))/(($D$8*$D$40)+600*5)</f>
        <v>0.11413043478260869</v>
      </c>
      <c r="I43" s="17">
        <f>$C$42*$I$40+C43*5</f>
        <v>47500</v>
      </c>
      <c r="J43" s="17">
        <f>I43/$I$40/5</f>
        <v>19</v>
      </c>
      <c r="K43" s="20">
        <f>($C$42*$I$40+C43*10)/$I$40/10</f>
        <v>10</v>
      </c>
      <c r="L43" s="19">
        <f>((I43-($D$42*$I$40)-600*5))/(($D$42*$I$40)+600*5)</f>
        <v>0.14457831325301204</v>
      </c>
    </row>
    <row r="44" spans="1:12" x14ac:dyDescent="0.25">
      <c r="A44" s="267"/>
      <c r="B44" s="2" t="s">
        <v>27</v>
      </c>
      <c r="C44" s="10">
        <v>650</v>
      </c>
      <c r="D44" s="23">
        <v>600</v>
      </c>
      <c r="E44" s="17">
        <f t="shared" ref="E44:E46" si="16">$C$42*$D$40+C44*5</f>
        <v>21250</v>
      </c>
      <c r="F44" s="17">
        <f>E44/D40/5</f>
        <v>21.25</v>
      </c>
      <c r="G44" s="20">
        <f t="shared" ref="G44:G46" si="17">($C$20*$D$40+C44*10)/$D$40/10</f>
        <v>13.25</v>
      </c>
      <c r="H44" s="19">
        <f t="shared" ref="H44:H46" si="18">((E44-($D$8*$D$40)-600*5))/(($D$8*$D$40)+600*5)</f>
        <v>0.15489130434782608</v>
      </c>
      <c r="I44" s="17">
        <f t="shared" ref="I44:I46" si="19">$C$42*$I$40+C44*5</f>
        <v>48250</v>
      </c>
      <c r="J44" s="17">
        <f t="shared" ref="J44:J46" si="20">I44/$I$40/5</f>
        <v>19.3</v>
      </c>
      <c r="K44" s="20">
        <f t="shared" ref="K44:K46" si="21">($C$42*$I$40+C44*10)/$I$40/10</f>
        <v>10.3</v>
      </c>
      <c r="L44" s="19">
        <f t="shared" ref="L44:L46" si="22">((I44-($D$42*$I$40)-600*5))/(($D$42*$I$40)+600*5)</f>
        <v>0.16265060240963855</v>
      </c>
    </row>
    <row r="45" spans="1:12" x14ac:dyDescent="0.25">
      <c r="A45" s="267"/>
      <c r="B45" s="2" t="s">
        <v>29</v>
      </c>
      <c r="C45" s="10">
        <v>850</v>
      </c>
      <c r="D45" s="23">
        <v>600</v>
      </c>
      <c r="E45" s="17">
        <f t="shared" si="16"/>
        <v>22250</v>
      </c>
      <c r="F45" s="17">
        <f>E45/D40/5</f>
        <v>22.25</v>
      </c>
      <c r="G45" s="20">
        <f t="shared" si="17"/>
        <v>14.25</v>
      </c>
      <c r="H45" s="19">
        <f t="shared" si="18"/>
        <v>0.20923913043478262</v>
      </c>
      <c r="I45" s="17">
        <f t="shared" si="19"/>
        <v>49250</v>
      </c>
      <c r="J45" s="17">
        <f t="shared" si="20"/>
        <v>19.7</v>
      </c>
      <c r="K45" s="20">
        <f t="shared" si="21"/>
        <v>10.7</v>
      </c>
      <c r="L45" s="19">
        <f t="shared" si="22"/>
        <v>0.18674698795180722</v>
      </c>
    </row>
    <row r="46" spans="1:12" x14ac:dyDescent="0.25">
      <c r="A46" s="267"/>
      <c r="B46" s="2" t="s">
        <v>30</v>
      </c>
      <c r="C46" s="10">
        <v>2000</v>
      </c>
      <c r="D46" s="23">
        <v>600</v>
      </c>
      <c r="E46" s="17">
        <f t="shared" si="16"/>
        <v>28000</v>
      </c>
      <c r="F46" s="17">
        <f>E46/D40/5</f>
        <v>28</v>
      </c>
      <c r="G46" s="20">
        <f t="shared" si="17"/>
        <v>20</v>
      </c>
      <c r="H46" s="19">
        <f t="shared" si="18"/>
        <v>0.52173913043478259</v>
      </c>
      <c r="I46" s="17">
        <f t="shared" si="19"/>
        <v>55000</v>
      </c>
      <c r="J46" s="17">
        <f t="shared" si="20"/>
        <v>22</v>
      </c>
      <c r="K46" s="20">
        <f t="shared" si="21"/>
        <v>13</v>
      </c>
      <c r="L46" s="19">
        <f t="shared" si="22"/>
        <v>0.3253012048192771</v>
      </c>
    </row>
    <row r="47" spans="1:12" ht="15.75" thickBot="1" x14ac:dyDescent="0.3">
      <c r="A47" s="268"/>
      <c r="B47" s="11"/>
      <c r="C47" s="13"/>
      <c r="D47" s="13"/>
      <c r="E47" s="11"/>
      <c r="F47" s="11"/>
      <c r="G47" s="11"/>
      <c r="H47" s="11"/>
      <c r="I47" s="11"/>
      <c r="J47" s="11"/>
      <c r="K47" s="11"/>
      <c r="L47" s="11"/>
    </row>
    <row r="50" spans="1:12" ht="28.5" x14ac:dyDescent="0.45">
      <c r="C50" s="259" t="s">
        <v>39</v>
      </c>
      <c r="D50" s="260"/>
      <c r="E50" s="260"/>
      <c r="F50" s="260"/>
      <c r="G50" s="260"/>
      <c r="H50" s="260"/>
      <c r="I50" s="260"/>
      <c r="J50" s="260"/>
      <c r="K50" s="260"/>
      <c r="L50" s="21"/>
    </row>
    <row r="51" spans="1:12" x14ac:dyDescent="0.25">
      <c r="C51" s="18" t="s">
        <v>14</v>
      </c>
      <c r="D51" s="261">
        <v>500</v>
      </c>
      <c r="E51" s="262"/>
      <c r="F51" s="262"/>
      <c r="G51" s="262"/>
      <c r="H51" s="263"/>
      <c r="I51" s="264">
        <v>1000</v>
      </c>
      <c r="J51" s="265"/>
      <c r="K51" s="265"/>
      <c r="L51" s="265"/>
    </row>
    <row r="52" spans="1:12" x14ac:dyDescent="0.25">
      <c r="C52" s="9" t="s">
        <v>16</v>
      </c>
      <c r="D52" s="23" t="s">
        <v>17</v>
      </c>
      <c r="E52" s="17" t="s">
        <v>38</v>
      </c>
      <c r="F52" s="17" t="s">
        <v>19</v>
      </c>
      <c r="G52" s="17" t="s">
        <v>20</v>
      </c>
      <c r="H52" s="17" t="s">
        <v>21</v>
      </c>
      <c r="I52" s="17" t="s">
        <v>40</v>
      </c>
      <c r="J52" s="17" t="s">
        <v>19</v>
      </c>
      <c r="K52" s="17" t="s">
        <v>20</v>
      </c>
      <c r="L52" s="8" t="s">
        <v>23</v>
      </c>
    </row>
    <row r="53" spans="1:12" x14ac:dyDescent="0.25">
      <c r="A53" s="7" t="s">
        <v>25</v>
      </c>
      <c r="B53" s="2" t="s">
        <v>26</v>
      </c>
      <c r="C53" s="22">
        <v>85</v>
      </c>
      <c r="D53" s="23">
        <v>77</v>
      </c>
      <c r="E53" s="11"/>
      <c r="F53" s="11"/>
      <c r="G53" s="11"/>
      <c r="H53" s="11"/>
      <c r="I53" s="11"/>
      <c r="J53" s="11"/>
      <c r="K53" s="11"/>
      <c r="L53" s="11"/>
    </row>
    <row r="54" spans="1:12" x14ac:dyDescent="0.25">
      <c r="A54" s="266" t="s">
        <v>28</v>
      </c>
      <c r="B54" s="7" t="s">
        <v>24</v>
      </c>
      <c r="C54" s="10">
        <v>500</v>
      </c>
      <c r="D54" s="23">
        <v>600</v>
      </c>
      <c r="E54" s="17">
        <f>$C$53*$D$51+C54*5</f>
        <v>45000</v>
      </c>
      <c r="F54" s="17">
        <f>E54/D51/5</f>
        <v>18</v>
      </c>
      <c r="G54" s="20">
        <f>($C$20*$D$51+C54*10)/$D$51/10</f>
        <v>11</v>
      </c>
      <c r="H54" s="19">
        <f>((E54-($D$53*$D$51)-600*5))/(($D$53*$D$51)+600*5)</f>
        <v>8.4337349397590355E-2</v>
      </c>
      <c r="I54" s="17">
        <f>$C$53*$I$51+C54*5</f>
        <v>87500</v>
      </c>
      <c r="J54" s="17">
        <f>I54/$I$51/5</f>
        <v>17.5</v>
      </c>
      <c r="K54" s="20">
        <f>($C$53*$I$51+C54*10)/$I$51/10</f>
        <v>9</v>
      </c>
      <c r="L54" s="19">
        <f>((I54-($D$53*$I$51)-600*5))/(($D$53*$I$51)+600*5)</f>
        <v>9.375E-2</v>
      </c>
    </row>
    <row r="55" spans="1:12" x14ac:dyDescent="0.25">
      <c r="A55" s="267"/>
      <c r="B55" s="2" t="s">
        <v>27</v>
      </c>
      <c r="C55" s="10">
        <v>650</v>
      </c>
      <c r="D55" s="23">
        <v>600</v>
      </c>
      <c r="E55" s="17">
        <f t="shared" ref="E55:E57" si="23">$C$53*$D$51+C55*5</f>
        <v>45750</v>
      </c>
      <c r="F55" s="17">
        <f>E55/D51/5</f>
        <v>18.3</v>
      </c>
      <c r="G55" s="20">
        <f t="shared" ref="G55:G57" si="24">($C$20*$D$51+C55*10)/$D$51/10</f>
        <v>11.3</v>
      </c>
      <c r="H55" s="19">
        <f t="shared" ref="H55:H57" si="25">((E55-($D$53*$D$51)-600*5))/(($D$53*$D$51)+600*5)</f>
        <v>0.10240963855421686</v>
      </c>
      <c r="I55" s="17">
        <f t="shared" ref="I55:I57" si="26">$C$53*$I$51+C55*5</f>
        <v>88250</v>
      </c>
      <c r="J55" s="17">
        <f t="shared" ref="J55:J57" si="27">I55/$I$51/5</f>
        <v>17.649999999999999</v>
      </c>
      <c r="K55" s="20">
        <f t="shared" ref="K55:K57" si="28">($C$53*$I$51+C55*10)/$I$51/10</f>
        <v>9.15</v>
      </c>
      <c r="L55" s="19">
        <f t="shared" ref="L55:L57" si="29">((I55-($D$53*$I$51)-600*5))/(($D$53*$I$51)+600*5)</f>
        <v>0.10312499999999999</v>
      </c>
    </row>
    <row r="56" spans="1:12" x14ac:dyDescent="0.25">
      <c r="A56" s="267"/>
      <c r="B56" s="2" t="s">
        <v>29</v>
      </c>
      <c r="C56" s="10">
        <v>850</v>
      </c>
      <c r="D56" s="23">
        <v>600</v>
      </c>
      <c r="E56" s="17">
        <f t="shared" si="23"/>
        <v>46750</v>
      </c>
      <c r="F56" s="17">
        <f>E56/D51/5</f>
        <v>18.7</v>
      </c>
      <c r="G56" s="20">
        <f t="shared" si="24"/>
        <v>11.7</v>
      </c>
      <c r="H56" s="19">
        <f t="shared" si="25"/>
        <v>0.12650602409638553</v>
      </c>
      <c r="I56" s="17">
        <f t="shared" si="26"/>
        <v>89250</v>
      </c>
      <c r="J56" s="17">
        <f t="shared" si="27"/>
        <v>17.850000000000001</v>
      </c>
      <c r="K56" s="20">
        <f t="shared" si="28"/>
        <v>9.35</v>
      </c>
      <c r="L56" s="19">
        <f t="shared" si="29"/>
        <v>0.11562500000000001</v>
      </c>
    </row>
    <row r="57" spans="1:12" x14ac:dyDescent="0.25">
      <c r="A57" s="267"/>
      <c r="B57" s="2" t="s">
        <v>30</v>
      </c>
      <c r="C57" s="10">
        <v>3000</v>
      </c>
      <c r="D57" s="23">
        <v>600</v>
      </c>
      <c r="E57" s="17">
        <f t="shared" si="23"/>
        <v>57500</v>
      </c>
      <c r="F57" s="17">
        <f>E57/D51/5</f>
        <v>23</v>
      </c>
      <c r="G57" s="20">
        <f t="shared" si="24"/>
        <v>16</v>
      </c>
      <c r="H57" s="19">
        <f t="shared" si="25"/>
        <v>0.38554216867469882</v>
      </c>
      <c r="I57" s="17">
        <f t="shared" si="26"/>
        <v>100000</v>
      </c>
      <c r="J57" s="17">
        <f t="shared" si="27"/>
        <v>20</v>
      </c>
      <c r="K57" s="20">
        <f t="shared" si="28"/>
        <v>11.5</v>
      </c>
      <c r="L57" s="19">
        <f t="shared" si="29"/>
        <v>0.25</v>
      </c>
    </row>
    <row r="58" spans="1:12" ht="15.75" thickBot="1" x14ac:dyDescent="0.3">
      <c r="A58" s="268"/>
      <c r="B58" s="11"/>
      <c r="C58" s="13"/>
      <c r="D58" s="13"/>
      <c r="E58" s="11"/>
      <c r="F58" s="11"/>
      <c r="G58" s="11"/>
      <c r="H58" s="11"/>
      <c r="I58" s="11"/>
      <c r="J58" s="11"/>
      <c r="K58" s="11"/>
      <c r="L58" s="11"/>
    </row>
  </sheetData>
  <mergeCells count="21">
    <mergeCell ref="O4:S4"/>
    <mergeCell ref="C5:K5"/>
    <mergeCell ref="D6:H6"/>
    <mergeCell ref="I6:L6"/>
    <mergeCell ref="A9:A14"/>
    <mergeCell ref="D18:H18"/>
    <mergeCell ref="I18:L18"/>
    <mergeCell ref="A21:A25"/>
    <mergeCell ref="C28:K28"/>
    <mergeCell ref="C17:K17"/>
    <mergeCell ref="D29:H29"/>
    <mergeCell ref="I29:L29"/>
    <mergeCell ref="D51:H51"/>
    <mergeCell ref="I51:L51"/>
    <mergeCell ref="A54:A58"/>
    <mergeCell ref="A32:A36"/>
    <mergeCell ref="C39:K39"/>
    <mergeCell ref="D40:H40"/>
    <mergeCell ref="I40:L40"/>
    <mergeCell ref="A43:A47"/>
    <mergeCell ref="C50:K50"/>
  </mergeCells>
  <conditionalFormatting sqref="H9:H11">
    <cfRule type="colorScale" priority="8">
      <colorScale>
        <cfvo type="min"/>
        <cfvo type="max"/>
        <color rgb="FFFFEF9C"/>
        <color rgb="FF63BE7B"/>
      </colorScale>
    </cfRule>
  </conditionalFormatting>
  <conditionalFormatting sqref="H21:H24">
    <cfRule type="colorScale" priority="9">
      <colorScale>
        <cfvo type="min"/>
        <cfvo type="max"/>
        <color rgb="FFFFEF9C"/>
        <color rgb="FF63BE7B"/>
      </colorScale>
    </cfRule>
  </conditionalFormatting>
  <conditionalFormatting sqref="H32:H35">
    <cfRule type="colorScale" priority="10">
      <colorScale>
        <cfvo type="min"/>
        <cfvo type="max"/>
        <color rgb="FFFFEF9C"/>
        <color rgb="FF63BE7B"/>
      </colorScale>
    </cfRule>
  </conditionalFormatting>
  <conditionalFormatting sqref="H43:H46">
    <cfRule type="colorScale" priority="11">
      <colorScale>
        <cfvo type="min"/>
        <cfvo type="max"/>
        <color rgb="FFFFEF9C"/>
        <color rgb="FF63BE7B"/>
      </colorScale>
    </cfRule>
  </conditionalFormatting>
  <conditionalFormatting sqref="H54:H57">
    <cfRule type="colorScale" priority="12">
      <colorScale>
        <cfvo type="min"/>
        <cfvo type="max"/>
        <color rgb="FFFFEF9C"/>
        <color rgb="FF63BE7B"/>
      </colorScale>
    </cfRule>
  </conditionalFormatting>
  <conditionalFormatting sqref="L9:L11">
    <cfRule type="colorScale" priority="6">
      <colorScale>
        <cfvo type="min"/>
        <cfvo type="max"/>
        <color rgb="FFFFEF9C"/>
        <color rgb="FF63BE7B"/>
      </colorScale>
    </cfRule>
  </conditionalFormatting>
  <conditionalFormatting sqref="L21:L24">
    <cfRule type="colorScale" priority="7">
      <colorScale>
        <cfvo type="min"/>
        <cfvo type="max"/>
        <color rgb="FFFFEF9C"/>
        <color rgb="FF63BE7B"/>
      </colorScale>
    </cfRule>
  </conditionalFormatting>
  <conditionalFormatting sqref="L32:L35">
    <cfRule type="colorScale" priority="5">
      <colorScale>
        <cfvo type="min"/>
        <cfvo type="max"/>
        <color rgb="FFFFEF9C"/>
        <color rgb="FF63BE7B"/>
      </colorScale>
    </cfRule>
  </conditionalFormatting>
  <conditionalFormatting sqref="L43:L46">
    <cfRule type="colorScale" priority="4">
      <colorScale>
        <cfvo type="min"/>
        <cfvo type="max"/>
        <color rgb="FFFFEF9C"/>
        <color rgb="FF63BE7B"/>
      </colorScale>
    </cfRule>
  </conditionalFormatting>
  <conditionalFormatting sqref="L54:L57">
    <cfRule type="colorScale" priority="3">
      <colorScale>
        <cfvo type="min"/>
        <cfvo type="max"/>
        <color rgb="FFFFEF9C"/>
        <color rgb="FF63BE7B"/>
      </colorScale>
    </cfRule>
  </conditionalFormatting>
  <conditionalFormatting sqref="O6:S6">
    <cfRule type="colorScale" priority="2">
      <colorScale>
        <cfvo type="min"/>
        <cfvo type="max"/>
        <color rgb="FFFFEF9C"/>
        <color rgb="FF63BE7B"/>
      </colorScale>
    </cfRule>
  </conditionalFormatting>
  <conditionalFormatting sqref="O7:S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23"/>
  <sheetViews>
    <sheetView tabSelected="1" workbookViewId="0">
      <selection activeCell="C4" sqref="C4"/>
    </sheetView>
  </sheetViews>
  <sheetFormatPr baseColWidth="10" defaultColWidth="10.85546875" defaultRowHeight="15" x14ac:dyDescent="0.25"/>
  <cols>
    <col min="1" max="1" width="10.85546875" style="6"/>
    <col min="2" max="2" width="39.5703125" style="6" customWidth="1"/>
    <col min="3" max="3" width="14.7109375" style="6" customWidth="1"/>
    <col min="4" max="4" width="13.5703125" style="6" customWidth="1"/>
    <col min="5" max="5" width="15.42578125" style="6" customWidth="1"/>
    <col min="6" max="6" width="15.85546875" style="6" customWidth="1"/>
    <col min="7" max="7" width="10.85546875" style="6" customWidth="1"/>
    <col min="8" max="16384" width="10.85546875" style="6"/>
  </cols>
  <sheetData>
    <row r="2" spans="2:7" x14ac:dyDescent="0.25">
      <c r="B2" s="35" t="s">
        <v>6</v>
      </c>
      <c r="C2" s="271" t="s">
        <v>71</v>
      </c>
      <c r="D2" s="271"/>
      <c r="E2" s="271"/>
      <c r="F2" s="271"/>
      <c r="G2" s="271"/>
    </row>
    <row r="3" spans="2:7" x14ac:dyDescent="0.25">
      <c r="B3" s="38" t="s">
        <v>72</v>
      </c>
      <c r="C3" s="30" t="s">
        <v>50</v>
      </c>
      <c r="D3" s="31" t="s">
        <v>51</v>
      </c>
      <c r="E3" s="32" t="s">
        <v>52</v>
      </c>
      <c r="F3" s="33" t="s">
        <v>53</v>
      </c>
      <c r="G3" s="34" t="s">
        <v>54</v>
      </c>
    </row>
    <row r="4" spans="2:7" x14ac:dyDescent="0.25">
      <c r="B4" s="2" t="s">
        <v>73</v>
      </c>
      <c r="C4" s="2">
        <v>31</v>
      </c>
      <c r="D4" s="2">
        <v>22</v>
      </c>
      <c r="E4" s="2">
        <v>17</v>
      </c>
      <c r="F4" s="2">
        <v>14</v>
      </c>
      <c r="G4" s="2">
        <v>12</v>
      </c>
    </row>
    <row r="5" spans="2:7" x14ac:dyDescent="0.25">
      <c r="B5" s="2" t="s">
        <v>74</v>
      </c>
      <c r="C5" s="2">
        <v>39</v>
      </c>
      <c r="D5" s="2">
        <v>24</v>
      </c>
      <c r="E5" s="2">
        <v>18</v>
      </c>
      <c r="F5" s="2">
        <v>15</v>
      </c>
      <c r="G5" s="2">
        <v>13</v>
      </c>
    </row>
    <row r="6" spans="2:7" x14ac:dyDescent="0.25">
      <c r="B6" s="2" t="s">
        <v>76</v>
      </c>
      <c r="C6" s="2">
        <v>43</v>
      </c>
      <c r="D6" s="2">
        <v>28</v>
      </c>
      <c r="E6" s="2">
        <v>20</v>
      </c>
      <c r="F6" s="2">
        <v>16</v>
      </c>
      <c r="G6" s="2">
        <v>14</v>
      </c>
    </row>
    <row r="7" spans="2:7" x14ac:dyDescent="0.25">
      <c r="B7" s="2" t="s">
        <v>75</v>
      </c>
      <c r="C7" s="11"/>
      <c r="D7" s="2">
        <v>29</v>
      </c>
      <c r="E7" s="2">
        <v>25</v>
      </c>
      <c r="F7" s="2">
        <v>19</v>
      </c>
      <c r="G7" s="2">
        <v>16</v>
      </c>
    </row>
    <row r="10" spans="2:7" x14ac:dyDescent="0.25">
      <c r="B10" s="36" t="s">
        <v>43</v>
      </c>
      <c r="C10" s="271" t="s">
        <v>48</v>
      </c>
      <c r="D10" s="271"/>
      <c r="E10" s="271"/>
      <c r="F10" s="271"/>
      <c r="G10" s="271"/>
    </row>
    <row r="11" spans="2:7" x14ac:dyDescent="0.25">
      <c r="B11" s="38" t="s">
        <v>49</v>
      </c>
      <c r="C11" s="30" t="s">
        <v>50</v>
      </c>
      <c r="D11" s="31" t="s">
        <v>51</v>
      </c>
      <c r="E11" s="32" t="s">
        <v>52</v>
      </c>
      <c r="F11" s="33" t="s">
        <v>53</v>
      </c>
      <c r="G11" s="34" t="s">
        <v>54</v>
      </c>
    </row>
    <row r="12" spans="2:7" x14ac:dyDescent="0.25">
      <c r="B12" s="2" t="s">
        <v>55</v>
      </c>
      <c r="C12" s="2">
        <v>34</v>
      </c>
      <c r="D12" s="2">
        <v>25</v>
      </c>
      <c r="E12" s="2">
        <v>20</v>
      </c>
      <c r="F12" s="2">
        <v>17</v>
      </c>
      <c r="G12" s="2">
        <v>15</v>
      </c>
    </row>
    <row r="13" spans="2:7" x14ac:dyDescent="0.25">
      <c r="B13" s="2" t="s">
        <v>56</v>
      </c>
      <c r="C13" s="2">
        <v>42</v>
      </c>
      <c r="D13" s="2">
        <v>27</v>
      </c>
      <c r="E13" s="2">
        <v>21</v>
      </c>
      <c r="F13" s="2">
        <v>18</v>
      </c>
      <c r="G13" s="2">
        <v>16</v>
      </c>
    </row>
    <row r="14" spans="2:7" x14ac:dyDescent="0.25">
      <c r="B14" s="2" t="s">
        <v>57</v>
      </c>
      <c r="C14" s="2">
        <v>46</v>
      </c>
      <c r="D14" s="2">
        <v>31</v>
      </c>
      <c r="E14" s="2">
        <v>23</v>
      </c>
      <c r="F14" s="2">
        <v>19</v>
      </c>
      <c r="G14" s="2">
        <v>17</v>
      </c>
    </row>
    <row r="15" spans="2:7" x14ac:dyDescent="0.25">
      <c r="B15" s="2" t="s">
        <v>58</v>
      </c>
      <c r="C15" s="11"/>
      <c r="D15" s="2">
        <v>32</v>
      </c>
      <c r="E15" s="2">
        <v>27</v>
      </c>
      <c r="F15" s="2">
        <v>22</v>
      </c>
      <c r="G15" s="2">
        <v>19</v>
      </c>
    </row>
    <row r="18" spans="2:7" x14ac:dyDescent="0.25">
      <c r="B18" s="37" t="s">
        <v>46</v>
      </c>
      <c r="C18" s="271" t="s">
        <v>48</v>
      </c>
      <c r="D18" s="271"/>
      <c r="E18" s="271"/>
      <c r="F18" s="271"/>
      <c r="G18" s="271"/>
    </row>
    <row r="19" spans="2:7" x14ac:dyDescent="0.25">
      <c r="B19" s="38" t="s">
        <v>49</v>
      </c>
      <c r="C19" s="30" t="s">
        <v>50</v>
      </c>
      <c r="D19" s="31" t="s">
        <v>51</v>
      </c>
      <c r="E19" s="32" t="s">
        <v>52</v>
      </c>
      <c r="F19" s="33" t="s">
        <v>53</v>
      </c>
      <c r="G19" s="34" t="s">
        <v>54</v>
      </c>
    </row>
    <row r="20" spans="2:7" x14ac:dyDescent="0.25">
      <c r="B20" s="2" t="s">
        <v>55</v>
      </c>
      <c r="C20" s="2">
        <v>37</v>
      </c>
      <c r="D20" s="2">
        <v>28</v>
      </c>
      <c r="E20" s="2">
        <v>23</v>
      </c>
      <c r="F20" s="2">
        <v>20</v>
      </c>
      <c r="G20" s="2">
        <v>18</v>
      </c>
    </row>
    <row r="21" spans="2:7" x14ac:dyDescent="0.25">
      <c r="B21" s="2" t="s">
        <v>56</v>
      </c>
      <c r="C21" s="2">
        <v>45</v>
      </c>
      <c r="D21" s="2">
        <v>30</v>
      </c>
      <c r="E21" s="2">
        <v>24</v>
      </c>
      <c r="F21" s="2">
        <v>21</v>
      </c>
      <c r="G21" s="2">
        <v>19</v>
      </c>
    </row>
    <row r="22" spans="2:7" x14ac:dyDescent="0.25">
      <c r="B22" s="2" t="s">
        <v>57</v>
      </c>
      <c r="C22" s="2">
        <v>50</v>
      </c>
      <c r="D22" s="2">
        <v>34</v>
      </c>
      <c r="E22" s="2">
        <v>26</v>
      </c>
      <c r="F22" s="2">
        <v>22</v>
      </c>
      <c r="G22" s="2">
        <v>20</v>
      </c>
    </row>
    <row r="23" spans="2:7" x14ac:dyDescent="0.25">
      <c r="B23" s="2" t="s">
        <v>58</v>
      </c>
      <c r="C23" s="11"/>
      <c r="D23" s="2">
        <v>35</v>
      </c>
      <c r="E23" s="2">
        <v>30</v>
      </c>
      <c r="F23" s="2">
        <v>25</v>
      </c>
      <c r="G23" s="2">
        <v>22</v>
      </c>
    </row>
  </sheetData>
  <mergeCells count="3">
    <mergeCell ref="C2:G2"/>
    <mergeCell ref="C10:G10"/>
    <mergeCell ref="C18:G18"/>
  </mergeCells>
  <conditionalFormatting sqref="C4:G7">
    <cfRule type="colorScale" priority="3">
      <colorScale>
        <cfvo type="min"/>
        <cfvo type="max"/>
        <color rgb="FFFFEF9C"/>
        <color rgb="FF63BE7B"/>
      </colorScale>
    </cfRule>
  </conditionalFormatting>
  <conditionalFormatting sqref="C12:G15">
    <cfRule type="colorScale" priority="2">
      <colorScale>
        <cfvo type="min"/>
        <cfvo type="max"/>
        <color rgb="FFFFEF9C"/>
        <color rgb="FF63BE7B"/>
      </colorScale>
    </cfRule>
  </conditionalFormatting>
  <conditionalFormatting sqref="C20:G2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4:G14"/>
  <sheetViews>
    <sheetView workbookViewId="0">
      <selection activeCell="C13" sqref="C13"/>
    </sheetView>
  </sheetViews>
  <sheetFormatPr baseColWidth="10" defaultRowHeight="15" x14ac:dyDescent="0.25"/>
  <cols>
    <col min="3" max="3" width="33.85546875" bestFit="1" customWidth="1"/>
    <col min="4" max="4" width="47" bestFit="1" customWidth="1"/>
  </cols>
  <sheetData>
    <row r="4" spans="3:7" x14ac:dyDescent="0.25">
      <c r="C4" s="41" t="s">
        <v>59</v>
      </c>
      <c r="D4" s="42"/>
      <c r="E4" s="42"/>
      <c r="F4" s="42"/>
      <c r="G4" s="42"/>
    </row>
    <row r="5" spans="3:7" x14ac:dyDescent="0.25">
      <c r="C5" s="43" t="s">
        <v>60</v>
      </c>
      <c r="D5" s="44" t="s">
        <v>65</v>
      </c>
      <c r="E5" s="42"/>
      <c r="F5" s="42"/>
      <c r="G5" s="42"/>
    </row>
    <row r="6" spans="3:7" x14ac:dyDescent="0.25">
      <c r="C6" s="43" t="s">
        <v>61</v>
      </c>
      <c r="D6" s="44" t="s">
        <v>63</v>
      </c>
      <c r="E6" s="42"/>
      <c r="F6" s="42"/>
      <c r="G6" s="42"/>
    </row>
    <row r="7" spans="3:7" x14ac:dyDescent="0.25">
      <c r="C7" s="43" t="s">
        <v>62</v>
      </c>
      <c r="D7" s="44" t="s">
        <v>64</v>
      </c>
      <c r="E7" s="42"/>
      <c r="F7" s="42"/>
      <c r="G7" s="42"/>
    </row>
    <row r="8" spans="3:7" x14ac:dyDescent="0.25">
      <c r="C8" s="42"/>
      <c r="D8" s="42"/>
      <c r="E8" s="42"/>
      <c r="F8" s="42"/>
      <c r="G8" s="42"/>
    </row>
    <row r="9" spans="3:7" ht="45" x14ac:dyDescent="0.25">
      <c r="C9" s="45" t="s">
        <v>67</v>
      </c>
      <c r="D9" s="44" t="s">
        <v>66</v>
      </c>
      <c r="E9" s="42"/>
      <c r="F9" s="42"/>
      <c r="G9" s="42"/>
    </row>
    <row r="12" spans="3:7" x14ac:dyDescent="0.25">
      <c r="C12" s="40" t="s">
        <v>68</v>
      </c>
    </row>
    <row r="13" spans="3:7" x14ac:dyDescent="0.25">
      <c r="C13" s="39" t="s">
        <v>69</v>
      </c>
    </row>
    <row r="14" spans="3:7" x14ac:dyDescent="0.25">
      <c r="C14" s="39" t="s">
        <v>70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1:BH27"/>
  <sheetViews>
    <sheetView zoomScale="80" zoomScaleNormal="80" workbookViewId="0">
      <selection activeCell="C15" sqref="C15"/>
    </sheetView>
  </sheetViews>
  <sheetFormatPr baseColWidth="10" defaultColWidth="10.85546875" defaultRowHeight="15" x14ac:dyDescent="0.25"/>
  <cols>
    <col min="1" max="1" width="10.85546875" style="54"/>
    <col min="2" max="2" width="53.42578125" style="54" customWidth="1"/>
    <col min="3" max="3" width="17.42578125" style="206" customWidth="1"/>
    <col min="4" max="4" width="5.85546875" style="54" customWidth="1"/>
    <col min="5" max="5" width="10.85546875" style="54"/>
    <col min="6" max="6" width="13.42578125" style="54" customWidth="1"/>
    <col min="7" max="16384" width="10.85546875" style="54"/>
  </cols>
  <sheetData>
    <row r="1" spans="2:60" x14ac:dyDescent="0.25"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</row>
    <row r="2" spans="2:60" x14ac:dyDescent="0.25"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8"/>
    </row>
    <row r="3" spans="2:60" x14ac:dyDescent="0.25">
      <c r="B3" s="54" t="s">
        <v>77</v>
      </c>
      <c r="C3" s="209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72" t="s">
        <v>90</v>
      </c>
      <c r="S3" s="272"/>
      <c r="T3" s="272"/>
      <c r="U3" s="208"/>
      <c r="V3" s="208"/>
      <c r="W3" s="208"/>
      <c r="X3" s="208"/>
      <c r="Y3" s="208"/>
      <c r="Z3" s="208"/>
      <c r="AA3" s="208"/>
      <c r="AB3" s="208"/>
      <c r="AC3" s="208"/>
      <c r="AD3" s="208"/>
      <c r="AE3" s="208"/>
      <c r="AF3" s="208"/>
      <c r="AG3" s="208"/>
      <c r="AH3" s="208"/>
      <c r="AI3" s="208"/>
      <c r="AJ3" s="208"/>
      <c r="AK3" s="208"/>
      <c r="AL3" s="208"/>
      <c r="AM3" s="208"/>
      <c r="AN3" s="208"/>
      <c r="AO3" s="208"/>
      <c r="AP3" s="208"/>
      <c r="AQ3" s="208"/>
      <c r="AR3" s="208"/>
      <c r="AS3" s="208"/>
      <c r="AT3" s="208"/>
      <c r="AU3" s="208"/>
      <c r="AV3" s="208"/>
      <c r="AW3" s="208"/>
      <c r="AX3" s="208"/>
      <c r="AY3" s="208"/>
      <c r="AZ3" s="208"/>
      <c r="BA3" s="208"/>
      <c r="BB3" s="208"/>
      <c r="BC3" s="208"/>
      <c r="BD3" s="208"/>
      <c r="BE3" s="208"/>
      <c r="BF3" s="208"/>
      <c r="BG3" s="208"/>
      <c r="BH3" s="208"/>
    </row>
    <row r="4" spans="2:60" ht="15.75" thickBot="1" x14ac:dyDescent="0.3">
      <c r="F4" s="208"/>
      <c r="G4" s="208"/>
      <c r="H4" s="208" t="s">
        <v>6</v>
      </c>
      <c r="I4" s="208" t="s">
        <v>43</v>
      </c>
      <c r="J4" s="208" t="s">
        <v>46</v>
      </c>
      <c r="K4" s="208"/>
      <c r="L4" s="208"/>
      <c r="M4" s="208" t="s">
        <v>6</v>
      </c>
      <c r="N4" s="208"/>
      <c r="O4" s="208">
        <v>1</v>
      </c>
      <c r="P4" s="208"/>
      <c r="Q4" s="208"/>
      <c r="R4" s="208" t="s">
        <v>6</v>
      </c>
      <c r="S4" s="208">
        <v>38.9</v>
      </c>
      <c r="T4" s="208"/>
      <c r="U4" s="208"/>
      <c r="V4" s="208"/>
      <c r="W4" s="208"/>
      <c r="X4" s="208"/>
      <c r="Y4" s="208"/>
      <c r="Z4" s="208"/>
      <c r="AA4" s="208"/>
      <c r="AB4" s="208"/>
      <c r="AC4" s="208"/>
      <c r="AD4" s="208"/>
      <c r="AE4" s="208"/>
      <c r="AF4" s="208"/>
      <c r="AG4" s="208"/>
      <c r="AH4" s="208"/>
      <c r="AI4" s="208"/>
      <c r="AJ4" s="208"/>
      <c r="AK4" s="208"/>
      <c r="AL4" s="208"/>
      <c r="AM4" s="208"/>
      <c r="AN4" s="208"/>
      <c r="AO4" s="208"/>
      <c r="AP4" s="208"/>
      <c r="AQ4" s="208"/>
      <c r="AR4" s="208"/>
      <c r="AS4" s="208"/>
      <c r="AT4" s="208"/>
      <c r="AU4" s="208"/>
      <c r="AV4" s="208"/>
      <c r="AW4" s="208"/>
      <c r="AX4" s="208"/>
      <c r="AY4" s="208"/>
      <c r="AZ4" s="208"/>
      <c r="BA4" s="208"/>
      <c r="BB4" s="208"/>
      <c r="BC4" s="208"/>
      <c r="BD4" s="208"/>
      <c r="BE4" s="208"/>
      <c r="BF4" s="208"/>
      <c r="BG4" s="208"/>
      <c r="BH4" s="208"/>
    </row>
    <row r="5" spans="2:60" ht="15.75" thickBot="1" x14ac:dyDescent="0.3">
      <c r="B5" s="54" t="s">
        <v>78</v>
      </c>
      <c r="C5" s="210" t="s">
        <v>85</v>
      </c>
      <c r="F5" s="208"/>
      <c r="G5" s="208" t="s">
        <v>82</v>
      </c>
      <c r="H5" s="211">
        <f>'CALCULATEUR TARIFS EXTERNE'!H5</f>
        <v>61</v>
      </c>
      <c r="I5" s="211">
        <f>'CALCULATEUR TARIFS EXTERNE'!I5</f>
        <v>75</v>
      </c>
      <c r="J5" s="211">
        <f>'CALCULATEUR TARIFS EXTERNE'!J5</f>
        <v>98</v>
      </c>
      <c r="K5" s="208"/>
      <c r="L5" s="208"/>
      <c r="M5" s="208" t="s">
        <v>43</v>
      </c>
      <c r="N5" s="208"/>
      <c r="O5" s="208">
        <v>2</v>
      </c>
      <c r="P5" s="208"/>
      <c r="Q5" s="208"/>
      <c r="R5" s="208" t="s">
        <v>43</v>
      </c>
      <c r="S5" s="208">
        <v>39.700000000000003</v>
      </c>
      <c r="T5" s="208"/>
      <c r="U5" s="208"/>
      <c r="V5" s="208">
        <v>1</v>
      </c>
      <c r="W5" s="208">
        <v>5</v>
      </c>
      <c r="X5" s="208"/>
      <c r="Y5" s="208"/>
      <c r="Z5" s="208"/>
      <c r="AA5" s="208"/>
      <c r="AB5" s="208"/>
      <c r="AC5" s="208"/>
      <c r="AD5" s="208"/>
      <c r="AE5" s="208"/>
      <c r="AF5" s="208"/>
      <c r="AG5" s="208"/>
      <c r="AH5" s="208"/>
      <c r="AI5" s="208"/>
      <c r="AJ5" s="208"/>
      <c r="AK5" s="208"/>
      <c r="AL5" s="208"/>
      <c r="AM5" s="208"/>
      <c r="AN5" s="208"/>
      <c r="AO5" s="208"/>
      <c r="AP5" s="208"/>
      <c r="AQ5" s="208"/>
      <c r="AR5" s="208"/>
      <c r="AS5" s="208"/>
      <c r="AT5" s="208"/>
      <c r="AU5" s="208"/>
      <c r="AV5" s="208"/>
      <c r="AW5" s="208"/>
      <c r="AX5" s="208"/>
      <c r="AY5" s="208"/>
      <c r="AZ5" s="208"/>
      <c r="BA5" s="208"/>
      <c r="BB5" s="208"/>
      <c r="BC5" s="208"/>
      <c r="BD5" s="208"/>
      <c r="BE5" s="208"/>
      <c r="BF5" s="208"/>
      <c r="BG5" s="208"/>
      <c r="BH5" s="208"/>
    </row>
    <row r="6" spans="2:60" ht="15.75" thickBot="1" x14ac:dyDescent="0.3">
      <c r="B6" s="54" t="s">
        <v>79</v>
      </c>
      <c r="C6" s="210" t="s">
        <v>86</v>
      </c>
      <c r="F6" s="208"/>
      <c r="G6" s="208" t="s">
        <v>83</v>
      </c>
      <c r="H6" s="211">
        <f>'CALCULATEUR TARIFS EXTERNE'!H6</f>
        <v>59</v>
      </c>
      <c r="I6" s="211">
        <f>'CALCULATEUR TARIFS EXTERNE'!I6</f>
        <v>72</v>
      </c>
      <c r="J6" s="211">
        <f>'CALCULATEUR TARIFS EXTERNE'!J6</f>
        <v>94</v>
      </c>
      <c r="K6" s="208"/>
      <c r="L6" s="208"/>
      <c r="M6" s="208" t="s">
        <v>46</v>
      </c>
      <c r="N6" s="208"/>
      <c r="O6" s="208">
        <v>3</v>
      </c>
      <c r="P6" s="208"/>
      <c r="Q6" s="208"/>
      <c r="R6" s="208" t="s">
        <v>46</v>
      </c>
      <c r="S6" s="208">
        <v>55.3</v>
      </c>
      <c r="T6" s="208"/>
      <c r="U6" s="208"/>
      <c r="V6" s="208">
        <v>2</v>
      </c>
      <c r="W6" s="208">
        <v>3.5</v>
      </c>
      <c r="X6" s="208"/>
      <c r="Y6" s="208"/>
      <c r="Z6" s="208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  <c r="AO6" s="208"/>
      <c r="AP6" s="208"/>
      <c r="AQ6" s="208"/>
      <c r="AR6" s="208"/>
      <c r="AS6" s="208"/>
      <c r="AT6" s="208"/>
      <c r="AU6" s="208"/>
      <c r="AV6" s="208"/>
      <c r="AW6" s="208"/>
      <c r="AX6" s="208"/>
      <c r="AY6" s="208"/>
      <c r="AZ6" s="208"/>
      <c r="BA6" s="208"/>
      <c r="BB6" s="208"/>
      <c r="BC6" s="208"/>
      <c r="BD6" s="208"/>
      <c r="BE6" s="208"/>
      <c r="BF6" s="208"/>
      <c r="BG6" s="208"/>
      <c r="BH6" s="208"/>
    </row>
    <row r="7" spans="2:60" ht="15.75" thickBot="1" x14ac:dyDescent="0.3">
      <c r="C7" s="209"/>
      <c r="F7" s="208"/>
      <c r="G7" s="208" t="s">
        <v>84</v>
      </c>
      <c r="H7" s="211">
        <f>'CALCULATEUR TARIFS EXTERNE'!H7</f>
        <v>56</v>
      </c>
      <c r="I7" s="211">
        <f>'Grilles PolCom'!F14</f>
        <v>69</v>
      </c>
      <c r="J7" s="211">
        <f>'CALCULATEUR TARIFS EXTERNE'!J7</f>
        <v>90</v>
      </c>
      <c r="K7" s="208"/>
      <c r="L7" s="208"/>
      <c r="M7" s="208"/>
      <c r="N7" s="208"/>
      <c r="O7" s="208">
        <v>4</v>
      </c>
      <c r="P7" s="208"/>
      <c r="Q7" s="208"/>
      <c r="R7" s="208"/>
      <c r="S7" s="208"/>
      <c r="T7" s="208"/>
      <c r="U7" s="208"/>
      <c r="V7" s="208">
        <v>3</v>
      </c>
      <c r="W7" s="208">
        <v>3</v>
      </c>
      <c r="X7" s="208"/>
      <c r="Y7" s="208"/>
      <c r="Z7" s="208"/>
      <c r="AA7" s="208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08"/>
      <c r="AX7" s="208"/>
      <c r="AY7" s="208"/>
      <c r="AZ7" s="208"/>
      <c r="BA7" s="208"/>
      <c r="BB7" s="208"/>
      <c r="BC7" s="208"/>
      <c r="BD7" s="208"/>
      <c r="BE7" s="208"/>
      <c r="BF7" s="208"/>
      <c r="BG7" s="208"/>
      <c r="BH7" s="208"/>
    </row>
    <row r="8" spans="2:60" ht="15.75" thickBot="1" x14ac:dyDescent="0.3">
      <c r="B8" s="54" t="s">
        <v>87</v>
      </c>
      <c r="C8" s="212">
        <v>3000</v>
      </c>
      <c r="D8" s="54" t="s">
        <v>100</v>
      </c>
      <c r="F8" s="208"/>
      <c r="G8" s="208"/>
      <c r="H8" s="208"/>
      <c r="I8" s="208"/>
      <c r="J8" s="208"/>
      <c r="K8" s="208"/>
      <c r="L8" s="208"/>
      <c r="M8" s="208"/>
      <c r="N8" s="208"/>
      <c r="O8" s="208">
        <v>5</v>
      </c>
      <c r="P8" s="208"/>
      <c r="Q8" s="208"/>
      <c r="R8" s="208"/>
      <c r="S8" s="208"/>
      <c r="T8" s="208"/>
      <c r="U8" s="208"/>
      <c r="V8" s="208">
        <v>4</v>
      </c>
      <c r="W8" s="208">
        <v>2.5</v>
      </c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08"/>
      <c r="AX8" s="208"/>
      <c r="AY8" s="208"/>
      <c r="AZ8" s="208"/>
      <c r="BA8" s="208"/>
      <c r="BB8" s="208"/>
      <c r="BC8" s="208"/>
      <c r="BD8" s="208"/>
      <c r="BE8" s="208"/>
      <c r="BF8" s="208"/>
      <c r="BG8" s="208"/>
      <c r="BH8" s="208"/>
    </row>
    <row r="9" spans="2:60" x14ac:dyDescent="0.25">
      <c r="B9" s="213" t="s">
        <v>91</v>
      </c>
      <c r="F9" s="208"/>
      <c r="G9" s="208"/>
      <c r="H9" s="208"/>
      <c r="I9" s="208"/>
      <c r="J9" s="208"/>
      <c r="K9" s="208"/>
      <c r="L9" s="208"/>
      <c r="M9" s="208"/>
      <c r="N9" s="208"/>
      <c r="O9" s="208"/>
      <c r="P9" s="208"/>
      <c r="Q9" s="208"/>
      <c r="R9" s="208"/>
      <c r="S9" s="208"/>
      <c r="T9" s="208"/>
      <c r="U9" s="208"/>
      <c r="V9" s="208"/>
      <c r="W9" s="208"/>
      <c r="X9" s="208"/>
      <c r="Y9" s="208"/>
      <c r="Z9" s="208"/>
      <c r="AA9" s="208"/>
      <c r="AB9" s="208"/>
      <c r="AC9" s="208"/>
      <c r="AD9" s="208"/>
      <c r="AE9" s="208"/>
      <c r="AF9" s="208"/>
      <c r="AG9" s="208"/>
      <c r="AH9" s="208"/>
      <c r="AI9" s="208"/>
      <c r="AJ9" s="208"/>
      <c r="AK9" s="208"/>
      <c r="AL9" s="208"/>
      <c r="AM9" s="208"/>
      <c r="AN9" s="208"/>
      <c r="AO9" s="208"/>
      <c r="AP9" s="208"/>
      <c r="AQ9" s="208"/>
      <c r="AR9" s="208"/>
      <c r="AS9" s="208"/>
      <c r="AT9" s="208"/>
      <c r="AU9" s="208"/>
      <c r="AV9" s="208"/>
      <c r="AW9" s="208"/>
      <c r="AX9" s="208"/>
      <c r="AY9" s="208"/>
      <c r="AZ9" s="208"/>
      <c r="BA9" s="208"/>
      <c r="BB9" s="208"/>
      <c r="BC9" s="208"/>
      <c r="BD9" s="208"/>
      <c r="BE9" s="208"/>
      <c r="BF9" s="208"/>
      <c r="BG9" s="208"/>
      <c r="BH9" s="208"/>
    </row>
    <row r="10" spans="2:60" ht="15.75" thickBot="1" x14ac:dyDescent="0.3">
      <c r="F10" s="208"/>
      <c r="G10" s="208"/>
      <c r="H10" s="208" t="s">
        <v>109</v>
      </c>
      <c r="I10" s="208" t="s">
        <v>108</v>
      </c>
      <c r="J10" s="208" t="s">
        <v>110</v>
      </c>
      <c r="K10" s="208" t="s">
        <v>111</v>
      </c>
      <c r="L10" s="208" t="s">
        <v>112</v>
      </c>
      <c r="M10" s="208"/>
      <c r="N10" s="208"/>
      <c r="O10" s="208"/>
      <c r="P10" s="208"/>
      <c r="Q10" s="208"/>
      <c r="R10" s="208"/>
      <c r="S10" s="208"/>
      <c r="T10" s="208"/>
      <c r="U10" s="208"/>
      <c r="V10" s="208"/>
      <c r="W10" s="208"/>
      <c r="X10" s="208"/>
      <c r="Y10" s="208"/>
      <c r="Z10" s="208"/>
      <c r="AA10" s="208"/>
      <c r="AB10" s="208"/>
      <c r="AC10" s="208"/>
      <c r="AD10" s="208"/>
      <c r="AE10" s="208"/>
      <c r="AF10" s="208"/>
      <c r="AG10" s="208"/>
      <c r="AH10" s="208"/>
      <c r="AI10" s="208"/>
      <c r="AJ10" s="208"/>
      <c r="AK10" s="208"/>
      <c r="AL10" s="208"/>
      <c r="AM10" s="208"/>
      <c r="AN10" s="208"/>
      <c r="AO10" s="208"/>
      <c r="AP10" s="208"/>
      <c r="AQ10" s="208"/>
      <c r="AR10" s="208"/>
      <c r="AS10" s="208"/>
      <c r="AT10" s="208"/>
      <c r="AU10" s="208"/>
      <c r="AV10" s="208"/>
      <c r="AW10" s="208"/>
      <c r="AX10" s="208"/>
      <c r="AY10" s="208"/>
      <c r="AZ10" s="208"/>
      <c r="BA10" s="208"/>
      <c r="BB10" s="208"/>
      <c r="BC10" s="208"/>
      <c r="BD10" s="208"/>
      <c r="BE10" s="208"/>
      <c r="BF10" s="208"/>
      <c r="BG10" s="208"/>
      <c r="BH10" s="208"/>
    </row>
    <row r="11" spans="2:60" ht="15.75" thickBot="1" x14ac:dyDescent="0.3">
      <c r="B11" s="54" t="s">
        <v>80</v>
      </c>
      <c r="C11" s="210" t="s">
        <v>6</v>
      </c>
      <c r="F11" s="208"/>
      <c r="G11" s="208">
        <v>1</v>
      </c>
      <c r="H11" s="211">
        <f>'Grilles PolCom'!D30</f>
        <v>8</v>
      </c>
      <c r="I11" s="211">
        <f>'Grilles PolCom'!E30</f>
        <v>8</v>
      </c>
      <c r="J11" s="211">
        <f>'Grilles PolCom'!F30</f>
        <v>7</v>
      </c>
      <c r="K11" s="211">
        <f>'Grilles PolCom'!G30</f>
        <v>6</v>
      </c>
      <c r="L11" s="211">
        <f>'Grilles PolCom'!H30</f>
        <v>4</v>
      </c>
      <c r="M11" s="208"/>
      <c r="N11" s="208"/>
      <c r="O11" s="208"/>
      <c r="P11" s="208"/>
      <c r="Q11" s="208"/>
      <c r="R11" s="208"/>
      <c r="S11" s="208"/>
      <c r="T11" s="208"/>
      <c r="U11" s="208"/>
      <c r="V11" s="208"/>
      <c r="W11" s="208"/>
      <c r="X11" s="208"/>
      <c r="Y11" s="208"/>
      <c r="Z11" s="208"/>
      <c r="AA11" s="208"/>
      <c r="AB11" s="208"/>
      <c r="AC11" s="208"/>
      <c r="AD11" s="208"/>
      <c r="AE11" s="208"/>
      <c r="AF11" s="208"/>
      <c r="AG11" s="208"/>
      <c r="AH11" s="208"/>
      <c r="AI11" s="208"/>
      <c r="AJ11" s="208"/>
      <c r="AK11" s="208"/>
      <c r="AL11" s="208"/>
      <c r="AM11" s="208"/>
      <c r="AN11" s="208"/>
      <c r="AO11" s="208"/>
      <c r="AP11" s="208"/>
      <c r="AQ11" s="208"/>
      <c r="AR11" s="208"/>
      <c r="AS11" s="208"/>
      <c r="AT11" s="208"/>
      <c r="AU11" s="208"/>
      <c r="AV11" s="208"/>
      <c r="AW11" s="208"/>
      <c r="AX11" s="208"/>
      <c r="AY11" s="208"/>
      <c r="AZ11" s="208"/>
      <c r="BA11" s="208"/>
      <c r="BB11" s="208"/>
      <c r="BC11" s="208"/>
      <c r="BD11" s="208"/>
      <c r="BE11" s="208"/>
      <c r="BF11" s="208"/>
      <c r="BG11" s="208"/>
      <c r="BH11" s="208"/>
    </row>
    <row r="12" spans="2:60" ht="15.75" thickBot="1" x14ac:dyDescent="0.3">
      <c r="B12" s="54" t="s">
        <v>115</v>
      </c>
      <c r="C12" s="214">
        <v>150</v>
      </c>
      <c r="D12" s="54" t="s">
        <v>100</v>
      </c>
      <c r="F12" s="208"/>
      <c r="G12" s="208">
        <v>2</v>
      </c>
      <c r="H12" s="211">
        <f>'Grilles PolCom'!D31</f>
        <v>6</v>
      </c>
      <c r="I12" s="211">
        <f>'Grilles PolCom'!E31</f>
        <v>6</v>
      </c>
      <c r="J12" s="211">
        <f>'Grilles PolCom'!F31</f>
        <v>4.5</v>
      </c>
      <c r="K12" s="211">
        <f>'Grilles PolCom'!G31</f>
        <v>3.5</v>
      </c>
      <c r="L12" s="211">
        <f>'Grilles PolCom'!H31</f>
        <v>3</v>
      </c>
      <c r="M12" s="208"/>
      <c r="N12" s="208"/>
      <c r="O12" s="208"/>
      <c r="P12" s="208"/>
      <c r="Q12" s="208"/>
      <c r="R12" s="208"/>
      <c r="S12" s="208"/>
      <c r="T12" s="208"/>
      <c r="U12" s="208"/>
      <c r="V12" s="208"/>
      <c r="W12" s="208"/>
      <c r="X12" s="208"/>
      <c r="Y12" s="208"/>
      <c r="Z12" s="208"/>
      <c r="AA12" s="208"/>
      <c r="AB12" s="208"/>
      <c r="AC12" s="208"/>
      <c r="AD12" s="208"/>
      <c r="AE12" s="208"/>
      <c r="AF12" s="208"/>
      <c r="AG12" s="208"/>
      <c r="AH12" s="208"/>
      <c r="AI12" s="208"/>
      <c r="AJ12" s="208"/>
      <c r="AK12" s="208"/>
      <c r="AL12" s="208"/>
      <c r="AM12" s="208"/>
      <c r="AN12" s="208"/>
      <c r="AO12" s="208"/>
      <c r="AP12" s="208"/>
      <c r="AQ12" s="208"/>
      <c r="AR12" s="208"/>
      <c r="AS12" s="208"/>
      <c r="AT12" s="208"/>
      <c r="AU12" s="208"/>
      <c r="AV12" s="208"/>
      <c r="AW12" s="208"/>
      <c r="AX12" s="208"/>
      <c r="AY12" s="208"/>
      <c r="AZ12" s="208"/>
      <c r="BA12" s="208"/>
      <c r="BB12" s="208"/>
      <c r="BC12" s="208"/>
      <c r="BD12" s="208"/>
      <c r="BE12" s="208"/>
      <c r="BF12" s="208"/>
      <c r="BG12" s="208"/>
      <c r="BH12" s="208"/>
    </row>
    <row r="13" spans="2:60" ht="15.75" thickBot="1" x14ac:dyDescent="0.3">
      <c r="B13" s="54" t="s">
        <v>81</v>
      </c>
      <c r="C13" s="210">
        <v>1</v>
      </c>
      <c r="D13" s="54" t="s">
        <v>92</v>
      </c>
      <c r="F13" s="208"/>
      <c r="G13" s="208">
        <v>3</v>
      </c>
      <c r="H13" s="211">
        <f>'Grilles PolCom'!D32</f>
        <v>5</v>
      </c>
      <c r="I13" s="211">
        <f>'Grilles PolCom'!E32</f>
        <v>5</v>
      </c>
      <c r="J13" s="211">
        <f>'Grilles PolCom'!F32</f>
        <v>4</v>
      </c>
      <c r="K13" s="211">
        <f>'Grilles PolCom'!G32</f>
        <v>2.5</v>
      </c>
      <c r="L13" s="211">
        <f>'Grilles PolCom'!H32</f>
        <v>2.5</v>
      </c>
      <c r="M13" s="208"/>
      <c r="N13" s="208"/>
      <c r="O13" s="208"/>
      <c r="P13" s="208"/>
      <c r="Q13" s="208"/>
      <c r="R13" s="208"/>
      <c r="S13" s="208"/>
      <c r="T13" s="208"/>
      <c r="U13" s="208"/>
      <c r="V13" s="208"/>
      <c r="W13" s="208"/>
      <c r="X13" s="208"/>
      <c r="Y13" s="208"/>
      <c r="Z13" s="208"/>
      <c r="AA13" s="208"/>
      <c r="AB13" s="208"/>
      <c r="AC13" s="208"/>
      <c r="AD13" s="208"/>
      <c r="AE13" s="208"/>
      <c r="AF13" s="208"/>
      <c r="AG13" s="208"/>
      <c r="AH13" s="208"/>
      <c r="AI13" s="208"/>
      <c r="AJ13" s="208"/>
      <c r="AK13" s="208"/>
      <c r="AL13" s="208"/>
      <c r="AM13" s="208"/>
      <c r="AN13" s="208"/>
      <c r="AO13" s="208"/>
      <c r="AP13" s="208"/>
      <c r="AQ13" s="208"/>
      <c r="AR13" s="208"/>
      <c r="AS13" s="208"/>
      <c r="AT13" s="208"/>
      <c r="AU13" s="208"/>
      <c r="AV13" s="208"/>
      <c r="AW13" s="208"/>
      <c r="AX13" s="208"/>
      <c r="AY13" s="208"/>
      <c r="AZ13" s="208"/>
      <c r="BA13" s="208"/>
      <c r="BB13" s="208"/>
      <c r="BC13" s="208"/>
      <c r="BD13" s="208"/>
      <c r="BE13" s="208"/>
      <c r="BF13" s="208"/>
      <c r="BG13" s="208"/>
      <c r="BH13" s="208"/>
    </row>
    <row r="14" spans="2:60" ht="15.75" thickBot="1" x14ac:dyDescent="0.3">
      <c r="F14" s="208"/>
      <c r="G14" s="208">
        <v>4</v>
      </c>
      <c r="H14" s="211">
        <f>'Grilles PolCom'!D33</f>
        <v>4</v>
      </c>
      <c r="I14" s="211">
        <f>'Grilles PolCom'!E33</f>
        <v>4</v>
      </c>
      <c r="J14" s="211">
        <f>'Grilles PolCom'!F33</f>
        <v>3.5</v>
      </c>
      <c r="K14" s="211">
        <f>'Grilles PolCom'!G33</f>
        <v>2.5</v>
      </c>
      <c r="L14" s="211">
        <f>'Grilles PolCom'!H33</f>
        <v>2</v>
      </c>
      <c r="M14" s="208"/>
      <c r="N14" s="208"/>
      <c r="O14" s="208"/>
      <c r="P14" s="208"/>
      <c r="Q14" s="208"/>
      <c r="R14" s="208"/>
      <c r="S14" s="208"/>
      <c r="T14" s="208"/>
      <c r="U14" s="208"/>
      <c r="V14" s="208"/>
      <c r="W14" s="208"/>
      <c r="X14" s="208"/>
      <c r="Y14" s="208"/>
      <c r="Z14" s="208"/>
      <c r="AA14" s="208"/>
      <c r="AB14" s="208"/>
      <c r="AC14" s="208"/>
      <c r="AD14" s="208"/>
      <c r="AE14" s="208"/>
      <c r="AF14" s="208"/>
      <c r="AG14" s="208"/>
      <c r="AH14" s="208"/>
      <c r="AI14" s="208"/>
      <c r="AJ14" s="208"/>
      <c r="AK14" s="208"/>
      <c r="AL14" s="208"/>
      <c r="AM14" s="208"/>
      <c r="AN14" s="208"/>
      <c r="AO14" s="208"/>
      <c r="AP14" s="208"/>
      <c r="AQ14" s="208"/>
      <c r="AR14" s="208"/>
      <c r="AS14" s="208"/>
      <c r="AT14" s="208"/>
      <c r="AU14" s="208"/>
      <c r="AV14" s="208"/>
      <c r="AW14" s="208"/>
      <c r="AX14" s="208"/>
      <c r="AY14" s="208"/>
      <c r="AZ14" s="208"/>
      <c r="BA14" s="208"/>
      <c r="BB14" s="208"/>
      <c r="BC14" s="208"/>
      <c r="BD14" s="208"/>
      <c r="BE14" s="208"/>
      <c r="BF14" s="208"/>
      <c r="BG14" s="208"/>
      <c r="BH14" s="208"/>
    </row>
    <row r="15" spans="2:60" ht="15.75" thickBot="1" x14ac:dyDescent="0.3">
      <c r="B15" s="54" t="s">
        <v>118</v>
      </c>
      <c r="C15" s="215">
        <f>IF(AND(C11="STANDARD",C8&lt;1000),H5,"1")*IF(AND(C11="STANDARD",C8&gt;=1000,C8&lt;3000),H6,1)*IF(AND(C11="STANDARD",C8&gt;=3000),H7,1)*IF(AND(C11="CARBONE",C8&lt;1000),I5,"1")*IF(AND(C11="CARBONE",C8&gt;=1000,C8&lt;3000),I6,1)*IF(AND(C11="CARBONE",C8&gt;=3000),I7,1)*IF(AND(C11="PREMIUM",C8&lt;1000),J5,"1")*IF(AND(C11="PREMIUM",C8&gt;=1000,C8&lt;3000),J6,1)*IF(AND(C11="PREMIUM",C8&gt;=3000),J7,1)</f>
        <v>56</v>
      </c>
      <c r="D15" s="54" t="s">
        <v>88</v>
      </c>
      <c r="F15" s="208"/>
      <c r="G15" s="208">
        <v>5</v>
      </c>
      <c r="H15" s="211">
        <f>'Grilles PolCom'!D34</f>
        <v>3.5</v>
      </c>
      <c r="I15" s="211">
        <f>'Grilles PolCom'!E34</f>
        <v>3.5</v>
      </c>
      <c r="J15" s="211">
        <f>'Grilles PolCom'!F34</f>
        <v>3</v>
      </c>
      <c r="K15" s="211">
        <f>'Grilles PolCom'!G34</f>
        <v>2.5</v>
      </c>
      <c r="L15" s="211">
        <f>'Grilles PolCom'!H34</f>
        <v>2</v>
      </c>
      <c r="M15" s="208"/>
      <c r="N15" s="208"/>
      <c r="O15" s="208"/>
      <c r="P15" s="208"/>
      <c r="Q15" s="208"/>
      <c r="R15" s="208"/>
      <c r="S15" s="208"/>
      <c r="T15" s="208"/>
      <c r="U15" s="208"/>
      <c r="V15" s="208"/>
      <c r="W15" s="208"/>
      <c r="X15" s="208"/>
      <c r="Y15" s="208"/>
      <c r="Z15" s="208"/>
      <c r="AA15" s="208"/>
      <c r="AB15" s="208"/>
      <c r="AC15" s="208"/>
    </row>
    <row r="16" spans="2:60" ht="15.75" thickBot="1" x14ac:dyDescent="0.3">
      <c r="B16" s="54" t="s">
        <v>103</v>
      </c>
      <c r="C16" s="215">
        <f>IF(AND(C13=1,C12&lt;=49),H11,1)*IF(AND(C13=2,C12&lt;=49),H12,1)*IF(AND(C13=3,C12&lt;=49),H13,1)*IF(AND(C13=4,C12&lt;=49),H14,1)*IF(AND(C13=5,C12&lt;=49),H15,1)*IF(AND(C13=1,C12&gt;49,C12&lt;=99),I11,1)*IF(AND(C13=2,C12&gt;49,C12&lt;=99),I12,1)*IF(AND(C13=3,C12&gt;49,C12&lt;=99),I13,1)*IF(AND(C13=4,C12&gt;49,C12&lt;=99),I14,1)*IF(AND(C13=5,C12&gt;49,C12&lt;=99),I15,1)*IF(AND(C13=1,C12&gt;99,C12&lt;=199),J11,1)*IF(AND(C13=2,C12&gt;99,C12&lt;=199),J12,1)*IF(AND(C13=3,C12&gt;99,C12&lt;=199),J13,1)*IF(AND(C13=4,C12&gt;99,C12&lt;=199),J14,1)*IF(AND(C13=5,C12&gt;99,C12&lt;=199),J15,1)*IF(AND(C13=1,C12&gt;199,C12&lt;=399),K11,1)*IF(AND(C13=2,C12&gt;199,C12&lt;=399),K12,1)*IF(AND(C13=3,C12&gt;199,C12&lt;=399),K13,1)*IF(AND(C13=4,C12&gt;199,C12&lt;=399),K14,1)*IF(AND(C13=5,C12&gt;199,C12&lt;=399),K15,1)*IF(AND(C13=1,C12&gt;399),L11,1)*IF(AND(C13=2,C12&gt;399),L12,1)*IF(AND(C13=3,C12&gt;399),L13,1)*IF(AND(C13=4,C12&gt;399),L14,1)*IF(AND(C13=5,C12&gt;399),L15,1)</f>
        <v>7</v>
      </c>
      <c r="D16" s="54" t="s">
        <v>88</v>
      </c>
      <c r="F16" s="208"/>
      <c r="G16" s="208"/>
      <c r="H16" s="208"/>
      <c r="I16" s="208"/>
      <c r="J16" s="208"/>
      <c r="K16" s="208"/>
      <c r="L16" s="208"/>
      <c r="M16" s="208"/>
      <c r="N16" s="208"/>
      <c r="O16" s="208"/>
      <c r="P16" s="208"/>
      <c r="Q16" s="208"/>
      <c r="R16" s="208"/>
      <c r="S16" s="208"/>
      <c r="T16" s="208"/>
      <c r="U16" s="208"/>
      <c r="V16" s="208"/>
      <c r="W16" s="208"/>
      <c r="X16" s="208"/>
      <c r="Y16" s="208"/>
      <c r="Z16" s="208"/>
      <c r="AA16" s="208"/>
      <c r="AB16" s="208"/>
      <c r="AC16" s="208"/>
    </row>
    <row r="17" spans="2:29" ht="15.75" thickBot="1" x14ac:dyDescent="0.3">
      <c r="B17" s="54" t="s">
        <v>116</v>
      </c>
      <c r="C17" s="215">
        <f>C15+C16*(C13)</f>
        <v>63</v>
      </c>
      <c r="D17" s="54" t="s">
        <v>88</v>
      </c>
      <c r="F17" s="208"/>
      <c r="G17" s="208"/>
      <c r="H17" s="208"/>
      <c r="I17" s="208"/>
      <c r="J17" s="208"/>
      <c r="K17" s="208"/>
      <c r="L17" s="208"/>
      <c r="M17" s="208"/>
      <c r="N17" s="208"/>
      <c r="O17" s="208"/>
      <c r="P17" s="208"/>
      <c r="Q17" s="208"/>
      <c r="R17" s="208"/>
      <c r="S17" s="208"/>
      <c r="T17" s="208"/>
      <c r="U17" s="208"/>
      <c r="V17" s="208"/>
      <c r="W17" s="208"/>
      <c r="X17" s="208"/>
      <c r="Y17" s="208"/>
      <c r="Z17" s="208"/>
      <c r="AA17" s="208"/>
      <c r="AB17" s="208"/>
      <c r="AC17" s="208"/>
    </row>
    <row r="18" spans="2:29" ht="15.75" thickBot="1" x14ac:dyDescent="0.3">
      <c r="B18" s="54" t="s">
        <v>104</v>
      </c>
      <c r="C18" s="215">
        <f>C17/C13</f>
        <v>63</v>
      </c>
      <c r="D18" s="54" t="s">
        <v>88</v>
      </c>
      <c r="F18" s="208"/>
      <c r="G18" s="208"/>
      <c r="H18" s="208"/>
      <c r="I18" s="208"/>
      <c r="J18" s="208"/>
      <c r="K18" s="208"/>
      <c r="L18" s="208"/>
      <c r="M18" s="208"/>
      <c r="N18" s="208"/>
      <c r="O18" s="208"/>
      <c r="P18" s="208"/>
      <c r="Q18" s="208"/>
      <c r="R18" s="208"/>
      <c r="S18" s="208"/>
      <c r="T18" s="208"/>
      <c r="U18" s="208"/>
      <c r="V18" s="208"/>
      <c r="W18" s="208"/>
      <c r="X18" s="208"/>
      <c r="Y18" s="208"/>
      <c r="Z18" s="208"/>
      <c r="AA18" s="208"/>
      <c r="AB18" s="208"/>
      <c r="AC18" s="208"/>
    </row>
    <row r="19" spans="2:29" x14ac:dyDescent="0.25">
      <c r="F19" s="208"/>
      <c r="G19" s="208"/>
      <c r="H19" s="208"/>
      <c r="I19" s="208"/>
      <c r="J19" s="208"/>
      <c r="K19" s="208"/>
      <c r="L19" s="208"/>
      <c r="M19" s="208"/>
      <c r="N19" s="208"/>
      <c r="O19" s="208"/>
      <c r="P19" s="208"/>
      <c r="Q19" s="208"/>
      <c r="R19" s="208"/>
      <c r="S19" s="208"/>
      <c r="T19" s="208"/>
      <c r="U19" s="208"/>
      <c r="V19" s="208"/>
      <c r="W19" s="208"/>
      <c r="X19" s="208"/>
      <c r="Y19" s="208"/>
      <c r="Z19" s="208"/>
      <c r="AA19" s="208"/>
      <c r="AB19" s="208"/>
      <c r="AC19" s="208"/>
    </row>
    <row r="20" spans="2:29" ht="15.75" thickBot="1" x14ac:dyDescent="0.3">
      <c r="F20" s="208"/>
      <c r="G20" s="208"/>
      <c r="H20" s="208"/>
      <c r="I20" s="208"/>
      <c r="J20" s="208"/>
      <c r="K20" s="208"/>
      <c r="L20" s="208"/>
      <c r="M20" s="208"/>
      <c r="N20" s="208"/>
      <c r="O20" s="208"/>
      <c r="P20" s="208"/>
      <c r="Q20" s="208"/>
      <c r="R20" s="208"/>
      <c r="S20" s="208"/>
      <c r="T20" s="208"/>
      <c r="U20" s="208"/>
      <c r="V20" s="208"/>
      <c r="W20" s="208"/>
      <c r="X20" s="208"/>
      <c r="Y20" s="208"/>
      <c r="Z20" s="208"/>
      <c r="AA20" s="208"/>
      <c r="AB20" s="208"/>
      <c r="AC20" s="208"/>
    </row>
    <row r="21" spans="2:29" ht="15.75" thickBot="1" x14ac:dyDescent="0.3">
      <c r="B21" s="54" t="s">
        <v>89</v>
      </c>
      <c r="C21" s="215">
        <f>((C17-(IF(C11="STANDARD",S4,1)*(IF(C11="CARBONE",S5,1)*(IF(C11="PREMIUM",S6,1)))))/C17)*100</f>
        <v>38.25396825396826</v>
      </c>
      <c r="D21" s="54" t="s">
        <v>93</v>
      </c>
      <c r="F21" s="208"/>
      <c r="G21" s="208"/>
      <c r="H21" s="208"/>
      <c r="I21" s="208"/>
      <c r="J21" s="208"/>
      <c r="K21" s="208"/>
      <c r="L21" s="208"/>
      <c r="M21" s="208"/>
      <c r="N21" s="208"/>
      <c r="O21" s="208"/>
      <c r="P21" s="208"/>
      <c r="Q21" s="208"/>
      <c r="R21" s="208"/>
      <c r="S21" s="208"/>
      <c r="T21" s="208"/>
      <c r="U21" s="208"/>
      <c r="V21" s="208"/>
      <c r="W21" s="208"/>
      <c r="X21" s="208"/>
      <c r="Y21" s="208"/>
      <c r="Z21" s="208"/>
      <c r="AA21" s="208"/>
      <c r="AB21" s="208"/>
      <c r="AC21" s="208"/>
    </row>
    <row r="22" spans="2:29" x14ac:dyDescent="0.25">
      <c r="F22" s="208"/>
      <c r="G22" s="208"/>
      <c r="H22" s="208"/>
      <c r="I22" s="208"/>
      <c r="J22" s="208"/>
      <c r="K22" s="208"/>
      <c r="L22" s="208"/>
      <c r="M22" s="208"/>
      <c r="N22" s="208"/>
      <c r="O22" s="208"/>
      <c r="P22" s="208"/>
      <c r="Q22" s="208"/>
      <c r="R22" s="208"/>
      <c r="S22" s="208"/>
      <c r="T22" s="208"/>
      <c r="U22" s="208"/>
      <c r="V22" s="208"/>
      <c r="W22" s="208"/>
      <c r="X22" s="208"/>
      <c r="Y22" s="208"/>
      <c r="Z22" s="208"/>
      <c r="AA22" s="208"/>
      <c r="AB22" s="208"/>
      <c r="AC22" s="208"/>
    </row>
    <row r="23" spans="2:29" x14ac:dyDescent="0.25"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</row>
    <row r="24" spans="2:29" x14ac:dyDescent="0.25">
      <c r="F24" s="208"/>
      <c r="G24" s="208"/>
      <c r="H24" s="208"/>
      <c r="I24" s="208"/>
      <c r="J24" s="208"/>
      <c r="K24" s="208"/>
      <c r="L24" s="208"/>
      <c r="M24" s="208"/>
      <c r="N24" s="208"/>
      <c r="O24" s="208"/>
      <c r="P24" s="208"/>
      <c r="Q24" s="208"/>
      <c r="R24" s="208"/>
      <c r="S24" s="208"/>
      <c r="T24" s="208"/>
      <c r="U24" s="208"/>
      <c r="V24" s="208"/>
      <c r="W24" s="208"/>
      <c r="X24" s="208"/>
      <c r="Y24" s="208"/>
      <c r="Z24" s="208"/>
      <c r="AA24" s="208"/>
      <c r="AB24" s="208"/>
      <c r="AC24" s="208"/>
    </row>
    <row r="25" spans="2:29" x14ac:dyDescent="0.25">
      <c r="F25" s="208"/>
      <c r="G25" s="208"/>
      <c r="H25" s="208"/>
      <c r="I25" s="208"/>
      <c r="J25" s="208"/>
      <c r="K25" s="208"/>
      <c r="L25" s="208"/>
      <c r="M25" s="208"/>
      <c r="N25" s="208"/>
      <c r="O25" s="208"/>
      <c r="P25" s="208"/>
      <c r="Q25" s="208"/>
      <c r="R25" s="208"/>
      <c r="S25" s="208"/>
      <c r="T25" s="208"/>
      <c r="U25" s="208"/>
      <c r="V25" s="208"/>
      <c r="W25" s="208"/>
      <c r="X25" s="208"/>
      <c r="Y25" s="208"/>
      <c r="Z25" s="208"/>
      <c r="AA25" s="208"/>
      <c r="AB25" s="208"/>
      <c r="AC25" s="208"/>
    </row>
    <row r="26" spans="2:29" x14ac:dyDescent="0.25">
      <c r="F26" s="207"/>
      <c r="G26" s="207"/>
      <c r="H26" s="207"/>
      <c r="I26" s="207"/>
      <c r="J26" s="207"/>
      <c r="K26" s="207"/>
      <c r="L26" s="207"/>
      <c r="M26" s="207"/>
      <c r="N26" s="207"/>
      <c r="O26" s="207"/>
      <c r="P26" s="207"/>
      <c r="Q26" s="207"/>
      <c r="R26" s="207"/>
      <c r="S26" s="207"/>
      <c r="T26" s="207"/>
      <c r="U26" s="207"/>
      <c r="V26" s="207"/>
      <c r="W26" s="207"/>
      <c r="X26" s="207"/>
      <c r="Y26" s="207"/>
      <c r="Z26" s="207"/>
    </row>
    <row r="27" spans="2:29" x14ac:dyDescent="0.25">
      <c r="F27" s="207"/>
      <c r="G27" s="207"/>
      <c r="H27" s="207"/>
      <c r="I27" s="207"/>
      <c r="J27" s="207"/>
      <c r="K27" s="207"/>
      <c r="L27" s="207"/>
      <c r="M27" s="207"/>
      <c r="N27" s="207"/>
      <c r="O27" s="207"/>
      <c r="P27" s="207"/>
      <c r="Q27" s="207"/>
      <c r="R27" s="207"/>
      <c r="S27" s="207"/>
      <c r="T27" s="207"/>
      <c r="U27" s="207"/>
      <c r="V27" s="207"/>
      <c r="W27" s="207"/>
      <c r="X27" s="207"/>
      <c r="Y27" s="207"/>
      <c r="Z27" s="207"/>
    </row>
  </sheetData>
  <sheetProtection selectLockedCells="1"/>
  <mergeCells count="1">
    <mergeCell ref="R3:T3"/>
  </mergeCells>
  <conditionalFormatting sqref="C21">
    <cfRule type="colorScale" priority="1">
      <colorScale>
        <cfvo type="min"/>
        <cfvo type="max"/>
        <color rgb="FFFCFCFF"/>
        <color rgb="FF63BE7B"/>
      </colorScale>
    </cfRule>
  </conditionalFormatting>
  <dataValidations count="2">
    <dataValidation type="list" allowBlank="1" showInputMessage="1" showErrorMessage="1" sqref="C13" xr:uid="{00000000-0002-0000-0500-000000000000}">
      <formula1>$O$4:$O$8</formula1>
    </dataValidation>
    <dataValidation type="list" allowBlank="1" showInputMessage="1" showErrorMessage="1" sqref="C11" xr:uid="{00000000-0002-0000-0500-000001000000}">
      <formula1>$M$4:$M$6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</sheetPr>
  <dimension ref="A1:AV193"/>
  <sheetViews>
    <sheetView topLeftCell="A20" zoomScale="80" zoomScaleNormal="80" workbookViewId="0">
      <selection activeCell="N22" sqref="N22"/>
    </sheetView>
  </sheetViews>
  <sheetFormatPr baseColWidth="10" defaultRowHeight="15" x14ac:dyDescent="0.25"/>
  <cols>
    <col min="3" max="3" width="46.7109375" bestFit="1" customWidth="1"/>
    <col min="4" max="4" width="16.5703125" customWidth="1"/>
    <col min="5" max="5" width="15.5703125" bestFit="1" customWidth="1"/>
    <col min="6" max="6" width="12" customWidth="1"/>
    <col min="7" max="7" width="12.140625" customWidth="1"/>
    <col min="8" max="8" width="12" customWidth="1"/>
    <col min="9" max="9" width="11.7109375" bestFit="1" customWidth="1"/>
    <col min="10" max="10" width="22.7109375" bestFit="1" customWidth="1"/>
    <col min="11" max="12" width="12.85546875" customWidth="1"/>
    <col min="13" max="13" width="13.28515625" customWidth="1"/>
    <col min="14" max="14" width="20.140625" customWidth="1"/>
  </cols>
  <sheetData>
    <row r="1" spans="1:41" s="193" customFormat="1" ht="8.1" customHeight="1" x14ac:dyDescent="0.25"/>
    <row r="2" spans="1:41" ht="19.5" customHeight="1" x14ac:dyDescent="0.35">
      <c r="A2" s="283" t="s">
        <v>119</v>
      </c>
      <c r="B2" s="283"/>
      <c r="C2" s="283"/>
      <c r="D2" s="71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/>
      <c r="AH2" s="193"/>
      <c r="AI2" s="193"/>
      <c r="AJ2" s="193"/>
      <c r="AK2" s="193"/>
      <c r="AL2" s="193"/>
      <c r="AM2" s="193"/>
      <c r="AN2" s="193"/>
      <c r="AO2" s="193"/>
    </row>
    <row r="3" spans="1:41" s="193" customFormat="1" x14ac:dyDescent="0.25"/>
    <row r="4" spans="1:41" ht="21" x14ac:dyDescent="0.35">
      <c r="A4" s="193"/>
      <c r="B4" s="196" t="s">
        <v>155</v>
      </c>
      <c r="C4" s="196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93"/>
      <c r="AE4" s="193"/>
      <c r="AF4" s="193"/>
      <c r="AG4" s="193"/>
      <c r="AH4" s="193"/>
      <c r="AI4" s="193"/>
      <c r="AJ4" s="193"/>
      <c r="AK4" s="193"/>
      <c r="AL4" s="193"/>
      <c r="AM4" s="193"/>
      <c r="AN4" s="193"/>
      <c r="AO4" s="193"/>
    </row>
    <row r="5" spans="1:41" ht="15.75" customHeight="1" x14ac:dyDescent="0.25">
      <c r="A5" s="193"/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  <c r="X5" s="193"/>
      <c r="Y5" s="193"/>
      <c r="Z5" s="193"/>
      <c r="AA5" s="193"/>
      <c r="AB5" s="193"/>
      <c r="AC5" s="193"/>
      <c r="AD5" s="193"/>
      <c r="AE5" s="193"/>
      <c r="AF5" s="193"/>
      <c r="AG5" s="193"/>
      <c r="AH5" s="193"/>
      <c r="AI5" s="193"/>
      <c r="AJ5" s="193"/>
      <c r="AK5" s="193"/>
      <c r="AL5" s="193"/>
      <c r="AM5" s="193"/>
      <c r="AN5" s="193"/>
      <c r="AO5" s="193"/>
    </row>
    <row r="6" spans="1:41" x14ac:dyDescent="0.25">
      <c r="A6" s="193"/>
      <c r="B6" s="193"/>
      <c r="C6" s="193"/>
      <c r="D6" s="193"/>
      <c r="E6" s="193"/>
      <c r="F6" s="284" t="s">
        <v>120</v>
      </c>
      <c r="G6" s="285"/>
      <c r="H6" s="285"/>
      <c r="I6" s="286" t="s">
        <v>121</v>
      </c>
      <c r="J6" s="286" t="s">
        <v>122</v>
      </c>
      <c r="K6" s="193"/>
      <c r="L6" s="193"/>
      <c r="M6" s="193"/>
      <c r="N6" s="193"/>
      <c r="O6" s="193"/>
      <c r="P6" s="193"/>
      <c r="Q6" s="193"/>
      <c r="R6" s="193"/>
      <c r="S6" s="193"/>
      <c r="T6" s="193"/>
      <c r="U6" s="193"/>
      <c r="V6" s="193"/>
      <c r="W6" s="193"/>
      <c r="X6" s="193"/>
      <c r="Y6" s="193"/>
      <c r="Z6" s="193"/>
      <c r="AA6" s="193"/>
      <c r="AB6" s="193"/>
      <c r="AC6" s="193"/>
      <c r="AD6" s="193"/>
      <c r="AE6" s="193"/>
      <c r="AF6" s="193"/>
      <c r="AG6" s="193"/>
      <c r="AH6" s="193"/>
      <c r="AI6" s="193"/>
      <c r="AJ6" s="193"/>
      <c r="AK6" s="193"/>
      <c r="AL6" s="193"/>
      <c r="AM6" s="193"/>
      <c r="AN6" s="193"/>
      <c r="AO6" s="193"/>
    </row>
    <row r="7" spans="1:41" x14ac:dyDescent="0.25">
      <c r="A7" s="193"/>
      <c r="B7" s="72" t="s">
        <v>123</v>
      </c>
      <c r="C7" s="72" t="s">
        <v>124</v>
      </c>
      <c r="D7" s="73" t="s">
        <v>125</v>
      </c>
      <c r="E7" s="73" t="s">
        <v>126</v>
      </c>
      <c r="F7" s="73" t="s">
        <v>133</v>
      </c>
      <c r="G7" s="73" t="s">
        <v>144</v>
      </c>
      <c r="H7" s="73" t="s">
        <v>145</v>
      </c>
      <c r="I7" s="286"/>
      <c r="J7" s="287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3"/>
      <c r="Z7" s="193"/>
      <c r="AA7" s="193"/>
      <c r="AB7" s="193"/>
      <c r="AC7" s="193"/>
      <c r="AD7" s="193"/>
      <c r="AE7" s="193"/>
      <c r="AF7" s="193"/>
      <c r="AG7" s="193"/>
      <c r="AH7" s="193"/>
      <c r="AI7" s="193"/>
      <c r="AJ7" s="193"/>
      <c r="AK7" s="193"/>
      <c r="AL7" s="193"/>
      <c r="AM7" s="193"/>
      <c r="AN7" s="193"/>
      <c r="AO7" s="193"/>
    </row>
    <row r="8" spans="1:41" x14ac:dyDescent="0.25">
      <c r="A8" s="193"/>
      <c r="B8" s="74" t="s">
        <v>130</v>
      </c>
      <c r="C8" s="103" t="s">
        <v>127</v>
      </c>
      <c r="D8" s="75">
        <v>61</v>
      </c>
      <c r="E8" s="80">
        <v>10000</v>
      </c>
      <c r="F8" s="75">
        <v>0</v>
      </c>
      <c r="G8" s="75">
        <v>2</v>
      </c>
      <c r="H8" s="75">
        <v>5</v>
      </c>
      <c r="I8" s="75">
        <f>IF(E8&lt;1000,D8,1)*IF(AND(E8&gt;=1000,E8&lt;3000),D8-G8,1)*IF(E8&gt;=3000,D8-H8,1)</f>
        <v>56</v>
      </c>
      <c r="J8" s="81">
        <f>I8*E8</f>
        <v>560000</v>
      </c>
      <c r="K8" s="193"/>
      <c r="L8" s="193"/>
      <c r="M8" s="193"/>
      <c r="N8" s="193"/>
      <c r="O8" s="193"/>
      <c r="P8" s="193"/>
      <c r="Q8" s="193"/>
      <c r="R8" s="193"/>
      <c r="S8" s="193"/>
      <c r="T8" s="193"/>
      <c r="U8" s="193"/>
      <c r="V8" s="193"/>
      <c r="W8" s="193"/>
      <c r="X8" s="193"/>
      <c r="Y8" s="193"/>
      <c r="Z8" s="193"/>
      <c r="AA8" s="193"/>
      <c r="AB8" s="193"/>
      <c r="AC8" s="193"/>
      <c r="AD8" s="193"/>
      <c r="AE8" s="193"/>
      <c r="AF8" s="193"/>
      <c r="AG8" s="193"/>
      <c r="AH8" s="193"/>
      <c r="AI8" s="193"/>
      <c r="AJ8" s="193"/>
      <c r="AK8" s="193"/>
      <c r="AL8" s="193"/>
      <c r="AM8" s="193"/>
      <c r="AN8" s="193"/>
      <c r="AO8" s="193"/>
    </row>
    <row r="9" spans="1:41" x14ac:dyDescent="0.25">
      <c r="A9" s="193"/>
      <c r="B9" s="76" t="s">
        <v>131</v>
      </c>
      <c r="C9" s="104" t="s">
        <v>128</v>
      </c>
      <c r="D9" s="77">
        <v>75</v>
      </c>
      <c r="E9" s="82">
        <v>150</v>
      </c>
      <c r="F9" s="77">
        <v>0</v>
      </c>
      <c r="G9" s="77">
        <v>3</v>
      </c>
      <c r="H9" s="77">
        <v>6</v>
      </c>
      <c r="I9" s="77">
        <f t="shared" ref="I9:I10" si="0">IF(E9&lt;1000,D9,1)*IF(AND(E9&gt;=1000,E9&lt;3000),D9-G9,1)*IF(E9&gt;=3000,D9-H9,1)</f>
        <v>75</v>
      </c>
      <c r="J9" s="77">
        <f>I9*E9</f>
        <v>11250</v>
      </c>
      <c r="K9" s="193"/>
      <c r="L9" s="193"/>
      <c r="M9" s="193"/>
      <c r="N9" s="193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3"/>
      <c r="AA9" s="193"/>
      <c r="AB9" s="193"/>
      <c r="AC9" s="193"/>
      <c r="AD9" s="193"/>
      <c r="AE9" s="193"/>
      <c r="AF9" s="193"/>
      <c r="AG9" s="193"/>
      <c r="AH9" s="193"/>
      <c r="AI9" s="193"/>
      <c r="AJ9" s="193"/>
      <c r="AK9" s="193"/>
      <c r="AL9" s="193"/>
      <c r="AM9" s="193"/>
      <c r="AN9" s="193"/>
      <c r="AO9" s="193"/>
    </row>
    <row r="10" spans="1:41" x14ac:dyDescent="0.25">
      <c r="A10" s="193"/>
      <c r="B10" s="78" t="s">
        <v>132</v>
      </c>
      <c r="C10" s="105" t="s">
        <v>129</v>
      </c>
      <c r="D10" s="79">
        <v>98</v>
      </c>
      <c r="E10" s="83">
        <v>1500</v>
      </c>
      <c r="F10" s="79">
        <v>0</v>
      </c>
      <c r="G10" s="79">
        <v>4</v>
      </c>
      <c r="H10" s="79">
        <v>8</v>
      </c>
      <c r="I10" s="79">
        <f t="shared" si="0"/>
        <v>94</v>
      </c>
      <c r="J10" s="79">
        <f>I10*E10</f>
        <v>141000</v>
      </c>
      <c r="K10" s="193"/>
      <c r="L10" s="193"/>
      <c r="M10" s="193"/>
      <c r="N10" s="193"/>
      <c r="O10" s="193"/>
      <c r="P10" s="193"/>
      <c r="Q10" s="193"/>
      <c r="R10" s="193"/>
      <c r="S10" s="193"/>
      <c r="T10" s="193"/>
      <c r="U10" s="193"/>
      <c r="V10" s="193"/>
      <c r="W10" s="193"/>
      <c r="X10" s="193"/>
      <c r="Y10" s="193"/>
      <c r="Z10" s="193"/>
      <c r="AA10" s="193"/>
      <c r="AB10" s="193"/>
      <c r="AC10" s="193"/>
      <c r="AD10" s="193"/>
      <c r="AE10" s="193"/>
      <c r="AF10" s="193"/>
      <c r="AG10" s="193"/>
      <c r="AH10" s="193"/>
      <c r="AI10" s="193"/>
      <c r="AJ10" s="193"/>
      <c r="AK10" s="193"/>
      <c r="AL10" s="193"/>
      <c r="AM10" s="193"/>
      <c r="AN10" s="193"/>
      <c r="AO10" s="193"/>
    </row>
    <row r="11" spans="1:41" ht="16.5" thickBot="1" x14ac:dyDescent="0.3">
      <c r="A11" s="193"/>
      <c r="B11" s="193"/>
      <c r="C11" s="193"/>
      <c r="D11" s="193"/>
      <c r="E11" s="193"/>
      <c r="F11" s="193"/>
      <c r="G11" s="193"/>
      <c r="H11" s="193"/>
      <c r="I11" s="193"/>
      <c r="J11" s="198">
        <f>SUM(J8:J10)</f>
        <v>712250</v>
      </c>
      <c r="K11" s="194"/>
      <c r="L11" s="194"/>
      <c r="M11" s="193"/>
      <c r="N11" s="193"/>
      <c r="O11" s="193"/>
      <c r="P11" s="193"/>
      <c r="Q11" s="193"/>
      <c r="R11" s="193"/>
      <c r="S11" s="193"/>
      <c r="T11" s="193"/>
      <c r="U11" s="193"/>
      <c r="V11" s="193"/>
      <c r="W11" s="193"/>
      <c r="X11" s="193"/>
      <c r="Y11" s="193"/>
      <c r="Z11" s="193"/>
      <c r="AA11" s="193"/>
      <c r="AB11" s="193"/>
      <c r="AC11" s="193"/>
      <c r="AD11" s="193"/>
      <c r="AE11" s="193"/>
      <c r="AF11" s="193"/>
      <c r="AG11" s="193"/>
      <c r="AH11" s="193"/>
      <c r="AI11" s="193"/>
      <c r="AJ11" s="193"/>
      <c r="AK11" s="193"/>
      <c r="AL11" s="193"/>
      <c r="AM11" s="193"/>
      <c r="AN11" s="193"/>
      <c r="AO11" s="193"/>
    </row>
    <row r="12" spans="1:41" ht="15.75" x14ac:dyDescent="0.25">
      <c r="A12" s="193"/>
      <c r="B12" s="193"/>
      <c r="C12" s="127" t="s">
        <v>161</v>
      </c>
      <c r="D12" s="101" t="s">
        <v>162</v>
      </c>
      <c r="E12" s="101" t="s">
        <v>163</v>
      </c>
      <c r="F12" s="102" t="s">
        <v>164</v>
      </c>
      <c r="G12" s="193"/>
      <c r="H12" s="193"/>
      <c r="I12" s="193"/>
      <c r="J12" s="195"/>
      <c r="K12" s="194"/>
      <c r="L12" s="194"/>
      <c r="M12" s="193"/>
      <c r="N12" s="193"/>
      <c r="O12" s="193"/>
      <c r="P12" s="193"/>
      <c r="Q12" s="193"/>
      <c r="R12" s="193"/>
      <c r="S12" s="193"/>
      <c r="T12" s="193"/>
      <c r="U12" s="193"/>
      <c r="V12" s="193"/>
      <c r="W12" s="193"/>
      <c r="X12" s="193"/>
      <c r="Y12" s="193"/>
      <c r="Z12" s="193"/>
      <c r="AA12" s="193"/>
      <c r="AB12" s="193"/>
      <c r="AC12" s="193"/>
      <c r="AD12" s="193"/>
      <c r="AE12" s="193"/>
      <c r="AF12" s="193"/>
      <c r="AG12" s="193"/>
      <c r="AH12" s="193"/>
      <c r="AI12" s="193"/>
      <c r="AJ12" s="193"/>
      <c r="AK12" s="193"/>
      <c r="AL12" s="193"/>
      <c r="AM12" s="193"/>
      <c r="AN12" s="193"/>
      <c r="AO12" s="193"/>
    </row>
    <row r="13" spans="1:41" ht="15.75" x14ac:dyDescent="0.25">
      <c r="A13" s="193"/>
      <c r="B13" s="193"/>
      <c r="C13" s="149" t="s">
        <v>6</v>
      </c>
      <c r="D13" s="154">
        <f>D8</f>
        <v>61</v>
      </c>
      <c r="E13" s="154">
        <f>D13-G8</f>
        <v>59</v>
      </c>
      <c r="F13" s="155">
        <f>D8-H8</f>
        <v>56</v>
      </c>
      <c r="G13" s="193"/>
      <c r="H13" s="193"/>
      <c r="I13" s="193"/>
      <c r="J13" s="195"/>
      <c r="K13" s="194"/>
      <c r="L13" s="194"/>
      <c r="M13" s="193"/>
      <c r="N13" s="193"/>
      <c r="O13" s="193"/>
      <c r="P13" s="193"/>
      <c r="Q13" s="193"/>
      <c r="R13" s="193"/>
      <c r="S13" s="193"/>
      <c r="T13" s="193"/>
      <c r="U13" s="193"/>
      <c r="V13" s="193"/>
      <c r="W13" s="193"/>
      <c r="X13" s="193"/>
      <c r="Y13" s="193"/>
      <c r="Z13" s="193"/>
      <c r="AA13" s="193"/>
      <c r="AB13" s="193"/>
      <c r="AC13" s="193"/>
      <c r="AD13" s="193"/>
      <c r="AE13" s="193"/>
      <c r="AF13" s="193"/>
      <c r="AG13" s="193"/>
      <c r="AH13" s="193"/>
      <c r="AI13" s="193"/>
      <c r="AJ13" s="193"/>
      <c r="AK13" s="193"/>
      <c r="AL13" s="193"/>
      <c r="AM13" s="193"/>
      <c r="AN13" s="193"/>
      <c r="AO13" s="193"/>
    </row>
    <row r="14" spans="1:41" ht="15.75" x14ac:dyDescent="0.25">
      <c r="A14" s="193"/>
      <c r="B14" s="193"/>
      <c r="C14" s="149" t="s">
        <v>43</v>
      </c>
      <c r="D14" s="156">
        <f t="shared" ref="D14:D15" si="1">D9</f>
        <v>75</v>
      </c>
      <c r="E14" s="156">
        <f t="shared" ref="E14:E15" si="2">D14-G9</f>
        <v>72</v>
      </c>
      <c r="F14" s="156">
        <f t="shared" ref="F14:F15" si="3">D9-H9</f>
        <v>69</v>
      </c>
      <c r="G14" s="193"/>
      <c r="H14" s="193"/>
      <c r="I14" s="193"/>
      <c r="J14" s="195"/>
      <c r="K14" s="194"/>
      <c r="L14" s="194"/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3"/>
      <c r="X14" s="193"/>
      <c r="Y14" s="193"/>
      <c r="Z14" s="193"/>
      <c r="AA14" s="193"/>
      <c r="AB14" s="193"/>
      <c r="AC14" s="193"/>
      <c r="AD14" s="193"/>
      <c r="AE14" s="193"/>
      <c r="AF14" s="193"/>
      <c r="AG14" s="193"/>
      <c r="AH14" s="193"/>
      <c r="AI14" s="193"/>
      <c r="AJ14" s="193"/>
      <c r="AK14" s="193"/>
      <c r="AL14" s="193"/>
      <c r="AM14" s="193"/>
      <c r="AN14" s="193"/>
      <c r="AO14" s="193"/>
    </row>
    <row r="15" spans="1:41" ht="16.5" thickBot="1" x14ac:dyDescent="0.3">
      <c r="A15" s="193"/>
      <c r="B15" s="193"/>
      <c r="C15" s="153" t="s">
        <v>46</v>
      </c>
      <c r="D15" s="157">
        <f t="shared" si="1"/>
        <v>98</v>
      </c>
      <c r="E15" s="157">
        <f t="shared" si="2"/>
        <v>94</v>
      </c>
      <c r="F15" s="157">
        <f t="shared" si="3"/>
        <v>90</v>
      </c>
      <c r="G15" s="193"/>
      <c r="H15" s="193"/>
      <c r="I15" s="193"/>
      <c r="J15" s="195"/>
      <c r="K15" s="194"/>
      <c r="L15" s="194"/>
      <c r="M15" s="193"/>
      <c r="N15" s="193"/>
      <c r="O15" s="193"/>
      <c r="P15" s="193"/>
      <c r="Q15" s="193"/>
      <c r="R15" s="193"/>
      <c r="S15" s="193"/>
      <c r="T15" s="193"/>
      <c r="U15" s="193"/>
      <c r="V15" s="193"/>
      <c r="W15" s="193"/>
      <c r="X15" s="193"/>
      <c r="Y15" s="193"/>
      <c r="Z15" s="193"/>
      <c r="AA15" s="193"/>
      <c r="AB15" s="193"/>
      <c r="AC15" s="193"/>
      <c r="AD15" s="193"/>
      <c r="AE15" s="193"/>
      <c r="AF15" s="193"/>
      <c r="AG15" s="193"/>
      <c r="AH15" s="193"/>
      <c r="AI15" s="193"/>
      <c r="AJ15" s="193"/>
      <c r="AK15" s="193"/>
      <c r="AL15" s="193"/>
      <c r="AM15" s="193"/>
      <c r="AN15" s="193"/>
      <c r="AO15" s="193"/>
    </row>
    <row r="16" spans="1:41" ht="15.75" x14ac:dyDescent="0.25">
      <c r="A16" s="193"/>
      <c r="B16" s="193"/>
      <c r="C16" s="193"/>
      <c r="D16" s="193"/>
      <c r="E16" s="193"/>
      <c r="F16" s="193"/>
      <c r="G16" s="193"/>
      <c r="H16" s="193"/>
      <c r="I16" s="193"/>
      <c r="J16" s="195"/>
      <c r="K16" s="194"/>
      <c r="L16" s="194"/>
      <c r="M16" s="193"/>
      <c r="N16" s="193"/>
      <c r="O16" s="193"/>
      <c r="P16" s="193"/>
      <c r="Q16" s="193"/>
      <c r="R16" s="193"/>
      <c r="S16" s="193"/>
      <c r="T16" s="193"/>
      <c r="U16" s="193"/>
      <c r="V16" s="193"/>
      <c r="W16" s="193"/>
      <c r="X16" s="193"/>
      <c r="Y16" s="193"/>
      <c r="Z16" s="193"/>
      <c r="AA16" s="193"/>
      <c r="AB16" s="193"/>
      <c r="AC16" s="193"/>
      <c r="AD16" s="193"/>
      <c r="AE16" s="193"/>
      <c r="AF16" s="193"/>
      <c r="AG16" s="193"/>
      <c r="AH16" s="193"/>
      <c r="AI16" s="193"/>
      <c r="AJ16" s="193"/>
      <c r="AK16" s="193"/>
      <c r="AL16" s="193"/>
      <c r="AM16" s="193"/>
      <c r="AN16" s="193"/>
      <c r="AO16" s="193"/>
    </row>
    <row r="17" spans="1:48" ht="15.75" x14ac:dyDescent="0.25">
      <c r="A17" s="193"/>
      <c r="B17" s="193"/>
      <c r="C17" s="193"/>
      <c r="D17" s="193"/>
      <c r="E17" s="193"/>
      <c r="F17" s="193"/>
      <c r="G17" s="193"/>
      <c r="H17" s="193"/>
      <c r="I17" s="193"/>
      <c r="J17" s="195"/>
      <c r="K17" s="194"/>
      <c r="L17" s="194"/>
      <c r="M17" s="193"/>
      <c r="N17" s="193"/>
      <c r="O17" s="193"/>
      <c r="P17" s="193"/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  <c r="AB17" s="193"/>
      <c r="AC17" s="193"/>
      <c r="AD17" s="193"/>
      <c r="AE17" s="193"/>
      <c r="AF17" s="193"/>
      <c r="AG17" s="193"/>
      <c r="AH17" s="193"/>
      <c r="AI17" s="193"/>
      <c r="AJ17" s="193"/>
      <c r="AK17" s="193"/>
      <c r="AL17" s="193"/>
      <c r="AM17" s="193"/>
      <c r="AN17" s="193"/>
      <c r="AO17" s="193"/>
    </row>
    <row r="18" spans="1:48" ht="21" x14ac:dyDescent="0.35">
      <c r="A18" s="193"/>
      <c r="B18" s="196" t="s">
        <v>186</v>
      </c>
      <c r="C18" s="59"/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3"/>
      <c r="P18" s="193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</row>
    <row r="19" spans="1:48" ht="15.75" thickBot="1" x14ac:dyDescent="0.3">
      <c r="A19" s="193"/>
      <c r="B19" s="193"/>
      <c r="C19" s="193"/>
      <c r="D19" s="193"/>
      <c r="E19" s="193"/>
      <c r="F19" s="193"/>
      <c r="G19" s="193"/>
      <c r="H19" s="193"/>
      <c r="I19" s="193"/>
      <c r="J19" s="193"/>
      <c r="K19" s="193"/>
      <c r="L19" s="193"/>
      <c r="M19" s="193"/>
      <c r="N19" s="193"/>
      <c r="O19" s="193"/>
      <c r="P19" s="193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</row>
    <row r="20" spans="1:48" ht="14.45" customHeight="1" thickBot="1" x14ac:dyDescent="0.3">
      <c r="A20" s="193"/>
      <c r="B20" s="193"/>
      <c r="C20" s="193"/>
      <c r="D20" s="193"/>
      <c r="E20" s="277" t="s">
        <v>149</v>
      </c>
      <c r="F20" s="278"/>
      <c r="G20" s="278"/>
      <c r="H20" s="279"/>
      <c r="I20" s="280" t="s">
        <v>120</v>
      </c>
      <c r="J20" s="281"/>
      <c r="K20" s="281"/>
      <c r="L20" s="282"/>
      <c r="M20" s="273" t="s">
        <v>121</v>
      </c>
      <c r="N20" s="275" t="s">
        <v>143</v>
      </c>
      <c r="O20" s="193"/>
      <c r="P20" s="193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</row>
    <row r="21" spans="1:48" ht="30.75" thickBot="1" x14ac:dyDescent="0.3">
      <c r="A21" s="193"/>
      <c r="B21" s="128" t="s">
        <v>123</v>
      </c>
      <c r="C21" s="129" t="s">
        <v>124</v>
      </c>
      <c r="D21" s="107" t="s">
        <v>185</v>
      </c>
      <c r="E21" s="101" t="s">
        <v>157</v>
      </c>
      <c r="F21" s="99" t="s">
        <v>146</v>
      </c>
      <c r="G21" s="99" t="s">
        <v>147</v>
      </c>
      <c r="H21" s="102" t="s">
        <v>148</v>
      </c>
      <c r="I21" s="145" t="s">
        <v>134</v>
      </c>
      <c r="J21" s="146" t="s">
        <v>137</v>
      </c>
      <c r="K21" s="146" t="s">
        <v>136</v>
      </c>
      <c r="L21" s="147" t="s">
        <v>135</v>
      </c>
      <c r="M21" s="274"/>
      <c r="N21" s="276"/>
      <c r="O21" s="193"/>
      <c r="P21" s="193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</row>
    <row r="22" spans="1:48" x14ac:dyDescent="0.25">
      <c r="A22" s="193"/>
      <c r="B22" s="130" t="s">
        <v>138</v>
      </c>
      <c r="C22" s="131" t="s">
        <v>165</v>
      </c>
      <c r="D22" s="108">
        <v>8</v>
      </c>
      <c r="E22" s="113">
        <v>390</v>
      </c>
      <c r="F22" s="80">
        <v>789</v>
      </c>
      <c r="G22" s="80">
        <v>4000</v>
      </c>
      <c r="H22" s="114">
        <v>5000</v>
      </c>
      <c r="I22" s="140">
        <v>0</v>
      </c>
      <c r="J22" s="141">
        <v>1</v>
      </c>
      <c r="K22" s="141">
        <v>2</v>
      </c>
      <c r="L22" s="142">
        <v>4</v>
      </c>
      <c r="M22" s="143">
        <f>(D22*SUM(E22:H22)-((F22*J22)+(G22*K22)+(H22*L22)))/SUM(E22:H22)</f>
        <v>5.1717261027605854</v>
      </c>
      <c r="N22" s="144">
        <f>M22*(SUM(E22:H22))</f>
        <v>52643</v>
      </c>
      <c r="O22" s="193"/>
      <c r="P22" s="193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</row>
    <row r="23" spans="1:48" x14ac:dyDescent="0.25">
      <c r="A23" s="193"/>
      <c r="B23" s="132" t="s">
        <v>139</v>
      </c>
      <c r="C23" s="133" t="s">
        <v>166</v>
      </c>
      <c r="D23" s="109">
        <v>6</v>
      </c>
      <c r="E23" s="115">
        <v>456</v>
      </c>
      <c r="F23" s="82">
        <v>456</v>
      </c>
      <c r="G23" s="82">
        <v>678</v>
      </c>
      <c r="H23" s="116">
        <v>0</v>
      </c>
      <c r="I23" s="90">
        <v>0</v>
      </c>
      <c r="J23" s="77">
        <v>1.5</v>
      </c>
      <c r="K23" s="77">
        <v>2.5</v>
      </c>
      <c r="L23" s="91">
        <v>3</v>
      </c>
      <c r="M23" s="123">
        <f t="shared" ref="M23:M26" si="4">(D23*SUM(E23:H23)-((F23*J23)+(G23*K23)+(H23*L23)))/SUM(E23:H23)</f>
        <v>4.5037735849056606</v>
      </c>
      <c r="N23" s="86">
        <f t="shared" ref="N23:N26" si="5">M23*(SUM(E23:H23))</f>
        <v>7161</v>
      </c>
      <c r="O23" s="193"/>
      <c r="P23" s="193"/>
      <c r="Q23" s="193"/>
      <c r="R23" s="193"/>
      <c r="S23" s="193"/>
      <c r="T23" s="193"/>
      <c r="U23" s="193"/>
      <c r="V23" s="193"/>
      <c r="W23" s="193"/>
      <c r="X23" s="193"/>
      <c r="Y23" s="193"/>
      <c r="Z23" s="193"/>
      <c r="AA23" s="193"/>
      <c r="AB23" s="193"/>
      <c r="AC23" s="193"/>
      <c r="AD23" s="193"/>
      <c r="AE23" s="193"/>
      <c r="AF23" s="193"/>
      <c r="AG23" s="193"/>
      <c r="AH23" s="193"/>
      <c r="AI23" s="193"/>
      <c r="AJ23" s="193"/>
      <c r="AK23" s="193"/>
      <c r="AL23" s="193"/>
      <c r="AM23" s="193"/>
      <c r="AN23" s="193"/>
      <c r="AO23" s="193"/>
    </row>
    <row r="24" spans="1:48" x14ac:dyDescent="0.25">
      <c r="A24" s="193"/>
      <c r="B24" s="134" t="s">
        <v>140</v>
      </c>
      <c r="C24" s="135" t="s">
        <v>167</v>
      </c>
      <c r="D24" s="110">
        <v>5</v>
      </c>
      <c r="E24" s="117">
        <v>789</v>
      </c>
      <c r="F24" s="83">
        <v>234</v>
      </c>
      <c r="G24" s="83">
        <v>765</v>
      </c>
      <c r="H24" s="118">
        <v>0</v>
      </c>
      <c r="I24" s="92">
        <v>0</v>
      </c>
      <c r="J24" s="79">
        <v>1</v>
      </c>
      <c r="K24" s="79">
        <v>2.5</v>
      </c>
      <c r="L24" s="93">
        <v>2.5</v>
      </c>
      <c r="M24" s="124">
        <f t="shared" si="4"/>
        <v>3.799496644295302</v>
      </c>
      <c r="N24" s="87">
        <f t="shared" si="5"/>
        <v>6793.5</v>
      </c>
      <c r="O24" s="193"/>
      <c r="P24" s="193"/>
      <c r="Q24" s="193"/>
      <c r="R24" s="193"/>
      <c r="S24" s="193"/>
      <c r="T24" s="193"/>
      <c r="U24" s="193"/>
      <c r="V24" s="193"/>
      <c r="W24" s="193"/>
      <c r="X24" s="193"/>
      <c r="Y24" s="193"/>
      <c r="Z24" s="193"/>
      <c r="AA24" s="193"/>
      <c r="AB24" s="193"/>
      <c r="AC24" s="193"/>
      <c r="AD24" s="193"/>
      <c r="AE24" s="193"/>
      <c r="AF24" s="193"/>
      <c r="AG24" s="193"/>
      <c r="AH24" s="193"/>
      <c r="AI24" s="193"/>
      <c r="AJ24" s="193"/>
      <c r="AK24" s="193"/>
      <c r="AL24" s="193"/>
      <c r="AM24" s="193"/>
      <c r="AN24" s="193"/>
      <c r="AO24" s="193"/>
    </row>
    <row r="25" spans="1:48" x14ac:dyDescent="0.25">
      <c r="A25" s="193"/>
      <c r="B25" s="136" t="s">
        <v>141</v>
      </c>
      <c r="C25" s="137" t="s">
        <v>168</v>
      </c>
      <c r="D25" s="111">
        <v>4</v>
      </c>
      <c r="E25" s="119">
        <v>0</v>
      </c>
      <c r="F25" s="85">
        <v>876</v>
      </c>
      <c r="G25" s="85">
        <v>2345</v>
      </c>
      <c r="H25" s="120">
        <v>0</v>
      </c>
      <c r="I25" s="94">
        <v>0</v>
      </c>
      <c r="J25" s="84">
        <v>0.5</v>
      </c>
      <c r="K25" s="84">
        <v>1.5</v>
      </c>
      <c r="L25" s="95">
        <v>2</v>
      </c>
      <c r="M25" s="125">
        <f t="shared" si="4"/>
        <v>2.7719652281900031</v>
      </c>
      <c r="N25" s="88">
        <f t="shared" si="5"/>
        <v>8928.5</v>
      </c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3"/>
      <c r="Z25" s="193"/>
      <c r="AA25" s="193"/>
      <c r="AB25" s="193"/>
      <c r="AC25" s="193"/>
      <c r="AD25" s="193"/>
      <c r="AE25" s="193"/>
      <c r="AF25" s="193"/>
      <c r="AG25" s="193"/>
      <c r="AH25" s="193"/>
      <c r="AI25" s="193"/>
      <c r="AJ25" s="193"/>
      <c r="AK25" s="193"/>
      <c r="AL25" s="193"/>
      <c r="AM25" s="193"/>
      <c r="AN25" s="193"/>
      <c r="AO25" s="193"/>
    </row>
    <row r="26" spans="1:48" ht="16.5" customHeight="1" thickBot="1" x14ac:dyDescent="0.3">
      <c r="A26" s="193"/>
      <c r="B26" s="138" t="s">
        <v>142</v>
      </c>
      <c r="C26" s="139" t="s">
        <v>169</v>
      </c>
      <c r="D26" s="112">
        <v>3.5</v>
      </c>
      <c r="E26" s="121">
        <v>1020</v>
      </c>
      <c r="F26" s="100">
        <v>0</v>
      </c>
      <c r="G26" s="100">
        <v>9087</v>
      </c>
      <c r="H26" s="122">
        <v>0</v>
      </c>
      <c r="I26" s="96">
        <v>0</v>
      </c>
      <c r="J26" s="97">
        <v>0.5</v>
      </c>
      <c r="K26" s="97">
        <v>1</v>
      </c>
      <c r="L26" s="98">
        <v>1.5</v>
      </c>
      <c r="M26" s="126">
        <f t="shared" si="4"/>
        <v>2.6009201543484712</v>
      </c>
      <c r="N26" s="106">
        <f t="shared" si="5"/>
        <v>26287.5</v>
      </c>
      <c r="O26" s="193"/>
      <c r="P26" s="193"/>
      <c r="Q26" s="193"/>
      <c r="R26" s="193"/>
      <c r="S26" s="193"/>
      <c r="T26" s="193"/>
      <c r="U26" s="193"/>
      <c r="V26" s="193"/>
      <c r="W26" s="193"/>
      <c r="X26" s="193"/>
      <c r="Y26" s="193"/>
      <c r="Z26" s="193"/>
      <c r="AA26" s="193"/>
      <c r="AB26" s="193"/>
      <c r="AC26" s="193"/>
      <c r="AD26" s="193"/>
      <c r="AE26" s="193"/>
      <c r="AF26" s="193"/>
      <c r="AG26" s="193"/>
      <c r="AH26" s="193"/>
      <c r="AI26" s="193"/>
      <c r="AJ26" s="193"/>
      <c r="AK26" s="193"/>
      <c r="AL26" s="193"/>
      <c r="AM26" s="193"/>
      <c r="AN26" s="193"/>
      <c r="AO26" s="193"/>
    </row>
    <row r="27" spans="1:48" s="193" customFormat="1" ht="19.5" thickBot="1" x14ac:dyDescent="0.35">
      <c r="N27" s="197">
        <f>SUM(N22:N26)</f>
        <v>101813.5</v>
      </c>
    </row>
    <row r="28" spans="1:48" s="193" customFormat="1" ht="15.75" thickBot="1" x14ac:dyDescent="0.3"/>
    <row r="29" spans="1:48" ht="30" x14ac:dyDescent="0.25">
      <c r="A29" s="193"/>
      <c r="B29" s="193"/>
      <c r="C29" s="127" t="s">
        <v>153</v>
      </c>
      <c r="D29" s="101" t="s">
        <v>159</v>
      </c>
      <c r="E29" s="101" t="s">
        <v>160</v>
      </c>
      <c r="F29" s="99" t="s">
        <v>150</v>
      </c>
      <c r="G29" s="99" t="s">
        <v>151</v>
      </c>
      <c r="H29" s="102" t="s">
        <v>152</v>
      </c>
      <c r="I29" s="193"/>
      <c r="J29" s="201" t="s">
        <v>158</v>
      </c>
      <c r="K29" s="202">
        <f>J11</f>
        <v>712250</v>
      </c>
      <c r="L29" s="193"/>
      <c r="M29" s="193"/>
      <c r="N29" s="193"/>
      <c r="O29" s="193"/>
      <c r="P29" s="193"/>
      <c r="Q29" s="193"/>
      <c r="R29" s="193"/>
      <c r="S29" s="193"/>
      <c r="T29" s="193"/>
      <c r="U29" s="193"/>
      <c r="V29" s="193"/>
      <c r="W29" s="193"/>
      <c r="X29" s="193"/>
      <c r="Y29" s="193"/>
      <c r="Z29" s="193"/>
      <c r="AA29" s="193"/>
      <c r="AB29" s="193"/>
      <c r="AC29" s="193"/>
      <c r="AD29" s="193"/>
      <c r="AE29" s="193"/>
      <c r="AF29" s="193"/>
      <c r="AG29" s="193"/>
      <c r="AH29" s="193"/>
      <c r="AI29" s="193"/>
      <c r="AJ29" s="193"/>
      <c r="AK29" s="193"/>
      <c r="AL29" s="193"/>
      <c r="AM29" s="193"/>
      <c r="AN29" s="193"/>
    </row>
    <row r="30" spans="1:48" x14ac:dyDescent="0.25">
      <c r="A30" s="193"/>
      <c r="B30" s="193"/>
      <c r="C30" s="158" t="s">
        <v>165</v>
      </c>
      <c r="D30" s="150">
        <f>D22</f>
        <v>8</v>
      </c>
      <c r="E30" s="150">
        <f>D30-I22</f>
        <v>8</v>
      </c>
      <c r="F30" s="151">
        <f>D30-J22</f>
        <v>7</v>
      </c>
      <c r="G30" s="151">
        <f>D30-K22</f>
        <v>6</v>
      </c>
      <c r="H30" s="152">
        <f>D30-L22</f>
        <v>4</v>
      </c>
      <c r="I30" s="193"/>
      <c r="J30" s="203" t="s">
        <v>154</v>
      </c>
      <c r="K30" s="204">
        <f>N27</f>
        <v>101813.5</v>
      </c>
      <c r="L30" s="193"/>
      <c r="M30" s="193"/>
      <c r="N30" s="193"/>
      <c r="O30" s="193"/>
      <c r="P30" s="193"/>
      <c r="Q30" s="193"/>
      <c r="R30" s="193"/>
      <c r="S30" s="193"/>
      <c r="T30" s="193"/>
      <c r="U30" s="193"/>
      <c r="V30" s="193"/>
      <c r="W30" s="193"/>
      <c r="X30" s="193"/>
      <c r="Y30" s="193"/>
      <c r="Z30" s="193"/>
      <c r="AA30" s="193"/>
      <c r="AB30" s="193"/>
      <c r="AC30" s="193"/>
      <c r="AD30" s="193"/>
      <c r="AE30" s="193"/>
      <c r="AF30" s="193"/>
      <c r="AG30" s="193"/>
      <c r="AH30" s="193"/>
      <c r="AI30" s="193"/>
      <c r="AJ30" s="193"/>
      <c r="AK30" s="193"/>
      <c r="AL30" s="193"/>
      <c r="AM30" s="193"/>
      <c r="AN30" s="193"/>
    </row>
    <row r="31" spans="1:48" ht="15.75" thickBot="1" x14ac:dyDescent="0.3">
      <c r="A31" s="193"/>
      <c r="B31" s="193"/>
      <c r="C31" s="158" t="s">
        <v>166</v>
      </c>
      <c r="D31" s="159">
        <f>D23</f>
        <v>6</v>
      </c>
      <c r="E31" s="159">
        <f>D31</f>
        <v>6</v>
      </c>
      <c r="F31" s="159">
        <f t="shared" ref="F31:F34" si="6">D31-J23</f>
        <v>4.5</v>
      </c>
      <c r="G31" s="159">
        <f t="shared" ref="G31:G34" si="7">D31-K23</f>
        <v>3.5</v>
      </c>
      <c r="H31" s="159">
        <f t="shared" ref="H31:H34" si="8">D31-L23</f>
        <v>3</v>
      </c>
      <c r="I31" s="193"/>
      <c r="J31" s="199" t="s">
        <v>156</v>
      </c>
      <c r="K31" s="200">
        <f>SUM(K29:K30)</f>
        <v>814063.5</v>
      </c>
      <c r="L31" s="193"/>
      <c r="M31" s="193"/>
      <c r="N31" s="193"/>
      <c r="O31" s="193"/>
      <c r="P31" s="193"/>
      <c r="Q31" s="193"/>
      <c r="R31" s="193"/>
      <c r="S31" s="193"/>
      <c r="T31" s="193"/>
      <c r="U31" s="193"/>
      <c r="V31" s="193"/>
      <c r="W31" s="193"/>
      <c r="X31" s="193"/>
      <c r="Y31" s="193"/>
      <c r="Z31" s="193"/>
      <c r="AA31" s="193"/>
      <c r="AB31" s="193"/>
      <c r="AC31" s="193"/>
      <c r="AD31" s="193"/>
      <c r="AE31" s="193"/>
      <c r="AF31" s="193"/>
      <c r="AG31" s="193"/>
      <c r="AH31" s="193"/>
      <c r="AI31" s="193"/>
      <c r="AJ31" s="193"/>
      <c r="AK31" s="193"/>
      <c r="AL31" s="193"/>
      <c r="AM31" s="193"/>
      <c r="AN31" s="193"/>
    </row>
    <row r="32" spans="1:48" x14ac:dyDescent="0.25">
      <c r="A32" s="193"/>
      <c r="B32" s="193"/>
      <c r="C32" s="158" t="s">
        <v>167</v>
      </c>
      <c r="D32" s="159">
        <f t="shared" ref="D32:D34" si="9">D24</f>
        <v>5</v>
      </c>
      <c r="E32" s="159">
        <f>D32</f>
        <v>5</v>
      </c>
      <c r="F32" s="159">
        <f t="shared" si="6"/>
        <v>4</v>
      </c>
      <c r="G32" s="159">
        <f t="shared" si="7"/>
        <v>2.5</v>
      </c>
      <c r="H32" s="159">
        <f t="shared" si="8"/>
        <v>2.5</v>
      </c>
      <c r="I32" s="193"/>
      <c r="J32" s="193"/>
      <c r="K32" s="193"/>
      <c r="L32" s="193"/>
      <c r="M32" s="193"/>
      <c r="N32" s="193"/>
      <c r="O32" s="193"/>
      <c r="P32" s="193"/>
      <c r="Q32" s="193"/>
      <c r="R32" s="193"/>
      <c r="S32" s="193"/>
      <c r="T32" s="193"/>
      <c r="U32" s="193"/>
      <c r="V32" s="193"/>
      <c r="W32" s="193"/>
      <c r="X32" s="193"/>
      <c r="Y32" s="193"/>
      <c r="Z32" s="193"/>
      <c r="AA32" s="193"/>
      <c r="AB32" s="193"/>
      <c r="AC32" s="193"/>
      <c r="AD32" s="193"/>
      <c r="AE32" s="193"/>
      <c r="AF32" s="193"/>
      <c r="AG32" s="193"/>
      <c r="AH32" s="193"/>
      <c r="AI32" s="193"/>
      <c r="AJ32" s="193"/>
      <c r="AK32" s="193"/>
      <c r="AL32" s="193"/>
      <c r="AM32" s="193"/>
      <c r="AN32" s="193"/>
      <c r="AO32" s="193"/>
      <c r="AP32" s="193"/>
      <c r="AQ32" s="193"/>
      <c r="AR32" s="193"/>
      <c r="AS32" s="193"/>
      <c r="AT32" s="193"/>
      <c r="AU32" s="193"/>
      <c r="AV32" s="193"/>
    </row>
    <row r="33" spans="1:48" x14ac:dyDescent="0.25">
      <c r="A33" s="193"/>
      <c r="B33" s="193"/>
      <c r="C33" s="158" t="s">
        <v>168</v>
      </c>
      <c r="D33" s="159">
        <f t="shared" si="9"/>
        <v>4</v>
      </c>
      <c r="E33" s="159">
        <f>D33</f>
        <v>4</v>
      </c>
      <c r="F33" s="159">
        <f t="shared" si="6"/>
        <v>3.5</v>
      </c>
      <c r="G33" s="159">
        <f t="shared" si="7"/>
        <v>2.5</v>
      </c>
      <c r="H33" s="159">
        <f t="shared" si="8"/>
        <v>2</v>
      </c>
      <c r="I33" s="193"/>
      <c r="J33" s="193"/>
      <c r="K33" s="193"/>
      <c r="L33" s="193"/>
      <c r="M33" s="193"/>
      <c r="N33" s="193"/>
      <c r="O33" s="193"/>
      <c r="P33" s="193"/>
      <c r="Q33" s="193"/>
      <c r="R33" s="193"/>
      <c r="S33" s="193"/>
      <c r="T33" s="193"/>
      <c r="U33" s="193"/>
      <c r="V33" s="193"/>
      <c r="W33" s="193"/>
      <c r="X33" s="193"/>
      <c r="Y33" s="193"/>
      <c r="Z33" s="193"/>
      <c r="AA33" s="193"/>
      <c r="AB33" s="193"/>
      <c r="AC33" s="193"/>
      <c r="AD33" s="193"/>
      <c r="AE33" s="193"/>
      <c r="AF33" s="193"/>
      <c r="AG33" s="193"/>
      <c r="AH33" s="193"/>
      <c r="AI33" s="193"/>
      <c r="AJ33" s="193"/>
      <c r="AK33" s="193"/>
      <c r="AL33" s="193"/>
      <c r="AM33" s="193"/>
      <c r="AN33" s="193"/>
      <c r="AO33" s="193"/>
      <c r="AP33" s="193"/>
      <c r="AQ33" s="193"/>
      <c r="AR33" s="193"/>
      <c r="AS33" s="193"/>
      <c r="AT33" s="193"/>
      <c r="AU33" s="193"/>
      <c r="AV33" s="193"/>
    </row>
    <row r="34" spans="1:48" ht="15.75" thickBot="1" x14ac:dyDescent="0.3">
      <c r="A34" s="193"/>
      <c r="B34" s="193"/>
      <c r="C34" s="160" t="s">
        <v>169</v>
      </c>
      <c r="D34" s="159">
        <f t="shared" si="9"/>
        <v>3.5</v>
      </c>
      <c r="E34" s="161">
        <f>D34</f>
        <v>3.5</v>
      </c>
      <c r="F34" s="161">
        <f t="shared" si="6"/>
        <v>3</v>
      </c>
      <c r="G34" s="161">
        <f t="shared" si="7"/>
        <v>2.5</v>
      </c>
      <c r="H34" s="161">
        <f t="shared" si="8"/>
        <v>2</v>
      </c>
      <c r="I34" s="193"/>
      <c r="J34" s="193"/>
      <c r="K34" s="193"/>
      <c r="L34" s="193"/>
      <c r="M34" s="193"/>
      <c r="N34" s="193"/>
      <c r="O34" s="193"/>
      <c r="P34" s="193"/>
      <c r="Q34" s="193"/>
      <c r="R34" s="193"/>
      <c r="S34" s="193"/>
      <c r="T34" s="193"/>
      <c r="U34" s="193"/>
      <c r="V34" s="193"/>
      <c r="W34" s="193"/>
      <c r="X34" s="193"/>
      <c r="Y34" s="193"/>
      <c r="Z34" s="193"/>
      <c r="AA34" s="193"/>
      <c r="AB34" s="193"/>
      <c r="AC34" s="193"/>
      <c r="AD34" s="193"/>
      <c r="AE34" s="193"/>
      <c r="AF34" s="193"/>
      <c r="AG34" s="193"/>
      <c r="AH34" s="193"/>
      <c r="AI34" s="193"/>
      <c r="AJ34" s="193"/>
      <c r="AK34" s="193"/>
      <c r="AL34" s="193"/>
      <c r="AM34" s="193"/>
      <c r="AN34" s="193"/>
      <c r="AO34" s="193"/>
      <c r="AP34" s="193"/>
      <c r="AQ34" s="193"/>
      <c r="AR34" s="193"/>
      <c r="AS34" s="193"/>
      <c r="AT34" s="193"/>
      <c r="AU34" s="193"/>
      <c r="AV34" s="193"/>
    </row>
    <row r="35" spans="1:48" s="193" customFormat="1" x14ac:dyDescent="0.25"/>
    <row r="36" spans="1:48" s="193" customFormat="1" x14ac:dyDescent="0.25"/>
    <row r="37" spans="1:48" s="193" customFormat="1" x14ac:dyDescent="0.25"/>
    <row r="38" spans="1:48" s="193" customFormat="1" x14ac:dyDescent="0.25"/>
    <row r="39" spans="1:48" s="193" customFormat="1" x14ac:dyDescent="0.25"/>
    <row r="40" spans="1:48" s="193" customFormat="1" x14ac:dyDescent="0.25"/>
    <row r="41" spans="1:48" s="193" customFormat="1" x14ac:dyDescent="0.25"/>
    <row r="42" spans="1:48" s="193" customFormat="1" x14ac:dyDescent="0.25"/>
    <row r="43" spans="1:48" s="193" customFormat="1" x14ac:dyDescent="0.25"/>
    <row r="44" spans="1:48" s="193" customFormat="1" x14ac:dyDescent="0.25"/>
    <row r="45" spans="1:48" s="193" customFormat="1" x14ac:dyDescent="0.25"/>
    <row r="46" spans="1:48" s="193" customFormat="1" x14ac:dyDescent="0.25"/>
    <row r="47" spans="1:48" s="193" customFormat="1" x14ac:dyDescent="0.25"/>
    <row r="48" spans="1:48" s="193" customFormat="1" x14ac:dyDescent="0.25"/>
    <row r="49" s="193" customFormat="1" x14ac:dyDescent="0.25"/>
    <row r="50" s="193" customFormat="1" x14ac:dyDescent="0.25"/>
    <row r="51" s="193" customFormat="1" x14ac:dyDescent="0.25"/>
    <row r="52" s="193" customFormat="1" x14ac:dyDescent="0.25"/>
    <row r="53" s="193" customFormat="1" x14ac:dyDescent="0.25"/>
    <row r="54" s="193" customFormat="1" x14ac:dyDescent="0.25"/>
    <row r="55" s="193" customFormat="1" x14ac:dyDescent="0.25"/>
    <row r="56" s="193" customFormat="1" x14ac:dyDescent="0.25"/>
    <row r="57" s="193" customFormat="1" x14ac:dyDescent="0.25"/>
    <row r="58" s="193" customFormat="1" x14ac:dyDescent="0.25"/>
    <row r="59" s="193" customFormat="1" x14ac:dyDescent="0.25"/>
    <row r="60" s="193" customFormat="1" x14ac:dyDescent="0.25"/>
    <row r="61" s="193" customFormat="1" x14ac:dyDescent="0.25"/>
    <row r="62" s="193" customFormat="1" x14ac:dyDescent="0.25"/>
    <row r="63" s="193" customFormat="1" x14ac:dyDescent="0.25"/>
    <row r="64" s="193" customFormat="1" x14ac:dyDescent="0.25"/>
    <row r="65" s="193" customFormat="1" x14ac:dyDescent="0.25"/>
    <row r="66" s="193" customFormat="1" x14ac:dyDescent="0.25"/>
    <row r="67" s="193" customFormat="1" x14ac:dyDescent="0.25"/>
    <row r="68" s="193" customFormat="1" x14ac:dyDescent="0.25"/>
    <row r="69" s="193" customFormat="1" x14ac:dyDescent="0.25"/>
    <row r="70" s="193" customFormat="1" x14ac:dyDescent="0.25"/>
    <row r="71" s="193" customFormat="1" x14ac:dyDescent="0.25"/>
    <row r="72" s="193" customFormat="1" x14ac:dyDescent="0.25"/>
    <row r="73" s="193" customFormat="1" x14ac:dyDescent="0.25"/>
    <row r="74" s="193" customFormat="1" x14ac:dyDescent="0.25"/>
    <row r="75" s="193" customFormat="1" x14ac:dyDescent="0.25"/>
    <row r="76" s="193" customFormat="1" x14ac:dyDescent="0.25"/>
    <row r="77" s="193" customFormat="1" x14ac:dyDescent="0.25"/>
    <row r="78" s="193" customFormat="1" x14ac:dyDescent="0.25"/>
    <row r="79" s="193" customFormat="1" x14ac:dyDescent="0.25"/>
    <row r="80" s="193" customFormat="1" x14ac:dyDescent="0.25"/>
    <row r="81" s="193" customFormat="1" x14ac:dyDescent="0.25"/>
    <row r="82" s="193" customFormat="1" x14ac:dyDescent="0.25"/>
    <row r="83" s="193" customFormat="1" x14ac:dyDescent="0.25"/>
    <row r="84" s="193" customFormat="1" x14ac:dyDescent="0.25"/>
    <row r="85" s="193" customFormat="1" x14ac:dyDescent="0.25"/>
    <row r="86" s="193" customFormat="1" x14ac:dyDescent="0.25"/>
    <row r="87" s="193" customFormat="1" x14ac:dyDescent="0.25"/>
    <row r="88" s="193" customFormat="1" x14ac:dyDescent="0.25"/>
    <row r="89" s="193" customFormat="1" x14ac:dyDescent="0.25"/>
    <row r="90" s="193" customFormat="1" x14ac:dyDescent="0.25"/>
    <row r="91" s="193" customFormat="1" x14ac:dyDescent="0.25"/>
    <row r="92" s="193" customFormat="1" x14ac:dyDescent="0.25"/>
    <row r="93" s="193" customFormat="1" x14ac:dyDescent="0.25"/>
    <row r="94" s="193" customFormat="1" x14ac:dyDescent="0.25"/>
    <row r="95" s="193" customFormat="1" x14ac:dyDescent="0.25"/>
    <row r="96" s="193" customFormat="1" x14ac:dyDescent="0.25"/>
    <row r="97" s="193" customFormat="1" x14ac:dyDescent="0.25"/>
    <row r="98" s="193" customFormat="1" x14ac:dyDescent="0.25"/>
    <row r="99" s="193" customFormat="1" x14ac:dyDescent="0.25"/>
    <row r="100" s="193" customFormat="1" x14ac:dyDescent="0.25"/>
    <row r="101" s="193" customFormat="1" x14ac:dyDescent="0.25"/>
    <row r="102" s="193" customFormat="1" x14ac:dyDescent="0.25"/>
    <row r="103" s="193" customFormat="1" x14ac:dyDescent="0.25"/>
    <row r="104" s="193" customFormat="1" x14ac:dyDescent="0.25"/>
    <row r="105" s="193" customFormat="1" x14ac:dyDescent="0.25"/>
    <row r="106" s="193" customFormat="1" x14ac:dyDescent="0.25"/>
    <row r="107" s="193" customFormat="1" x14ac:dyDescent="0.25"/>
    <row r="108" s="193" customFormat="1" x14ac:dyDescent="0.25"/>
    <row r="109" s="193" customFormat="1" x14ac:dyDescent="0.25"/>
    <row r="110" s="193" customFormat="1" x14ac:dyDescent="0.25"/>
    <row r="111" s="193" customFormat="1" x14ac:dyDescent="0.25"/>
    <row r="112" s="193" customFormat="1" x14ac:dyDescent="0.25"/>
    <row r="113" s="193" customFormat="1" x14ac:dyDescent="0.25"/>
    <row r="114" s="193" customFormat="1" x14ac:dyDescent="0.25"/>
    <row r="115" s="193" customFormat="1" x14ac:dyDescent="0.25"/>
    <row r="116" s="193" customFormat="1" x14ac:dyDescent="0.25"/>
    <row r="117" s="193" customFormat="1" x14ac:dyDescent="0.25"/>
    <row r="118" s="193" customFormat="1" x14ac:dyDescent="0.25"/>
    <row r="119" s="193" customFormat="1" x14ac:dyDescent="0.25"/>
    <row r="120" s="193" customFormat="1" x14ac:dyDescent="0.25"/>
    <row r="121" s="193" customFormat="1" x14ac:dyDescent="0.25"/>
    <row r="122" s="193" customFormat="1" x14ac:dyDescent="0.25"/>
    <row r="123" s="193" customFormat="1" x14ac:dyDescent="0.25"/>
    <row r="124" s="193" customFormat="1" x14ac:dyDescent="0.25"/>
    <row r="125" s="193" customFormat="1" x14ac:dyDescent="0.25"/>
    <row r="126" s="193" customFormat="1" x14ac:dyDescent="0.25"/>
    <row r="127" s="193" customFormat="1" x14ac:dyDescent="0.25"/>
    <row r="128" s="193" customFormat="1" x14ac:dyDescent="0.25"/>
    <row r="129" s="193" customFormat="1" x14ac:dyDescent="0.25"/>
    <row r="130" s="193" customFormat="1" x14ac:dyDescent="0.25"/>
    <row r="131" s="193" customFormat="1" x14ac:dyDescent="0.25"/>
    <row r="132" s="193" customFormat="1" x14ac:dyDescent="0.25"/>
    <row r="133" s="193" customFormat="1" x14ac:dyDescent="0.25"/>
    <row r="134" s="193" customFormat="1" x14ac:dyDescent="0.25"/>
    <row r="135" s="193" customFormat="1" x14ac:dyDescent="0.25"/>
    <row r="136" s="193" customFormat="1" x14ac:dyDescent="0.25"/>
    <row r="137" s="193" customFormat="1" x14ac:dyDescent="0.25"/>
    <row r="138" s="193" customFormat="1" x14ac:dyDescent="0.25"/>
    <row r="139" s="193" customFormat="1" x14ac:dyDescent="0.25"/>
    <row r="140" s="193" customFormat="1" x14ac:dyDescent="0.25"/>
    <row r="141" s="193" customFormat="1" x14ac:dyDescent="0.25"/>
    <row r="142" s="193" customFormat="1" x14ac:dyDescent="0.25"/>
    <row r="143" s="193" customFormat="1" x14ac:dyDescent="0.25"/>
    <row r="144" s="193" customFormat="1" x14ac:dyDescent="0.25"/>
    <row r="145" s="193" customFormat="1" x14ac:dyDescent="0.25"/>
    <row r="146" s="193" customFormat="1" x14ac:dyDescent="0.25"/>
    <row r="147" s="193" customFormat="1" x14ac:dyDescent="0.25"/>
    <row r="148" s="193" customFormat="1" x14ac:dyDescent="0.25"/>
    <row r="149" s="193" customFormat="1" x14ac:dyDescent="0.25"/>
    <row r="150" s="193" customFormat="1" x14ac:dyDescent="0.25"/>
    <row r="151" s="193" customFormat="1" x14ac:dyDescent="0.25"/>
    <row r="152" s="193" customFormat="1" x14ac:dyDescent="0.25"/>
    <row r="153" s="193" customFormat="1" x14ac:dyDescent="0.25"/>
    <row r="154" s="193" customFormat="1" x14ac:dyDescent="0.25"/>
    <row r="155" s="193" customFormat="1" x14ac:dyDescent="0.25"/>
    <row r="156" s="193" customFormat="1" x14ac:dyDescent="0.25"/>
    <row r="157" s="193" customFormat="1" x14ac:dyDescent="0.25"/>
    <row r="158" s="193" customFormat="1" x14ac:dyDescent="0.25"/>
    <row r="159" s="193" customFormat="1" x14ac:dyDescent="0.25"/>
    <row r="160" s="193" customFormat="1" x14ac:dyDescent="0.25"/>
    <row r="161" s="193" customFormat="1" x14ac:dyDescent="0.25"/>
    <row r="162" s="193" customFormat="1" x14ac:dyDescent="0.25"/>
    <row r="163" s="193" customFormat="1" x14ac:dyDescent="0.25"/>
    <row r="164" s="193" customFormat="1" x14ac:dyDescent="0.25"/>
    <row r="165" s="193" customFormat="1" x14ac:dyDescent="0.25"/>
    <row r="166" s="193" customFormat="1" x14ac:dyDescent="0.25"/>
    <row r="167" s="193" customFormat="1" x14ac:dyDescent="0.25"/>
    <row r="168" s="193" customFormat="1" x14ac:dyDescent="0.25"/>
    <row r="169" s="193" customFormat="1" x14ac:dyDescent="0.25"/>
    <row r="170" s="193" customFormat="1" x14ac:dyDescent="0.25"/>
    <row r="171" s="193" customFormat="1" x14ac:dyDescent="0.25"/>
    <row r="172" s="193" customFormat="1" x14ac:dyDescent="0.25"/>
    <row r="173" s="193" customFormat="1" x14ac:dyDescent="0.25"/>
    <row r="174" s="193" customFormat="1" x14ac:dyDescent="0.25"/>
    <row r="175" s="193" customFormat="1" x14ac:dyDescent="0.25"/>
    <row r="176" s="193" customFormat="1" x14ac:dyDescent="0.25"/>
    <row r="177" s="193" customFormat="1" x14ac:dyDescent="0.25"/>
    <row r="178" s="193" customFormat="1" x14ac:dyDescent="0.25"/>
    <row r="179" s="193" customFormat="1" x14ac:dyDescent="0.25"/>
    <row r="180" s="193" customFormat="1" x14ac:dyDescent="0.25"/>
    <row r="181" s="193" customFormat="1" x14ac:dyDescent="0.25"/>
    <row r="182" s="193" customFormat="1" x14ac:dyDescent="0.25"/>
    <row r="183" s="193" customFormat="1" x14ac:dyDescent="0.25"/>
    <row r="184" s="193" customFormat="1" x14ac:dyDescent="0.25"/>
    <row r="185" s="193" customFormat="1" x14ac:dyDescent="0.25"/>
    <row r="186" s="193" customFormat="1" x14ac:dyDescent="0.25"/>
    <row r="187" s="193" customFormat="1" x14ac:dyDescent="0.25"/>
    <row r="188" s="193" customFormat="1" x14ac:dyDescent="0.25"/>
    <row r="189" s="193" customFormat="1" x14ac:dyDescent="0.25"/>
    <row r="190" s="193" customFormat="1" x14ac:dyDescent="0.25"/>
    <row r="191" s="193" customFormat="1" x14ac:dyDescent="0.25"/>
    <row r="192" s="193" customFormat="1" x14ac:dyDescent="0.25"/>
    <row r="193" s="193" customFormat="1" x14ac:dyDescent="0.25"/>
  </sheetData>
  <sheetProtection algorithmName="SHA-512" hashValue="rL7tc7pxaZay5Q1uA5OovS/c12BOyNovwvk0uGvmaMnv1Xf2XGE4kwbQUVQum0Ns2WdubyAsRDbx0Tz/B2/V+Q==" saltValue="T884yfK7le7hiAOmKzzc2A==" spinCount="100000" sheet="1" objects="1" scenarios="1"/>
  <mergeCells count="8">
    <mergeCell ref="M20:M21"/>
    <mergeCell ref="N20:N21"/>
    <mergeCell ref="E20:H20"/>
    <mergeCell ref="I20:L20"/>
    <mergeCell ref="A2:C2"/>
    <mergeCell ref="F6:H6"/>
    <mergeCell ref="I6:I7"/>
    <mergeCell ref="J6:J7"/>
  </mergeCells>
  <conditionalFormatting sqref="D13:F15">
    <cfRule type="colorScale" priority="2">
      <colorScale>
        <cfvo type="min"/>
        <cfvo type="max"/>
        <color rgb="FF63BE7B"/>
        <color rgb="FFFFEF9C"/>
      </colorScale>
    </cfRule>
  </conditionalFormatting>
  <conditionalFormatting sqref="D30:H34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AI252"/>
  <sheetViews>
    <sheetView topLeftCell="B1" zoomScale="80" zoomScaleNormal="80" workbookViewId="0">
      <selection activeCell="F3" sqref="F3"/>
    </sheetView>
  </sheetViews>
  <sheetFormatPr baseColWidth="10" defaultRowHeight="15" x14ac:dyDescent="0.25"/>
  <cols>
    <col min="1" max="1" width="10.85546875" style="51"/>
    <col min="3" max="3" width="6.7109375" customWidth="1"/>
    <col min="4" max="4" width="15.5703125" bestFit="1" customWidth="1"/>
    <col min="5" max="5" width="13.42578125" customWidth="1"/>
    <col min="10" max="10" width="10.85546875" style="51"/>
    <col min="11" max="11" width="15.7109375" bestFit="1" customWidth="1"/>
    <col min="17" max="35" width="10.85546875" style="51"/>
  </cols>
  <sheetData>
    <row r="1" spans="2:16" s="51" customFormat="1" ht="15.75" thickBot="1" x14ac:dyDescent="0.3"/>
    <row r="2" spans="2:16" ht="19.5" thickBot="1" x14ac:dyDescent="0.35">
      <c r="B2" s="189" t="s">
        <v>182</v>
      </c>
      <c r="C2" s="190"/>
      <c r="D2" s="190"/>
      <c r="E2" s="191"/>
      <c r="F2" s="192">
        <v>0.3</v>
      </c>
      <c r="G2" s="51"/>
      <c r="H2" s="51"/>
      <c r="I2" s="51"/>
      <c r="K2" s="51"/>
      <c r="L2" s="51"/>
      <c r="M2" s="51"/>
      <c r="N2" s="51"/>
      <c r="O2" s="51"/>
      <c r="P2" s="51"/>
    </row>
    <row r="3" spans="2:16" s="51" customFormat="1" ht="15.75" thickBot="1" x14ac:dyDescent="0.3"/>
    <row r="4" spans="2:16" ht="21" x14ac:dyDescent="0.25">
      <c r="B4" s="51"/>
      <c r="C4" s="51"/>
      <c r="D4" s="294" t="s">
        <v>178</v>
      </c>
      <c r="E4" s="295"/>
      <c r="F4" s="295"/>
      <c r="G4" s="295"/>
      <c r="H4" s="295"/>
      <c r="I4" s="296"/>
      <c r="K4" s="300" t="s">
        <v>170</v>
      </c>
      <c r="L4" s="301"/>
      <c r="M4" s="301"/>
      <c r="N4" s="301"/>
      <c r="O4" s="301"/>
      <c r="P4" s="302"/>
    </row>
    <row r="5" spans="2:16" x14ac:dyDescent="0.25">
      <c r="B5" s="51"/>
      <c r="C5" s="51"/>
      <c r="D5" s="89" t="s">
        <v>184</v>
      </c>
      <c r="E5" s="176">
        <v>40</v>
      </c>
      <c r="F5" s="176">
        <v>80</v>
      </c>
      <c r="G5" s="176">
        <v>150</v>
      </c>
      <c r="H5" s="176">
        <v>300</v>
      </c>
      <c r="I5" s="172"/>
      <c r="K5" s="89" t="s">
        <v>184</v>
      </c>
      <c r="L5" s="176">
        <v>40</v>
      </c>
      <c r="M5" s="176">
        <v>80</v>
      </c>
      <c r="N5" s="176">
        <v>150</v>
      </c>
      <c r="O5" s="176">
        <v>300</v>
      </c>
      <c r="P5" s="172"/>
    </row>
    <row r="6" spans="2:16" ht="18.600000000000001" customHeight="1" x14ac:dyDescent="0.25">
      <c r="B6" s="51"/>
      <c r="C6" s="51"/>
      <c r="D6" s="187" t="s">
        <v>173</v>
      </c>
      <c r="E6" s="165">
        <v>64</v>
      </c>
      <c r="F6" s="165">
        <v>64</v>
      </c>
      <c r="G6" s="165">
        <v>63</v>
      </c>
      <c r="H6" s="165">
        <v>62</v>
      </c>
      <c r="I6" s="173" t="s">
        <v>107</v>
      </c>
      <c r="K6" s="179" t="s">
        <v>173</v>
      </c>
      <c r="L6" s="165">
        <v>71</v>
      </c>
      <c r="M6" s="165">
        <v>71</v>
      </c>
      <c r="N6" s="165">
        <v>68</v>
      </c>
      <c r="O6" s="165">
        <v>63.5</v>
      </c>
      <c r="P6" s="173" t="s">
        <v>107</v>
      </c>
    </row>
    <row r="7" spans="2:16" ht="23.1" customHeight="1" x14ac:dyDescent="0.25">
      <c r="B7" s="51"/>
      <c r="C7" s="51"/>
      <c r="D7" s="164" t="s">
        <v>175</v>
      </c>
      <c r="E7" s="166">
        <f>E6/5</f>
        <v>12.8</v>
      </c>
      <c r="F7" s="166">
        <f t="shared" ref="F7:H7" si="0">F6/5</f>
        <v>12.8</v>
      </c>
      <c r="G7" s="166">
        <f t="shared" si="0"/>
        <v>12.6</v>
      </c>
      <c r="H7" s="166">
        <f t="shared" si="0"/>
        <v>12.4</v>
      </c>
      <c r="I7" s="173" t="s">
        <v>176</v>
      </c>
      <c r="K7" s="164" t="s">
        <v>175</v>
      </c>
      <c r="L7" s="166">
        <f>L6/5</f>
        <v>14.2</v>
      </c>
      <c r="M7" s="166">
        <f t="shared" ref="M7" si="1">M6/5</f>
        <v>14.2</v>
      </c>
      <c r="N7" s="166">
        <f t="shared" ref="N7" si="2">N6/5</f>
        <v>13.6</v>
      </c>
      <c r="O7" s="166">
        <f t="shared" ref="O7" si="3">O6/5</f>
        <v>12.7</v>
      </c>
      <c r="P7" s="173" t="s">
        <v>176</v>
      </c>
    </row>
    <row r="8" spans="2:16" ht="24.6" customHeight="1" x14ac:dyDescent="0.25">
      <c r="B8" s="51"/>
      <c r="C8" s="51"/>
      <c r="D8" s="188" t="s">
        <v>181</v>
      </c>
      <c r="E8" s="165">
        <f>E6*(1+$F$2)</f>
        <v>83.2</v>
      </c>
      <c r="F8" s="165">
        <f t="shared" ref="F8:H8" si="4">F6*(1+$F$2)</f>
        <v>83.2</v>
      </c>
      <c r="G8" s="165">
        <f t="shared" si="4"/>
        <v>81.900000000000006</v>
      </c>
      <c r="H8" s="165">
        <f t="shared" si="4"/>
        <v>80.600000000000009</v>
      </c>
      <c r="I8" s="173" t="s">
        <v>107</v>
      </c>
      <c r="K8" s="180" t="s">
        <v>183</v>
      </c>
      <c r="L8" s="165">
        <f>L6*(1+$F$2)</f>
        <v>92.3</v>
      </c>
      <c r="M8" s="165">
        <f t="shared" ref="M8:O8" si="5">M6*(1+$F$2)</f>
        <v>92.3</v>
      </c>
      <c r="N8" s="165">
        <f t="shared" si="5"/>
        <v>88.4</v>
      </c>
      <c r="O8" s="165">
        <f t="shared" si="5"/>
        <v>82.55</v>
      </c>
      <c r="P8" s="173" t="s">
        <v>107</v>
      </c>
    </row>
    <row r="9" spans="2:16" ht="35.450000000000003" customHeight="1" x14ac:dyDescent="0.25">
      <c r="B9" s="51"/>
      <c r="C9" s="51"/>
      <c r="D9" s="168" t="s">
        <v>177</v>
      </c>
      <c r="E9" s="169">
        <f>E8*E5</f>
        <v>3328</v>
      </c>
      <c r="F9" s="169">
        <f t="shared" ref="F9:H9" si="6">F8*F5</f>
        <v>6656</v>
      </c>
      <c r="G9" s="169">
        <f t="shared" si="6"/>
        <v>12285</v>
      </c>
      <c r="H9" s="169">
        <f t="shared" si="6"/>
        <v>24180.000000000004</v>
      </c>
      <c r="I9" s="174" t="s">
        <v>88</v>
      </c>
      <c r="K9" s="168" t="s">
        <v>177</v>
      </c>
      <c r="L9" s="169">
        <f>L8*L5</f>
        <v>3692</v>
      </c>
      <c r="M9" s="169">
        <f t="shared" ref="M9" si="7">M8*M5</f>
        <v>7384</v>
      </c>
      <c r="N9" s="169">
        <f t="shared" ref="N9" si="8">N8*N5</f>
        <v>13260</v>
      </c>
      <c r="O9" s="169">
        <f t="shared" ref="O9" si="9">O8*O5</f>
        <v>24765</v>
      </c>
      <c r="P9" s="174" t="s">
        <v>88</v>
      </c>
    </row>
    <row r="10" spans="2:16" ht="25.5" customHeight="1" thickBot="1" x14ac:dyDescent="0.3">
      <c r="B10" s="51"/>
      <c r="C10" s="51"/>
      <c r="D10" s="163" t="s">
        <v>174</v>
      </c>
      <c r="E10" s="167">
        <f>E8/5</f>
        <v>16.64</v>
      </c>
      <c r="F10" s="167">
        <f t="shared" ref="F10:H10" si="10">F8/5</f>
        <v>16.64</v>
      </c>
      <c r="G10" s="167">
        <f t="shared" si="10"/>
        <v>16.380000000000003</v>
      </c>
      <c r="H10" s="167">
        <f t="shared" si="10"/>
        <v>16.12</v>
      </c>
      <c r="I10" s="175" t="s">
        <v>107</v>
      </c>
      <c r="K10" s="163" t="s">
        <v>174</v>
      </c>
      <c r="L10" s="167">
        <f>L8/5</f>
        <v>18.46</v>
      </c>
      <c r="M10" s="167">
        <f t="shared" ref="M10" si="11">M8/5</f>
        <v>18.46</v>
      </c>
      <c r="N10" s="167">
        <f t="shared" ref="N10" si="12">N8/5</f>
        <v>17.68</v>
      </c>
      <c r="O10" s="167">
        <f t="shared" ref="O10" si="13">O8/5</f>
        <v>16.509999999999998</v>
      </c>
      <c r="P10" s="175" t="s">
        <v>107</v>
      </c>
    </row>
    <row r="11" spans="2:16" s="51" customFormat="1" x14ac:dyDescent="0.25"/>
    <row r="12" spans="2:16" s="51" customFormat="1" ht="15.75" thickBot="1" x14ac:dyDescent="0.3"/>
    <row r="13" spans="2:16" ht="21" x14ac:dyDescent="0.25">
      <c r="B13" s="51"/>
      <c r="C13" s="51"/>
      <c r="D13" s="297" t="s">
        <v>179</v>
      </c>
      <c r="E13" s="298"/>
      <c r="F13" s="298"/>
      <c r="G13" s="298"/>
      <c r="H13" s="298"/>
      <c r="I13" s="299"/>
      <c r="K13" s="303" t="s">
        <v>171</v>
      </c>
      <c r="L13" s="304"/>
      <c r="M13" s="304"/>
      <c r="N13" s="304"/>
      <c r="O13" s="304"/>
      <c r="P13" s="305"/>
    </row>
    <row r="14" spans="2:16" x14ac:dyDescent="0.25">
      <c r="B14" s="51"/>
      <c r="C14" s="51"/>
      <c r="D14" s="89" t="s">
        <v>184</v>
      </c>
      <c r="E14" s="176">
        <v>40</v>
      </c>
      <c r="F14" s="176">
        <v>80</v>
      </c>
      <c r="G14" s="176">
        <v>150</v>
      </c>
      <c r="H14" s="176">
        <v>300</v>
      </c>
      <c r="I14" s="172"/>
      <c r="K14" s="89" t="s">
        <v>184</v>
      </c>
      <c r="L14" s="176">
        <v>40</v>
      </c>
      <c r="M14" s="176">
        <v>80</v>
      </c>
      <c r="N14" s="176">
        <v>150</v>
      </c>
      <c r="O14" s="176">
        <v>300</v>
      </c>
      <c r="P14" s="172"/>
    </row>
    <row r="15" spans="2:16" ht="24.95" customHeight="1" x14ac:dyDescent="0.25">
      <c r="B15" s="51"/>
      <c r="C15" s="51"/>
      <c r="D15" s="181" t="s">
        <v>173</v>
      </c>
      <c r="E15" s="165">
        <v>77</v>
      </c>
      <c r="F15" s="165">
        <v>77</v>
      </c>
      <c r="G15" s="165">
        <v>76</v>
      </c>
      <c r="H15" s="165">
        <v>75</v>
      </c>
      <c r="I15" s="173" t="s">
        <v>107</v>
      </c>
      <c r="K15" s="185" t="s">
        <v>173</v>
      </c>
      <c r="L15" s="165">
        <v>84</v>
      </c>
      <c r="M15" s="165">
        <v>84</v>
      </c>
      <c r="N15" s="165">
        <v>81</v>
      </c>
      <c r="O15" s="165">
        <v>76.5</v>
      </c>
      <c r="P15" s="173" t="s">
        <v>107</v>
      </c>
    </row>
    <row r="16" spans="2:16" ht="22.5" customHeight="1" x14ac:dyDescent="0.25">
      <c r="B16" s="51"/>
      <c r="C16" s="51"/>
      <c r="D16" s="164" t="s">
        <v>175</v>
      </c>
      <c r="E16" s="166">
        <f>E15/5</f>
        <v>15.4</v>
      </c>
      <c r="F16" s="166">
        <f t="shared" ref="F16" si="14">F15/5</f>
        <v>15.4</v>
      </c>
      <c r="G16" s="166">
        <f t="shared" ref="G16" si="15">G15/5</f>
        <v>15.2</v>
      </c>
      <c r="H16" s="166">
        <f t="shared" ref="H16" si="16">H15/5</f>
        <v>15</v>
      </c>
      <c r="I16" s="173" t="s">
        <v>176</v>
      </c>
      <c r="K16" s="164" t="s">
        <v>175</v>
      </c>
      <c r="L16" s="166">
        <f>L15/5</f>
        <v>16.8</v>
      </c>
      <c r="M16" s="166">
        <f t="shared" ref="M16" si="17">M15/5</f>
        <v>16.8</v>
      </c>
      <c r="N16" s="166">
        <f t="shared" ref="N16" si="18">N15/5</f>
        <v>16.2</v>
      </c>
      <c r="O16" s="166">
        <f t="shared" ref="O16" si="19">O15/5</f>
        <v>15.3</v>
      </c>
      <c r="P16" s="173" t="s">
        <v>176</v>
      </c>
    </row>
    <row r="17" spans="2:16" ht="21.95" customHeight="1" x14ac:dyDescent="0.25">
      <c r="B17" s="51"/>
      <c r="C17" s="51"/>
      <c r="D17" s="182" t="s">
        <v>181</v>
      </c>
      <c r="E17" s="165">
        <f>E15*(1+$F$2)</f>
        <v>100.10000000000001</v>
      </c>
      <c r="F17" s="165">
        <f t="shared" ref="F17:H17" si="20">F15*(1+$F$2)</f>
        <v>100.10000000000001</v>
      </c>
      <c r="G17" s="165">
        <f t="shared" si="20"/>
        <v>98.8</v>
      </c>
      <c r="H17" s="165">
        <f t="shared" si="20"/>
        <v>97.5</v>
      </c>
      <c r="I17" s="173" t="s">
        <v>107</v>
      </c>
      <c r="K17" s="186" t="s">
        <v>181</v>
      </c>
      <c r="L17" s="165">
        <f>L15*(1+$F$2)</f>
        <v>109.2</v>
      </c>
      <c r="M17" s="165">
        <f t="shared" ref="M17:O17" si="21">M15*(1+$F$2)</f>
        <v>109.2</v>
      </c>
      <c r="N17" s="165">
        <f t="shared" si="21"/>
        <v>105.3</v>
      </c>
      <c r="O17" s="165">
        <f t="shared" si="21"/>
        <v>99.45</v>
      </c>
      <c r="P17" s="173" t="s">
        <v>107</v>
      </c>
    </row>
    <row r="18" spans="2:16" ht="33.950000000000003" customHeight="1" x14ac:dyDescent="0.25">
      <c r="B18" s="51"/>
      <c r="C18" s="51"/>
      <c r="D18" s="168" t="s">
        <v>177</v>
      </c>
      <c r="E18" s="169">
        <f>E17*E14</f>
        <v>4004.0000000000005</v>
      </c>
      <c r="F18" s="169">
        <f t="shared" ref="F18" si="22">F17*F14</f>
        <v>8008.0000000000009</v>
      </c>
      <c r="G18" s="169">
        <f t="shared" ref="G18" si="23">G17*G14</f>
        <v>14820</v>
      </c>
      <c r="H18" s="169">
        <f t="shared" ref="H18" si="24">H17*H14</f>
        <v>29250</v>
      </c>
      <c r="I18" s="174" t="s">
        <v>88</v>
      </c>
      <c r="K18" s="168" t="s">
        <v>177</v>
      </c>
      <c r="L18" s="169">
        <f>L17*L14</f>
        <v>4368</v>
      </c>
      <c r="M18" s="169">
        <f t="shared" ref="M18" si="25">M17*M14</f>
        <v>8736</v>
      </c>
      <c r="N18" s="169">
        <f t="shared" ref="N18" si="26">N17*N14</f>
        <v>15795</v>
      </c>
      <c r="O18" s="169">
        <f t="shared" ref="O18" si="27">O17*O14</f>
        <v>29835</v>
      </c>
      <c r="P18" s="174" t="s">
        <v>88</v>
      </c>
    </row>
    <row r="19" spans="2:16" ht="27.6" customHeight="1" thickBot="1" x14ac:dyDescent="0.3">
      <c r="B19" s="51"/>
      <c r="C19" s="51"/>
      <c r="D19" s="163" t="s">
        <v>174</v>
      </c>
      <c r="E19" s="167">
        <f>E17/5</f>
        <v>20.020000000000003</v>
      </c>
      <c r="F19" s="167">
        <f t="shared" ref="F19" si="28">F17/5</f>
        <v>20.020000000000003</v>
      </c>
      <c r="G19" s="167">
        <f t="shared" ref="G19" si="29">G17/5</f>
        <v>19.759999999999998</v>
      </c>
      <c r="H19" s="167">
        <f t="shared" ref="H19" si="30">H17/5</f>
        <v>19.5</v>
      </c>
      <c r="I19" s="175" t="s">
        <v>107</v>
      </c>
      <c r="K19" s="163" t="s">
        <v>174</v>
      </c>
      <c r="L19" s="167">
        <f>L17/5</f>
        <v>21.84</v>
      </c>
      <c r="M19" s="167">
        <f t="shared" ref="M19" si="31">M17/5</f>
        <v>21.84</v>
      </c>
      <c r="N19" s="167">
        <f t="shared" ref="N19" si="32">N17/5</f>
        <v>21.06</v>
      </c>
      <c r="O19" s="167">
        <f t="shared" ref="O19" si="33">O17/5</f>
        <v>19.89</v>
      </c>
      <c r="P19" s="175" t="s">
        <v>107</v>
      </c>
    </row>
    <row r="20" spans="2:16" s="51" customFormat="1" x14ac:dyDescent="0.25"/>
    <row r="21" spans="2:16" s="51" customFormat="1" ht="15.75" thickBot="1" x14ac:dyDescent="0.3"/>
    <row r="22" spans="2:16" ht="21" x14ac:dyDescent="0.25">
      <c r="B22" s="51"/>
      <c r="C22" s="51"/>
      <c r="D22" s="288" t="s">
        <v>180</v>
      </c>
      <c r="E22" s="289"/>
      <c r="F22" s="289"/>
      <c r="G22" s="289"/>
      <c r="H22" s="289"/>
      <c r="I22" s="290"/>
      <c r="K22" s="291" t="s">
        <v>172</v>
      </c>
      <c r="L22" s="292"/>
      <c r="M22" s="292"/>
      <c r="N22" s="292"/>
      <c r="O22" s="292"/>
      <c r="P22" s="293"/>
    </row>
    <row r="23" spans="2:16" x14ac:dyDescent="0.25">
      <c r="B23" s="51"/>
      <c r="C23" s="51"/>
      <c r="D23" s="89" t="s">
        <v>184</v>
      </c>
      <c r="E23" s="176">
        <v>40</v>
      </c>
      <c r="F23" s="176">
        <v>80</v>
      </c>
      <c r="G23" s="176">
        <v>150</v>
      </c>
      <c r="H23" s="176">
        <v>300</v>
      </c>
      <c r="I23" s="172"/>
      <c r="K23" s="89" t="s">
        <v>184</v>
      </c>
      <c r="L23" s="176">
        <v>40</v>
      </c>
      <c r="M23" s="176">
        <v>80</v>
      </c>
      <c r="N23" s="176">
        <v>150</v>
      </c>
      <c r="O23" s="176">
        <v>300</v>
      </c>
      <c r="P23" s="172"/>
    </row>
    <row r="24" spans="2:16" ht="23.1" customHeight="1" x14ac:dyDescent="0.25">
      <c r="B24" s="51"/>
      <c r="C24" s="51"/>
      <c r="D24" s="183" t="s">
        <v>173</v>
      </c>
      <c r="E24" s="165">
        <v>98</v>
      </c>
      <c r="F24" s="165">
        <v>98</v>
      </c>
      <c r="G24" s="165">
        <v>97</v>
      </c>
      <c r="H24" s="165">
        <v>96</v>
      </c>
      <c r="I24" s="173" t="s">
        <v>107</v>
      </c>
      <c r="K24" s="177" t="s">
        <v>173</v>
      </c>
      <c r="L24" s="165">
        <v>105</v>
      </c>
      <c r="M24" s="165">
        <v>105</v>
      </c>
      <c r="N24" s="165">
        <v>102</v>
      </c>
      <c r="O24" s="165">
        <v>97.5</v>
      </c>
      <c r="P24" s="173" t="s">
        <v>107</v>
      </c>
    </row>
    <row r="25" spans="2:16" ht="24" customHeight="1" x14ac:dyDescent="0.25">
      <c r="B25" s="51"/>
      <c r="C25" s="51"/>
      <c r="D25" s="164" t="s">
        <v>175</v>
      </c>
      <c r="E25" s="166">
        <f>E24/5</f>
        <v>19.600000000000001</v>
      </c>
      <c r="F25" s="166">
        <f t="shared" ref="F25" si="34">F24/5</f>
        <v>19.600000000000001</v>
      </c>
      <c r="G25" s="166">
        <f t="shared" ref="G25" si="35">G24/5</f>
        <v>19.399999999999999</v>
      </c>
      <c r="H25" s="166">
        <f t="shared" ref="H25" si="36">H24/5</f>
        <v>19.2</v>
      </c>
      <c r="I25" s="173" t="s">
        <v>176</v>
      </c>
      <c r="K25" s="164" t="s">
        <v>175</v>
      </c>
      <c r="L25" s="166">
        <f>L24/5</f>
        <v>21</v>
      </c>
      <c r="M25" s="166">
        <f t="shared" ref="M25" si="37">M24/5</f>
        <v>21</v>
      </c>
      <c r="N25" s="166">
        <f t="shared" ref="N25" si="38">N24/5</f>
        <v>20.399999999999999</v>
      </c>
      <c r="O25" s="166">
        <f t="shared" ref="O25" si="39">O24/5</f>
        <v>19.5</v>
      </c>
      <c r="P25" s="173" t="s">
        <v>176</v>
      </c>
    </row>
    <row r="26" spans="2:16" ht="26.1" customHeight="1" x14ac:dyDescent="0.25">
      <c r="B26" s="51"/>
      <c r="C26" s="51"/>
      <c r="D26" s="184" t="s">
        <v>183</v>
      </c>
      <c r="E26" s="165">
        <f>E24*(1+$F$2)</f>
        <v>127.4</v>
      </c>
      <c r="F26" s="165">
        <f t="shared" ref="F26:H26" si="40">F24*(1+$F$2)</f>
        <v>127.4</v>
      </c>
      <c r="G26" s="165">
        <f t="shared" si="40"/>
        <v>126.10000000000001</v>
      </c>
      <c r="H26" s="165">
        <f t="shared" si="40"/>
        <v>124.80000000000001</v>
      </c>
      <c r="I26" s="173" t="s">
        <v>107</v>
      </c>
      <c r="K26" s="178" t="s">
        <v>183</v>
      </c>
      <c r="L26" s="165">
        <f>L24*(1+$F$2)</f>
        <v>136.5</v>
      </c>
      <c r="M26" s="165">
        <f t="shared" ref="M26:O26" si="41">M24*(1+$F$2)</f>
        <v>136.5</v>
      </c>
      <c r="N26" s="165">
        <f t="shared" si="41"/>
        <v>132.6</v>
      </c>
      <c r="O26" s="165">
        <f t="shared" si="41"/>
        <v>126.75</v>
      </c>
      <c r="P26" s="173" t="s">
        <v>107</v>
      </c>
    </row>
    <row r="27" spans="2:16" ht="38.1" customHeight="1" x14ac:dyDescent="0.25">
      <c r="B27" s="51"/>
      <c r="C27" s="51"/>
      <c r="D27" s="168" t="s">
        <v>177</v>
      </c>
      <c r="E27" s="169">
        <f>E26*E23</f>
        <v>5096</v>
      </c>
      <c r="F27" s="169">
        <f t="shared" ref="F27" si="42">F26*F23</f>
        <v>10192</v>
      </c>
      <c r="G27" s="169">
        <f t="shared" ref="G27" si="43">G26*G23</f>
        <v>18915</v>
      </c>
      <c r="H27" s="169">
        <f t="shared" ref="H27" si="44">H26*H23</f>
        <v>37440</v>
      </c>
      <c r="I27" s="174" t="s">
        <v>88</v>
      </c>
      <c r="K27" s="168" t="s">
        <v>177</v>
      </c>
      <c r="L27" s="169">
        <f>L26*L23</f>
        <v>5460</v>
      </c>
      <c r="M27" s="169">
        <f t="shared" ref="M27" si="45">M26*M23</f>
        <v>10920</v>
      </c>
      <c r="N27" s="169">
        <f t="shared" ref="N27" si="46">N26*N23</f>
        <v>19890</v>
      </c>
      <c r="O27" s="169">
        <f t="shared" ref="O27" si="47">O26*O23</f>
        <v>38025</v>
      </c>
      <c r="P27" s="174" t="s">
        <v>88</v>
      </c>
    </row>
    <row r="28" spans="2:16" ht="30.6" customHeight="1" thickBot="1" x14ac:dyDescent="0.3">
      <c r="B28" s="51"/>
      <c r="C28" s="51"/>
      <c r="D28" s="163" t="s">
        <v>174</v>
      </c>
      <c r="E28" s="167">
        <f>E26/5</f>
        <v>25.48</v>
      </c>
      <c r="F28" s="167">
        <f t="shared" ref="F28" si="48">F26/5</f>
        <v>25.48</v>
      </c>
      <c r="G28" s="167">
        <f t="shared" ref="G28" si="49">G26/5</f>
        <v>25.220000000000002</v>
      </c>
      <c r="H28" s="167">
        <f t="shared" ref="H28" si="50">H26/5</f>
        <v>24.96</v>
      </c>
      <c r="I28" s="175" t="s">
        <v>107</v>
      </c>
      <c r="K28" s="163" t="s">
        <v>174</v>
      </c>
      <c r="L28" s="167">
        <f>L26/5</f>
        <v>27.3</v>
      </c>
      <c r="M28" s="167">
        <f t="shared" ref="M28" si="51">M26/5</f>
        <v>27.3</v>
      </c>
      <c r="N28" s="167">
        <f t="shared" ref="N28" si="52">N26/5</f>
        <v>26.52</v>
      </c>
      <c r="O28" s="167">
        <f t="shared" ref="O28" si="53">O26/5</f>
        <v>25.35</v>
      </c>
      <c r="P28" s="175" t="s">
        <v>107</v>
      </c>
    </row>
    <row r="29" spans="2:16" s="51" customFormat="1" x14ac:dyDescent="0.25"/>
    <row r="30" spans="2:16" s="51" customFormat="1" x14ac:dyDescent="0.25"/>
    <row r="31" spans="2:16" s="51" customFormat="1" x14ac:dyDescent="0.25"/>
    <row r="32" spans="2:16" s="51" customFormat="1" x14ac:dyDescent="0.25"/>
    <row r="33" s="51" customFormat="1" x14ac:dyDescent="0.25"/>
    <row r="34" s="51" customFormat="1" x14ac:dyDescent="0.25"/>
    <row r="35" s="51" customFormat="1" x14ac:dyDescent="0.25"/>
    <row r="36" s="51" customFormat="1" x14ac:dyDescent="0.25"/>
    <row r="37" s="51" customFormat="1" x14ac:dyDescent="0.25"/>
    <row r="38" s="51" customFormat="1" x14ac:dyDescent="0.25"/>
    <row r="39" s="51" customFormat="1" x14ac:dyDescent="0.25"/>
    <row r="40" s="51" customFormat="1" x14ac:dyDescent="0.25"/>
    <row r="41" s="51" customFormat="1" x14ac:dyDescent="0.25"/>
    <row r="42" s="51" customFormat="1" x14ac:dyDescent="0.25"/>
    <row r="43" s="51" customFormat="1" x14ac:dyDescent="0.25"/>
    <row r="44" s="51" customFormat="1" x14ac:dyDescent="0.25"/>
    <row r="45" s="51" customFormat="1" x14ac:dyDescent="0.25"/>
    <row r="46" s="51" customFormat="1" x14ac:dyDescent="0.25"/>
    <row r="47" s="51" customFormat="1" x14ac:dyDescent="0.25"/>
    <row r="48" s="51" customFormat="1" x14ac:dyDescent="0.25"/>
    <row r="49" s="51" customFormat="1" x14ac:dyDescent="0.25"/>
    <row r="50" s="51" customFormat="1" x14ac:dyDescent="0.25"/>
    <row r="51" s="51" customFormat="1" x14ac:dyDescent="0.25"/>
    <row r="52" s="51" customFormat="1" x14ac:dyDescent="0.25"/>
    <row r="53" s="51" customFormat="1" x14ac:dyDescent="0.25"/>
    <row r="54" s="51" customFormat="1" x14ac:dyDescent="0.25"/>
    <row r="55" s="51" customFormat="1" x14ac:dyDescent="0.25"/>
    <row r="56" s="51" customFormat="1" x14ac:dyDescent="0.25"/>
    <row r="57" s="51" customFormat="1" x14ac:dyDescent="0.25"/>
    <row r="58" s="51" customFormat="1" x14ac:dyDescent="0.25"/>
    <row r="59" s="51" customFormat="1" x14ac:dyDescent="0.25"/>
    <row r="60" s="51" customFormat="1" x14ac:dyDescent="0.25"/>
    <row r="61" s="51" customFormat="1" x14ac:dyDescent="0.25"/>
    <row r="62" s="51" customFormat="1" x14ac:dyDescent="0.25"/>
    <row r="63" s="51" customFormat="1" x14ac:dyDescent="0.25"/>
    <row r="64" s="51" customFormat="1" x14ac:dyDescent="0.25"/>
    <row r="65" s="51" customFormat="1" x14ac:dyDescent="0.25"/>
    <row r="66" s="51" customFormat="1" x14ac:dyDescent="0.25"/>
    <row r="67" s="51" customFormat="1" x14ac:dyDescent="0.25"/>
    <row r="68" s="51" customFormat="1" x14ac:dyDescent="0.25"/>
    <row r="69" s="51" customFormat="1" x14ac:dyDescent="0.25"/>
    <row r="70" s="51" customFormat="1" x14ac:dyDescent="0.25"/>
    <row r="71" s="51" customFormat="1" x14ac:dyDescent="0.25"/>
    <row r="72" s="51" customFormat="1" x14ac:dyDescent="0.25"/>
    <row r="73" s="51" customFormat="1" x14ac:dyDescent="0.25"/>
    <row r="74" s="51" customFormat="1" x14ac:dyDescent="0.25"/>
    <row r="75" s="51" customFormat="1" x14ac:dyDescent="0.25"/>
    <row r="76" s="51" customFormat="1" x14ac:dyDescent="0.25"/>
    <row r="77" s="51" customFormat="1" x14ac:dyDescent="0.25"/>
    <row r="78" s="51" customFormat="1" x14ac:dyDescent="0.25"/>
    <row r="79" s="51" customFormat="1" x14ac:dyDescent="0.25"/>
    <row r="80" s="51" customFormat="1" x14ac:dyDescent="0.25"/>
    <row r="81" s="51" customFormat="1" x14ac:dyDescent="0.25"/>
    <row r="82" s="51" customFormat="1" x14ac:dyDescent="0.25"/>
    <row r="83" s="51" customFormat="1" x14ac:dyDescent="0.25"/>
    <row r="84" s="51" customFormat="1" x14ac:dyDescent="0.25"/>
    <row r="85" s="51" customFormat="1" x14ac:dyDescent="0.25"/>
    <row r="86" s="51" customFormat="1" x14ac:dyDescent="0.25"/>
    <row r="87" s="51" customFormat="1" x14ac:dyDescent="0.25"/>
    <row r="88" s="51" customFormat="1" x14ac:dyDescent="0.25"/>
    <row r="89" s="51" customFormat="1" x14ac:dyDescent="0.25"/>
    <row r="90" s="51" customFormat="1" x14ac:dyDescent="0.25"/>
    <row r="91" s="51" customFormat="1" x14ac:dyDescent="0.25"/>
    <row r="92" s="51" customFormat="1" x14ac:dyDescent="0.25"/>
    <row r="93" s="51" customFormat="1" x14ac:dyDescent="0.25"/>
    <row r="94" s="51" customFormat="1" x14ac:dyDescent="0.25"/>
    <row r="95" s="51" customFormat="1" x14ac:dyDescent="0.25"/>
    <row r="96" s="51" customFormat="1" x14ac:dyDescent="0.25"/>
    <row r="97" s="51" customFormat="1" x14ac:dyDescent="0.25"/>
    <row r="98" s="51" customFormat="1" x14ac:dyDescent="0.25"/>
    <row r="99" s="51" customFormat="1" x14ac:dyDescent="0.25"/>
    <row r="100" s="51" customFormat="1" x14ac:dyDescent="0.25"/>
    <row r="101" s="51" customFormat="1" x14ac:dyDescent="0.25"/>
    <row r="102" s="51" customFormat="1" x14ac:dyDescent="0.25"/>
    <row r="103" s="51" customFormat="1" x14ac:dyDescent="0.25"/>
    <row r="104" s="51" customFormat="1" x14ac:dyDescent="0.25"/>
    <row r="105" s="51" customFormat="1" x14ac:dyDescent="0.25"/>
    <row r="106" s="51" customFormat="1" x14ac:dyDescent="0.25"/>
    <row r="107" s="51" customFormat="1" x14ac:dyDescent="0.25"/>
    <row r="108" s="51" customFormat="1" x14ac:dyDescent="0.25"/>
    <row r="109" s="51" customFormat="1" x14ac:dyDescent="0.25"/>
    <row r="110" s="51" customFormat="1" x14ac:dyDescent="0.25"/>
    <row r="111" s="51" customFormat="1" x14ac:dyDescent="0.25"/>
    <row r="112" s="51" customFormat="1" x14ac:dyDescent="0.25"/>
    <row r="113" s="51" customFormat="1" x14ac:dyDescent="0.25"/>
    <row r="114" s="51" customFormat="1" x14ac:dyDescent="0.25"/>
    <row r="115" s="51" customFormat="1" x14ac:dyDescent="0.25"/>
    <row r="116" s="51" customFormat="1" x14ac:dyDescent="0.25"/>
    <row r="117" s="51" customFormat="1" x14ac:dyDescent="0.25"/>
    <row r="118" s="51" customFormat="1" x14ac:dyDescent="0.25"/>
    <row r="119" s="51" customFormat="1" x14ac:dyDescent="0.25"/>
    <row r="120" s="51" customFormat="1" x14ac:dyDescent="0.25"/>
    <row r="121" s="51" customFormat="1" x14ac:dyDescent="0.25"/>
    <row r="122" s="51" customFormat="1" x14ac:dyDescent="0.25"/>
    <row r="123" s="51" customFormat="1" x14ac:dyDescent="0.25"/>
    <row r="124" s="51" customFormat="1" x14ac:dyDescent="0.25"/>
    <row r="125" s="51" customFormat="1" x14ac:dyDescent="0.25"/>
    <row r="126" s="51" customFormat="1" x14ac:dyDescent="0.25"/>
    <row r="127" s="51" customFormat="1" x14ac:dyDescent="0.25"/>
    <row r="128" s="51" customFormat="1" x14ac:dyDescent="0.25"/>
    <row r="129" s="51" customFormat="1" x14ac:dyDescent="0.25"/>
    <row r="130" s="51" customFormat="1" x14ac:dyDescent="0.25"/>
    <row r="131" s="51" customFormat="1" x14ac:dyDescent="0.25"/>
    <row r="132" s="51" customFormat="1" x14ac:dyDescent="0.25"/>
    <row r="133" s="51" customFormat="1" x14ac:dyDescent="0.25"/>
    <row r="134" s="51" customFormat="1" x14ac:dyDescent="0.25"/>
    <row r="135" s="51" customFormat="1" x14ac:dyDescent="0.25"/>
    <row r="136" s="51" customFormat="1" x14ac:dyDescent="0.25"/>
    <row r="137" s="51" customFormat="1" x14ac:dyDescent="0.25"/>
    <row r="138" s="51" customFormat="1" x14ac:dyDescent="0.25"/>
    <row r="139" s="51" customFormat="1" x14ac:dyDescent="0.25"/>
    <row r="140" s="51" customFormat="1" x14ac:dyDescent="0.25"/>
    <row r="141" s="51" customFormat="1" x14ac:dyDescent="0.25"/>
    <row r="142" s="51" customFormat="1" x14ac:dyDescent="0.25"/>
    <row r="143" s="51" customFormat="1" x14ac:dyDescent="0.25"/>
    <row r="144" s="51" customFormat="1" x14ac:dyDescent="0.25"/>
    <row r="145" s="51" customFormat="1" x14ac:dyDescent="0.25"/>
    <row r="146" s="51" customFormat="1" x14ac:dyDescent="0.25"/>
    <row r="147" s="51" customFormat="1" x14ac:dyDescent="0.25"/>
    <row r="148" s="51" customFormat="1" x14ac:dyDescent="0.25"/>
    <row r="149" s="51" customFormat="1" x14ac:dyDescent="0.25"/>
    <row r="150" s="51" customFormat="1" x14ac:dyDescent="0.25"/>
    <row r="151" s="51" customFormat="1" x14ac:dyDescent="0.25"/>
    <row r="152" s="51" customFormat="1" x14ac:dyDescent="0.25"/>
    <row r="153" s="51" customFormat="1" x14ac:dyDescent="0.25"/>
    <row r="154" s="51" customFormat="1" x14ac:dyDescent="0.25"/>
    <row r="155" s="51" customFormat="1" x14ac:dyDescent="0.25"/>
    <row r="156" s="51" customFormat="1" x14ac:dyDescent="0.25"/>
    <row r="157" s="51" customFormat="1" x14ac:dyDescent="0.25"/>
    <row r="158" s="51" customFormat="1" x14ac:dyDescent="0.25"/>
    <row r="159" s="51" customFormat="1" x14ac:dyDescent="0.25"/>
    <row r="160" s="51" customFormat="1" x14ac:dyDescent="0.25"/>
    <row r="161" s="51" customFormat="1" x14ac:dyDescent="0.25"/>
    <row r="162" s="51" customFormat="1" x14ac:dyDescent="0.25"/>
    <row r="163" s="51" customFormat="1" x14ac:dyDescent="0.25"/>
    <row r="164" s="51" customFormat="1" x14ac:dyDescent="0.25"/>
    <row r="165" s="51" customFormat="1" x14ac:dyDescent="0.25"/>
    <row r="166" s="51" customFormat="1" x14ac:dyDescent="0.25"/>
    <row r="167" s="51" customFormat="1" x14ac:dyDescent="0.25"/>
    <row r="168" s="51" customFormat="1" x14ac:dyDescent="0.25"/>
    <row r="169" s="51" customFormat="1" x14ac:dyDescent="0.25"/>
    <row r="170" s="51" customFormat="1" x14ac:dyDescent="0.25"/>
    <row r="171" s="51" customFormat="1" x14ac:dyDescent="0.25"/>
    <row r="172" s="51" customFormat="1" x14ac:dyDescent="0.25"/>
    <row r="173" s="51" customFormat="1" x14ac:dyDescent="0.25"/>
    <row r="174" s="51" customFormat="1" x14ac:dyDescent="0.25"/>
    <row r="175" s="51" customFormat="1" x14ac:dyDescent="0.25"/>
    <row r="176" s="51" customFormat="1" x14ac:dyDescent="0.25"/>
    <row r="177" s="51" customFormat="1" x14ac:dyDescent="0.25"/>
    <row r="178" s="51" customFormat="1" x14ac:dyDescent="0.25"/>
    <row r="179" s="51" customFormat="1" x14ac:dyDescent="0.25"/>
    <row r="180" s="51" customFormat="1" x14ac:dyDescent="0.25"/>
    <row r="181" s="51" customFormat="1" x14ac:dyDescent="0.25"/>
    <row r="182" s="51" customFormat="1" x14ac:dyDescent="0.25"/>
    <row r="183" s="51" customFormat="1" x14ac:dyDescent="0.25"/>
    <row r="184" s="51" customFormat="1" x14ac:dyDescent="0.25"/>
    <row r="185" s="51" customFormat="1" x14ac:dyDescent="0.25"/>
    <row r="186" s="51" customFormat="1" x14ac:dyDescent="0.25"/>
    <row r="187" s="51" customFormat="1" x14ac:dyDescent="0.25"/>
    <row r="188" s="51" customFormat="1" x14ac:dyDescent="0.25"/>
    <row r="189" s="51" customFormat="1" x14ac:dyDescent="0.25"/>
    <row r="190" s="51" customFormat="1" x14ac:dyDescent="0.25"/>
    <row r="191" s="51" customFormat="1" x14ac:dyDescent="0.25"/>
    <row r="192" s="51" customFormat="1" x14ac:dyDescent="0.25"/>
    <row r="193" s="51" customFormat="1" x14ac:dyDescent="0.25"/>
    <row r="194" s="51" customFormat="1" x14ac:dyDescent="0.25"/>
    <row r="195" s="51" customFormat="1" x14ac:dyDescent="0.25"/>
    <row r="196" s="51" customFormat="1" x14ac:dyDescent="0.25"/>
    <row r="197" s="51" customFormat="1" x14ac:dyDescent="0.25"/>
    <row r="198" s="51" customFormat="1" x14ac:dyDescent="0.25"/>
    <row r="199" s="51" customFormat="1" x14ac:dyDescent="0.25"/>
    <row r="200" s="51" customFormat="1" x14ac:dyDescent="0.25"/>
    <row r="201" s="51" customFormat="1" x14ac:dyDescent="0.25"/>
    <row r="202" s="51" customFormat="1" x14ac:dyDescent="0.25"/>
    <row r="203" s="51" customFormat="1" x14ac:dyDescent="0.25"/>
    <row r="204" s="51" customFormat="1" x14ac:dyDescent="0.25"/>
    <row r="205" s="51" customFormat="1" x14ac:dyDescent="0.25"/>
    <row r="206" s="51" customFormat="1" x14ac:dyDescent="0.25"/>
    <row r="207" s="51" customFormat="1" x14ac:dyDescent="0.25"/>
    <row r="208" s="51" customFormat="1" x14ac:dyDescent="0.25"/>
    <row r="209" s="51" customFormat="1" x14ac:dyDescent="0.25"/>
    <row r="210" s="51" customFormat="1" x14ac:dyDescent="0.25"/>
    <row r="211" s="51" customFormat="1" x14ac:dyDescent="0.25"/>
    <row r="212" s="51" customFormat="1" x14ac:dyDescent="0.25"/>
    <row r="213" s="51" customFormat="1" x14ac:dyDescent="0.25"/>
    <row r="214" s="51" customFormat="1" x14ac:dyDescent="0.25"/>
    <row r="215" s="51" customFormat="1" x14ac:dyDescent="0.25"/>
    <row r="216" s="51" customFormat="1" x14ac:dyDescent="0.25"/>
    <row r="217" s="51" customFormat="1" x14ac:dyDescent="0.25"/>
    <row r="218" s="51" customFormat="1" x14ac:dyDescent="0.25"/>
    <row r="219" s="51" customFormat="1" x14ac:dyDescent="0.25"/>
    <row r="220" s="51" customFormat="1" x14ac:dyDescent="0.25"/>
    <row r="221" s="51" customFormat="1" x14ac:dyDescent="0.25"/>
    <row r="222" s="51" customFormat="1" x14ac:dyDescent="0.25"/>
    <row r="223" s="51" customFormat="1" x14ac:dyDescent="0.25"/>
    <row r="224" s="51" customFormat="1" x14ac:dyDescent="0.25"/>
    <row r="225" s="51" customFormat="1" x14ac:dyDescent="0.25"/>
    <row r="226" s="51" customFormat="1" x14ac:dyDescent="0.25"/>
    <row r="227" s="51" customFormat="1" x14ac:dyDescent="0.25"/>
    <row r="228" s="51" customFormat="1" x14ac:dyDescent="0.25"/>
    <row r="229" s="51" customFormat="1" x14ac:dyDescent="0.25"/>
    <row r="230" s="51" customFormat="1" x14ac:dyDescent="0.25"/>
    <row r="231" s="51" customFormat="1" x14ac:dyDescent="0.25"/>
    <row r="232" s="51" customFormat="1" x14ac:dyDescent="0.25"/>
    <row r="233" s="51" customFormat="1" x14ac:dyDescent="0.25"/>
    <row r="234" s="51" customFormat="1" x14ac:dyDescent="0.25"/>
    <row r="235" s="51" customFormat="1" x14ac:dyDescent="0.25"/>
    <row r="236" s="51" customFormat="1" x14ac:dyDescent="0.25"/>
    <row r="237" s="51" customFormat="1" x14ac:dyDescent="0.25"/>
    <row r="238" s="51" customFormat="1" x14ac:dyDescent="0.25"/>
    <row r="239" s="51" customFormat="1" x14ac:dyDescent="0.25"/>
    <row r="240" s="51" customFormat="1" x14ac:dyDescent="0.25"/>
    <row r="241" spans="2:3" s="51" customFormat="1" x14ac:dyDescent="0.25"/>
    <row r="242" spans="2:3" s="51" customFormat="1" x14ac:dyDescent="0.25"/>
    <row r="243" spans="2:3" x14ac:dyDescent="0.25">
      <c r="B243" s="51"/>
      <c r="C243" s="51"/>
    </row>
    <row r="244" spans="2:3" x14ac:dyDescent="0.25">
      <c r="B244" s="51"/>
      <c r="C244" s="51"/>
    </row>
    <row r="245" spans="2:3" x14ac:dyDescent="0.25">
      <c r="B245" s="51"/>
      <c r="C245" s="51"/>
    </row>
    <row r="246" spans="2:3" x14ac:dyDescent="0.25">
      <c r="B246" s="51"/>
      <c r="C246" s="51"/>
    </row>
    <row r="247" spans="2:3" x14ac:dyDescent="0.25">
      <c r="B247" s="51"/>
      <c r="C247" s="51"/>
    </row>
    <row r="248" spans="2:3" x14ac:dyDescent="0.25">
      <c r="B248" s="51"/>
      <c r="C248" s="51"/>
    </row>
    <row r="249" spans="2:3" x14ac:dyDescent="0.25">
      <c r="B249" s="51"/>
      <c r="C249" s="51"/>
    </row>
    <row r="250" spans="2:3" x14ac:dyDescent="0.25">
      <c r="B250" s="51"/>
      <c r="C250" s="51"/>
    </row>
    <row r="251" spans="2:3" x14ac:dyDescent="0.25">
      <c r="B251" s="51"/>
      <c r="C251" s="51"/>
    </row>
    <row r="252" spans="2:3" x14ac:dyDescent="0.25">
      <c r="B252" s="51"/>
      <c r="C252" s="51"/>
    </row>
  </sheetData>
  <sheetProtection algorithmName="SHA-512" hashValue="V5SFX2urVCJpeCxVKA7I5HRgQLXaxEAC0XedNeDkG2CxOeAouyyacg88pyy0wtEtgkY+wbz84HLbWH17MoGQRg==" saltValue="Z/Odr1kJ63qh9/Z7S4V8pg==" spinCount="100000" sheet="1" objects="1" scenarios="1"/>
  <mergeCells count="6">
    <mergeCell ref="D22:I22"/>
    <mergeCell ref="K22:P22"/>
    <mergeCell ref="D4:I4"/>
    <mergeCell ref="D13:I13"/>
    <mergeCell ref="K4:P4"/>
    <mergeCell ref="K13:P13"/>
  </mergeCells>
  <conditionalFormatting sqref="E6:H6">
    <cfRule type="colorScale" priority="21">
      <colorScale>
        <cfvo type="min"/>
        <cfvo type="max"/>
        <color rgb="FF63BE7B"/>
        <color rgb="FFFFEF9C"/>
      </colorScale>
    </cfRule>
  </conditionalFormatting>
  <conditionalFormatting sqref="E8:H9">
    <cfRule type="colorScale" priority="20">
      <colorScale>
        <cfvo type="min"/>
        <cfvo type="max"/>
        <color rgb="FF63BE7B"/>
        <color rgb="FFFFEF9C"/>
      </colorScale>
    </cfRule>
  </conditionalFormatting>
  <conditionalFormatting sqref="E10:H10">
    <cfRule type="colorScale" priority="19">
      <colorScale>
        <cfvo type="min"/>
        <cfvo type="max"/>
        <color rgb="FF63BE7B"/>
        <color rgb="FFFFEF9C"/>
      </colorScale>
    </cfRule>
  </conditionalFormatting>
  <conditionalFormatting sqref="L6:O6">
    <cfRule type="colorScale" priority="15">
      <colorScale>
        <cfvo type="min"/>
        <cfvo type="max"/>
        <color rgb="FF63BE7B"/>
        <color rgb="FFFFEF9C"/>
      </colorScale>
    </cfRule>
  </conditionalFormatting>
  <conditionalFormatting sqref="L8:O9">
    <cfRule type="colorScale" priority="14">
      <colorScale>
        <cfvo type="min"/>
        <cfvo type="max"/>
        <color rgb="FF63BE7B"/>
        <color rgb="FFFFEF9C"/>
      </colorScale>
    </cfRule>
  </conditionalFormatting>
  <conditionalFormatting sqref="L10:O10">
    <cfRule type="colorScale" priority="13">
      <colorScale>
        <cfvo type="min"/>
        <cfvo type="max"/>
        <color rgb="FF63BE7B"/>
        <color rgb="FFFFEF9C"/>
      </colorScale>
    </cfRule>
  </conditionalFormatting>
  <conditionalFormatting sqref="E15:H15">
    <cfRule type="colorScale" priority="12">
      <colorScale>
        <cfvo type="min"/>
        <cfvo type="max"/>
        <color rgb="FF63BE7B"/>
        <color rgb="FFFFEF9C"/>
      </colorScale>
    </cfRule>
  </conditionalFormatting>
  <conditionalFormatting sqref="E17:H18">
    <cfRule type="colorScale" priority="11">
      <colorScale>
        <cfvo type="min"/>
        <cfvo type="max"/>
        <color rgb="FF63BE7B"/>
        <color rgb="FFFFEF9C"/>
      </colorScale>
    </cfRule>
  </conditionalFormatting>
  <conditionalFormatting sqref="E19:H19">
    <cfRule type="colorScale" priority="10">
      <colorScale>
        <cfvo type="min"/>
        <cfvo type="max"/>
        <color rgb="FF63BE7B"/>
        <color rgb="FFFFEF9C"/>
      </colorScale>
    </cfRule>
  </conditionalFormatting>
  <conditionalFormatting sqref="L15:O15">
    <cfRule type="colorScale" priority="9">
      <colorScale>
        <cfvo type="min"/>
        <cfvo type="max"/>
        <color rgb="FF63BE7B"/>
        <color rgb="FFFFEF9C"/>
      </colorScale>
    </cfRule>
  </conditionalFormatting>
  <conditionalFormatting sqref="L17:O18">
    <cfRule type="colorScale" priority="8">
      <colorScale>
        <cfvo type="min"/>
        <cfvo type="max"/>
        <color rgb="FF63BE7B"/>
        <color rgb="FFFFEF9C"/>
      </colorScale>
    </cfRule>
  </conditionalFormatting>
  <conditionalFormatting sqref="L19:O19">
    <cfRule type="colorScale" priority="7">
      <colorScale>
        <cfvo type="min"/>
        <cfvo type="max"/>
        <color rgb="FF63BE7B"/>
        <color rgb="FFFFEF9C"/>
      </colorScale>
    </cfRule>
  </conditionalFormatting>
  <conditionalFormatting sqref="E24:H24">
    <cfRule type="colorScale" priority="6">
      <colorScale>
        <cfvo type="min"/>
        <cfvo type="max"/>
        <color rgb="FF63BE7B"/>
        <color rgb="FFFFEF9C"/>
      </colorScale>
    </cfRule>
  </conditionalFormatting>
  <conditionalFormatting sqref="E26:H27">
    <cfRule type="colorScale" priority="5">
      <colorScale>
        <cfvo type="min"/>
        <cfvo type="max"/>
        <color rgb="FF63BE7B"/>
        <color rgb="FFFFEF9C"/>
      </colorScale>
    </cfRule>
  </conditionalFormatting>
  <conditionalFormatting sqref="E28:H28">
    <cfRule type="colorScale" priority="4">
      <colorScale>
        <cfvo type="min"/>
        <cfvo type="max"/>
        <color rgb="FF63BE7B"/>
        <color rgb="FFFFEF9C"/>
      </colorScale>
    </cfRule>
  </conditionalFormatting>
  <conditionalFormatting sqref="L24:O24">
    <cfRule type="colorScale" priority="3">
      <colorScale>
        <cfvo type="min"/>
        <cfvo type="max"/>
        <color rgb="FF63BE7B"/>
        <color rgb="FFFFEF9C"/>
      </colorScale>
    </cfRule>
  </conditionalFormatting>
  <conditionalFormatting sqref="L26:O27">
    <cfRule type="colorScale" priority="2">
      <colorScale>
        <cfvo type="min"/>
        <cfvo type="max"/>
        <color rgb="FF63BE7B"/>
        <color rgb="FFFFEF9C"/>
      </colorScale>
    </cfRule>
  </conditionalFormatting>
  <conditionalFormatting sqref="L28:O28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BJ157"/>
  <sheetViews>
    <sheetView zoomScale="80" zoomScaleNormal="80" workbookViewId="0">
      <selection activeCell="C15" sqref="C15"/>
    </sheetView>
  </sheetViews>
  <sheetFormatPr baseColWidth="10" defaultRowHeight="15" x14ac:dyDescent="0.25"/>
  <cols>
    <col min="1" max="1" width="10.85546875" style="51"/>
    <col min="2" max="2" width="58.42578125" customWidth="1"/>
    <col min="3" max="3" width="24.42578125" style="46" customWidth="1"/>
    <col min="4" max="4" width="5.85546875" style="51" customWidth="1"/>
    <col min="5" max="5" width="10.85546875" style="51"/>
    <col min="6" max="6" width="24.85546875" style="51" customWidth="1"/>
    <col min="7" max="7" width="27.28515625" style="51" customWidth="1"/>
    <col min="8" max="39" width="10.85546875" style="51"/>
  </cols>
  <sheetData>
    <row r="1" spans="2:62" x14ac:dyDescent="0.25">
      <c r="B1" s="51"/>
      <c r="C1" s="52"/>
      <c r="F1" s="170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</row>
    <row r="2" spans="2:62" s="51" customFormat="1" x14ac:dyDescent="0.25">
      <c r="C2" s="52"/>
      <c r="F2" s="170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70"/>
      <c r="AB2" s="70"/>
      <c r="AC2" s="70"/>
    </row>
    <row r="3" spans="2:62" x14ac:dyDescent="0.25">
      <c r="B3" s="59" t="s">
        <v>77</v>
      </c>
      <c r="C3" s="53"/>
      <c r="F3" s="170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306" t="s">
        <v>90</v>
      </c>
      <c r="S3" s="306"/>
      <c r="T3" s="306"/>
      <c r="U3" s="55"/>
      <c r="V3" s="55"/>
      <c r="W3" s="55"/>
      <c r="X3" s="55"/>
      <c r="Y3" s="55"/>
      <c r="Z3" s="55"/>
      <c r="AA3" s="70"/>
      <c r="AB3" s="70"/>
      <c r="AC3" s="70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</row>
    <row r="4" spans="2:62" ht="15.75" thickBot="1" x14ac:dyDescent="0.3">
      <c r="B4" s="51"/>
      <c r="C4" s="52"/>
      <c r="F4" s="170"/>
      <c r="G4" s="55"/>
      <c r="H4" s="55" t="s">
        <v>6</v>
      </c>
      <c r="I4" s="55" t="s">
        <v>43</v>
      </c>
      <c r="J4" s="55" t="s">
        <v>46</v>
      </c>
      <c r="K4" s="55"/>
      <c r="L4" s="55"/>
      <c r="M4" s="55" t="s">
        <v>6</v>
      </c>
      <c r="N4" s="55"/>
      <c r="O4" s="55">
        <v>1</v>
      </c>
      <c r="P4" s="55"/>
      <c r="Q4" s="55"/>
      <c r="R4" s="55" t="s">
        <v>6</v>
      </c>
      <c r="S4" s="55">
        <v>38.9</v>
      </c>
      <c r="T4" s="55"/>
      <c r="U4" s="55"/>
      <c r="V4" s="55"/>
      <c r="W4" s="55"/>
      <c r="X4" s="55"/>
      <c r="Y4" s="55"/>
      <c r="Z4" s="55"/>
      <c r="AA4" s="70"/>
      <c r="AB4" s="70"/>
      <c r="AC4" s="70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</row>
    <row r="5" spans="2:62" ht="15.75" thickBot="1" x14ac:dyDescent="0.3">
      <c r="B5" s="49" t="s">
        <v>78</v>
      </c>
      <c r="C5" s="60" t="s">
        <v>85</v>
      </c>
      <c r="F5" s="170"/>
      <c r="G5" s="55" t="s">
        <v>82</v>
      </c>
      <c r="H5" s="148">
        <f>'Grilles PolCom'!D13</f>
        <v>61</v>
      </c>
      <c r="I5" s="55">
        <f>'Grilles PolCom'!D14</f>
        <v>75</v>
      </c>
      <c r="J5" s="55">
        <f>'Grilles PolCom'!D15</f>
        <v>98</v>
      </c>
      <c r="K5" s="55"/>
      <c r="L5" s="55"/>
      <c r="M5" s="55" t="s">
        <v>43</v>
      </c>
      <c r="N5" s="55"/>
      <c r="O5" s="55">
        <v>2</v>
      </c>
      <c r="P5" s="55"/>
      <c r="Q5" s="55"/>
      <c r="R5" s="55" t="s">
        <v>43</v>
      </c>
      <c r="S5" s="55">
        <v>39.700000000000003</v>
      </c>
      <c r="T5" s="55"/>
      <c r="U5" s="55"/>
      <c r="V5" s="55"/>
      <c r="W5" s="55"/>
      <c r="X5" s="55"/>
      <c r="Y5" s="55"/>
      <c r="Z5" s="55"/>
      <c r="AA5" s="70"/>
      <c r="AB5" s="70"/>
      <c r="AC5" s="70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</row>
    <row r="6" spans="2:62" ht="15.75" thickBot="1" x14ac:dyDescent="0.3">
      <c r="B6" s="49" t="s">
        <v>79</v>
      </c>
      <c r="C6" s="60" t="s">
        <v>86</v>
      </c>
      <c r="F6" s="170"/>
      <c r="G6" s="55" t="s">
        <v>83</v>
      </c>
      <c r="H6" s="148">
        <f>'Grilles PolCom'!E13</f>
        <v>59</v>
      </c>
      <c r="I6" s="55">
        <f>'Grilles PolCom'!E14</f>
        <v>72</v>
      </c>
      <c r="J6" s="55">
        <f>'Grilles PolCom'!E15</f>
        <v>94</v>
      </c>
      <c r="K6" s="55"/>
      <c r="L6" s="55"/>
      <c r="M6" s="55" t="s">
        <v>46</v>
      </c>
      <c r="N6" s="55"/>
      <c r="O6" s="55">
        <v>3</v>
      </c>
      <c r="P6" s="55"/>
      <c r="Q6" s="55"/>
      <c r="R6" s="55" t="s">
        <v>46</v>
      </c>
      <c r="S6" s="55">
        <v>55.3</v>
      </c>
      <c r="T6" s="55"/>
      <c r="U6" s="55"/>
      <c r="V6" s="55"/>
      <c r="W6" s="55"/>
      <c r="X6" s="55"/>
      <c r="Y6" s="55"/>
      <c r="Z6" s="55"/>
      <c r="AA6" s="70"/>
      <c r="AB6" s="70"/>
      <c r="AC6" s="70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</row>
    <row r="7" spans="2:62" ht="15.75" thickBot="1" x14ac:dyDescent="0.3">
      <c r="B7" s="51"/>
      <c r="C7" s="53"/>
      <c r="F7" s="170"/>
      <c r="G7" s="55" t="s">
        <v>84</v>
      </c>
      <c r="H7" s="148">
        <f>'Grilles PolCom'!F13</f>
        <v>56</v>
      </c>
      <c r="I7" s="171">
        <f>'Grilles PolCom'!F14</f>
        <v>69</v>
      </c>
      <c r="J7" s="55">
        <f>'Grilles PolCom'!F15</f>
        <v>90</v>
      </c>
      <c r="K7" s="55"/>
      <c r="L7" s="55"/>
      <c r="M7" s="55"/>
      <c r="N7" s="55"/>
      <c r="O7" s="55">
        <v>4</v>
      </c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70"/>
      <c r="AB7" s="70"/>
      <c r="AC7" s="70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</row>
    <row r="8" spans="2:62" ht="15.75" thickBot="1" x14ac:dyDescent="0.3">
      <c r="B8" s="49" t="s">
        <v>87</v>
      </c>
      <c r="C8" s="66">
        <v>3000</v>
      </c>
      <c r="F8" s="170"/>
      <c r="G8" s="55"/>
      <c r="H8" s="55"/>
      <c r="I8" s="55"/>
      <c r="J8" s="55"/>
      <c r="K8" s="55"/>
      <c r="L8" s="55"/>
      <c r="M8" s="55"/>
      <c r="N8" s="55"/>
      <c r="O8" s="55">
        <v>5</v>
      </c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70"/>
      <c r="AB8" s="70"/>
      <c r="AC8" s="70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</row>
    <row r="9" spans="2:62" x14ac:dyDescent="0.25">
      <c r="B9" s="56" t="s">
        <v>91</v>
      </c>
      <c r="C9" s="52"/>
      <c r="F9" s="170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70"/>
      <c r="AB9" s="70"/>
      <c r="AC9" s="70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</row>
    <row r="10" spans="2:62" ht="15.75" thickBot="1" x14ac:dyDescent="0.3">
      <c r="B10" s="51"/>
      <c r="C10" s="52"/>
      <c r="F10" s="170"/>
      <c r="G10" s="55"/>
      <c r="H10" s="55" t="s">
        <v>109</v>
      </c>
      <c r="I10" s="55" t="s">
        <v>108</v>
      </c>
      <c r="J10" s="55" t="s">
        <v>110</v>
      </c>
      <c r="K10" s="55" t="s">
        <v>111</v>
      </c>
      <c r="L10" s="55" t="s">
        <v>112</v>
      </c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70"/>
      <c r="AB10" s="70"/>
      <c r="AC10" s="70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</row>
    <row r="11" spans="2:62" ht="15.75" thickBot="1" x14ac:dyDescent="0.3">
      <c r="B11" s="59" t="s">
        <v>114</v>
      </c>
      <c r="C11" s="66" t="s">
        <v>6</v>
      </c>
      <c r="F11" s="170"/>
      <c r="G11" s="55">
        <v>1</v>
      </c>
      <c r="H11" s="148">
        <f>'Grilles PolCom'!D30</f>
        <v>8</v>
      </c>
      <c r="I11" s="148">
        <f>'Grilles PolCom'!E30</f>
        <v>8</v>
      </c>
      <c r="J11" s="148">
        <f>'Grilles PolCom'!F30</f>
        <v>7</v>
      </c>
      <c r="K11" s="148">
        <f>'Grilles PolCom'!G30</f>
        <v>6</v>
      </c>
      <c r="L11" s="148">
        <f>'Grilles PolCom'!H30</f>
        <v>4</v>
      </c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70"/>
      <c r="AB11" s="70"/>
      <c r="AC11" s="70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</row>
    <row r="12" spans="2:62" ht="15.75" thickBot="1" x14ac:dyDescent="0.3">
      <c r="B12" s="59" t="s">
        <v>113</v>
      </c>
      <c r="C12" s="205">
        <v>125</v>
      </c>
      <c r="F12" s="170"/>
      <c r="G12" s="55">
        <v>2</v>
      </c>
      <c r="H12" s="148">
        <f>'Grilles PolCom'!D31</f>
        <v>6</v>
      </c>
      <c r="I12" s="148">
        <f>'Grilles PolCom'!E31</f>
        <v>6</v>
      </c>
      <c r="J12" s="148">
        <f>'Grilles PolCom'!F31</f>
        <v>4.5</v>
      </c>
      <c r="K12" s="148">
        <f>'Grilles PolCom'!G31</f>
        <v>3.5</v>
      </c>
      <c r="L12" s="148">
        <f>'Grilles PolCom'!H31</f>
        <v>3</v>
      </c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70"/>
      <c r="AB12" s="70"/>
      <c r="AC12" s="70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</row>
    <row r="13" spans="2:62" ht="15.75" thickBot="1" x14ac:dyDescent="0.3">
      <c r="B13" s="59" t="s">
        <v>81</v>
      </c>
      <c r="C13" s="66">
        <v>3</v>
      </c>
      <c r="D13" s="59" t="s">
        <v>92</v>
      </c>
      <c r="F13" s="170"/>
      <c r="G13" s="55">
        <v>3</v>
      </c>
      <c r="H13" s="148">
        <f>'Grilles PolCom'!D32</f>
        <v>5</v>
      </c>
      <c r="I13" s="148">
        <f>'Grilles PolCom'!E32</f>
        <v>5</v>
      </c>
      <c r="J13" s="148">
        <f>'Grilles PolCom'!F32</f>
        <v>4</v>
      </c>
      <c r="K13" s="148">
        <f>'Grilles PolCom'!G32</f>
        <v>2.5</v>
      </c>
      <c r="L13" s="148">
        <f>'Grilles PolCom'!H32</f>
        <v>2.5</v>
      </c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70"/>
      <c r="AB13" s="70"/>
      <c r="AC13" s="70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</row>
    <row r="14" spans="2:62" ht="15.75" thickBot="1" x14ac:dyDescent="0.3">
      <c r="B14" s="51"/>
      <c r="C14" s="52"/>
      <c r="F14" s="170"/>
      <c r="G14" s="55">
        <v>4</v>
      </c>
      <c r="H14" s="148">
        <f>'Grilles PolCom'!D33</f>
        <v>4</v>
      </c>
      <c r="I14" s="148">
        <f>'Grilles PolCom'!E33</f>
        <v>4</v>
      </c>
      <c r="J14" s="148">
        <f>'Grilles PolCom'!F33</f>
        <v>3.5</v>
      </c>
      <c r="K14" s="148">
        <f>'Grilles PolCom'!G33</f>
        <v>2.5</v>
      </c>
      <c r="L14" s="148">
        <f>'Grilles PolCom'!H33</f>
        <v>2</v>
      </c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70"/>
      <c r="AB14" s="70"/>
      <c r="AC14" s="70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</row>
    <row r="15" spans="2:62" ht="15.75" thickBot="1" x14ac:dyDescent="0.3">
      <c r="B15" s="50" t="s">
        <v>117</v>
      </c>
      <c r="C15" s="47">
        <f>IF(AND(C11="STANDARD",C8&lt;1000),H5,"1")*IF(AND(C11="STANDARD",C8&gt;=1000,C8&lt;3000),H6,1)*IF(AND(C11="STANDARD",C8&gt;=3000),H7,1)*IF(AND(C11="CARBONE",C8&lt;1000),I5,"1")*IF(AND(C11="CARBONE",C8&gt;=1000,C8&lt;3000),I6,1)*IF(AND(C11="CARBONE",C8&gt;=3000),I7,1)*IF(AND(C11="PREMIUM",C8&lt;1000),J5,"1")*IF(AND(C11="PREMIUM",C8&gt;=1000,C8&lt;3000),J6,1)*IF(AND(C11="PREMIUM",C8&gt;=3000),J7,1)</f>
        <v>56</v>
      </c>
      <c r="D15" s="57" t="s">
        <v>88</v>
      </c>
      <c r="F15" s="170"/>
      <c r="G15" s="55">
        <v>5</v>
      </c>
      <c r="H15" s="148">
        <f>'Grilles PolCom'!D34</f>
        <v>3.5</v>
      </c>
      <c r="I15" s="148">
        <f>'Grilles PolCom'!E34</f>
        <v>3.5</v>
      </c>
      <c r="J15" s="148">
        <f>'Grilles PolCom'!F34</f>
        <v>3</v>
      </c>
      <c r="K15" s="148">
        <f>'Grilles PolCom'!G34</f>
        <v>2.5</v>
      </c>
      <c r="L15" s="148">
        <f>'Grilles PolCom'!H34</f>
        <v>2</v>
      </c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70"/>
      <c r="AB15" s="70"/>
      <c r="AC15" s="70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</row>
    <row r="16" spans="2:62" ht="15.75" thickBot="1" x14ac:dyDescent="0.3">
      <c r="B16" s="57" t="s">
        <v>103</v>
      </c>
      <c r="C16" s="162">
        <f>IF(AND(C13=1,C12&lt;=49),H11,1)*IF(AND(C13=2,C12&lt;=49),H12,1)*IF(AND(C13=3,C12&lt;=49),H13,1)*IF(AND(C13=4,C12&lt;=49),H14,1)*IF(AND(C13=5,C12&lt;=49),H15,1)*IF(AND(C13=1,C12&gt;49,C12&lt;=99),I11,1)*IF(AND(C13=2,C12&gt;49,C12&lt;=99),I12,1)*IF(AND(C13=3,C12&gt;49,C12&lt;=99),I13,1)*IF(AND(C13=4,C12&gt;49,C12&lt;=99),I14,1)*IF(AND(C13=5,C12&gt;49,C12&lt;=99),I15,1)*IF(AND(C13=1,C12&gt;99,C12&lt;=199),J11,1)*IF(AND(C13=2,C12&gt;99,C12&lt;=199),J12,1)*IF(AND(C13=3,C12&gt;99,C12&lt;=199),J13,1)*IF(AND(C13=4,C12&gt;99,C12&lt;=199),J14,1)*IF(AND(C13=5,C12&gt;99,C12&lt;=199),J15,1)*IF(AND(C13=1,C12&gt;199,C12&lt;=399),K11,1)*IF(AND(C13=2,C12&gt;199,C12&lt;=399),K12,1)*IF(AND(C13=3,C12&gt;199,C12&lt;=399),K13,1)*IF(AND(C13=4,C12&gt;199,C12&lt;=399),K14,1)*IF(AND(C13=5,C12&gt;199,C12&lt;=399),K15,1)*IF(AND(C13=1,C12&gt;399),L11,1)*IF(AND(C13=2,C12&gt;399),L12,1)*IF(AND(C13=3,C12&gt;399),L13,1)*IF(AND(C13=4,C12&gt;399),L14,1)*IF(AND(C13=5,C12&gt;399),L15,1)</f>
        <v>4</v>
      </c>
      <c r="D16" s="57" t="s">
        <v>107</v>
      </c>
      <c r="F16" s="170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70"/>
      <c r="AB16" s="70"/>
      <c r="AC16" s="70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</row>
    <row r="17" spans="2:52" ht="15.75" thickBot="1" x14ac:dyDescent="0.3">
      <c r="B17" s="50" t="s">
        <v>116</v>
      </c>
      <c r="C17" s="61">
        <f>C15+C16*C13</f>
        <v>68</v>
      </c>
      <c r="D17" s="57" t="s">
        <v>88</v>
      </c>
      <c r="F17" s="170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70"/>
      <c r="AB17" s="70"/>
      <c r="AC17" s="70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</row>
    <row r="18" spans="2:52" ht="15.75" thickBot="1" x14ac:dyDescent="0.3">
      <c r="B18" s="57" t="s">
        <v>104</v>
      </c>
      <c r="C18" s="61">
        <f>C17/C13</f>
        <v>22.666666666666668</v>
      </c>
      <c r="D18" s="57" t="s">
        <v>88</v>
      </c>
      <c r="F18" s="170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70"/>
      <c r="AB18" s="70"/>
      <c r="AC18" s="70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</row>
    <row r="19" spans="2:52" x14ac:dyDescent="0.25">
      <c r="B19" s="51"/>
      <c r="C19" s="52"/>
      <c r="F19" s="170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70"/>
      <c r="AB19" s="70"/>
      <c r="AC19" s="70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</row>
    <row r="20" spans="2:52" ht="15.75" thickBot="1" x14ac:dyDescent="0.3">
      <c r="B20" s="51"/>
      <c r="C20" s="52"/>
      <c r="F20" s="170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70"/>
      <c r="AB20" s="70"/>
      <c r="AC20" s="70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2:52" ht="15.75" thickBot="1" x14ac:dyDescent="0.3">
      <c r="B21" s="48" t="s">
        <v>96</v>
      </c>
      <c r="C21" s="68">
        <v>0.3</v>
      </c>
      <c r="D21" s="57" t="s">
        <v>93</v>
      </c>
      <c r="F21" s="170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70"/>
      <c r="AB21" s="70"/>
      <c r="AC21" s="70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2:52" ht="15.75" thickBot="1" x14ac:dyDescent="0.3">
      <c r="B22" s="48" t="s">
        <v>105</v>
      </c>
      <c r="C22" s="63">
        <f>C33-(C17*C30)</f>
        <v>2550</v>
      </c>
      <c r="D22" s="57" t="s">
        <v>88</v>
      </c>
      <c r="F22" s="170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70"/>
      <c r="AB22" s="70"/>
      <c r="AC22" s="70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2:52" x14ac:dyDescent="0.25">
      <c r="B23" s="51"/>
      <c r="C23" s="52"/>
      <c r="F23" s="170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70"/>
      <c r="AB23" s="70"/>
      <c r="AC23" s="70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2:52" x14ac:dyDescent="0.25">
      <c r="B24" s="51"/>
      <c r="C24" s="52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2:52" x14ac:dyDescent="0.25">
      <c r="B25" s="58" t="s">
        <v>97</v>
      </c>
      <c r="C25" s="52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2:52" ht="15.75" thickBot="1" x14ac:dyDescent="0.3">
      <c r="B26" s="51"/>
      <c r="C26" s="52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2:52" ht="15.75" thickBot="1" x14ac:dyDescent="0.3">
      <c r="B27" s="62" t="s">
        <v>94</v>
      </c>
      <c r="C27" s="60" t="s">
        <v>95</v>
      </c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2:52" ht="15.75" thickBot="1" x14ac:dyDescent="0.3">
      <c r="B28" s="62" t="s">
        <v>79</v>
      </c>
      <c r="C28" s="60" t="s">
        <v>101</v>
      </c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2:52" ht="15.75" thickBot="1" x14ac:dyDescent="0.3">
      <c r="B29" s="51"/>
      <c r="C29" s="52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2:52" ht="15.75" thickBot="1" x14ac:dyDescent="0.3">
      <c r="B30" s="49" t="s">
        <v>98</v>
      </c>
      <c r="C30" s="69">
        <f>C12</f>
        <v>125</v>
      </c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2:52" ht="15.75" thickBot="1" x14ac:dyDescent="0.3">
      <c r="B31" s="51"/>
      <c r="C31" s="52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2:52" ht="15.75" thickBot="1" x14ac:dyDescent="0.3">
      <c r="B32" s="50" t="s">
        <v>106</v>
      </c>
      <c r="C32" s="65">
        <f>C17*(1+C21)</f>
        <v>88.4</v>
      </c>
      <c r="D32" s="50" t="s">
        <v>88</v>
      </c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2:52" ht="15.75" thickBot="1" x14ac:dyDescent="0.3">
      <c r="B33" s="50" t="s">
        <v>99</v>
      </c>
      <c r="C33" s="67">
        <f>C32*C30</f>
        <v>11050</v>
      </c>
      <c r="D33" s="50" t="s">
        <v>88</v>
      </c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2:52" ht="15.75" thickBot="1" x14ac:dyDescent="0.3">
      <c r="B34" s="57" t="s">
        <v>104</v>
      </c>
      <c r="C34" s="64">
        <f>C32/C13</f>
        <v>29.466666666666669</v>
      </c>
      <c r="D34" s="57" t="s">
        <v>88</v>
      </c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2:52" ht="15.75" thickBot="1" x14ac:dyDescent="0.3">
      <c r="B35" s="54" t="s">
        <v>102</v>
      </c>
      <c r="C35" s="65">
        <f>C33/C30/5</f>
        <v>17.68</v>
      </c>
      <c r="D35" s="54" t="s">
        <v>88</v>
      </c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2:52" x14ac:dyDescent="0.25">
      <c r="B36" s="51"/>
      <c r="C36" s="52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2:52" x14ac:dyDescent="0.25">
      <c r="B37" s="51"/>
      <c r="C37" s="52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2:52" s="51" customFormat="1" x14ac:dyDescent="0.25">
      <c r="C38" s="52"/>
    </row>
    <row r="39" spans="2:52" s="51" customFormat="1" x14ac:dyDescent="0.25">
      <c r="C39" s="52"/>
    </row>
    <row r="40" spans="2:52" s="51" customFormat="1" x14ac:dyDescent="0.25">
      <c r="C40" s="52"/>
    </row>
    <row r="41" spans="2:52" s="51" customFormat="1" x14ac:dyDescent="0.25">
      <c r="C41" s="52"/>
    </row>
    <row r="42" spans="2:52" s="51" customFormat="1" x14ac:dyDescent="0.25">
      <c r="C42" s="52"/>
    </row>
    <row r="43" spans="2:52" s="51" customFormat="1" x14ac:dyDescent="0.25">
      <c r="C43" s="52"/>
    </row>
    <row r="44" spans="2:52" s="51" customFormat="1" x14ac:dyDescent="0.25">
      <c r="C44" s="52"/>
    </row>
    <row r="45" spans="2:52" s="51" customFormat="1" x14ac:dyDescent="0.25">
      <c r="C45" s="52"/>
    </row>
    <row r="46" spans="2:52" s="51" customFormat="1" x14ac:dyDescent="0.25">
      <c r="C46" s="52"/>
    </row>
    <row r="47" spans="2:52" s="51" customFormat="1" x14ac:dyDescent="0.25">
      <c r="C47" s="52"/>
    </row>
    <row r="48" spans="2:52" s="51" customFormat="1" x14ac:dyDescent="0.25">
      <c r="C48" s="52"/>
    </row>
    <row r="49" spans="3:3" s="51" customFormat="1" x14ac:dyDescent="0.25">
      <c r="C49" s="52"/>
    </row>
    <row r="50" spans="3:3" s="51" customFormat="1" x14ac:dyDescent="0.25">
      <c r="C50" s="52"/>
    </row>
    <row r="51" spans="3:3" s="51" customFormat="1" x14ac:dyDescent="0.25">
      <c r="C51" s="52"/>
    </row>
    <row r="52" spans="3:3" s="51" customFormat="1" x14ac:dyDescent="0.25">
      <c r="C52" s="52"/>
    </row>
    <row r="53" spans="3:3" s="51" customFormat="1" x14ac:dyDescent="0.25">
      <c r="C53" s="52"/>
    </row>
    <row r="54" spans="3:3" s="51" customFormat="1" x14ac:dyDescent="0.25">
      <c r="C54" s="52"/>
    </row>
    <row r="55" spans="3:3" s="51" customFormat="1" x14ac:dyDescent="0.25">
      <c r="C55" s="52"/>
    </row>
    <row r="56" spans="3:3" s="51" customFormat="1" x14ac:dyDescent="0.25">
      <c r="C56" s="52"/>
    </row>
    <row r="57" spans="3:3" s="51" customFormat="1" x14ac:dyDescent="0.25">
      <c r="C57" s="52"/>
    </row>
    <row r="58" spans="3:3" s="51" customFormat="1" x14ac:dyDescent="0.25">
      <c r="C58" s="52"/>
    </row>
    <row r="59" spans="3:3" s="51" customFormat="1" x14ac:dyDescent="0.25">
      <c r="C59" s="52"/>
    </row>
    <row r="60" spans="3:3" s="51" customFormat="1" x14ac:dyDescent="0.25">
      <c r="C60" s="52"/>
    </row>
    <row r="61" spans="3:3" s="51" customFormat="1" x14ac:dyDescent="0.25">
      <c r="C61" s="52"/>
    </row>
    <row r="62" spans="3:3" s="51" customFormat="1" x14ac:dyDescent="0.25">
      <c r="C62" s="52"/>
    </row>
    <row r="63" spans="3:3" s="51" customFormat="1" x14ac:dyDescent="0.25">
      <c r="C63" s="52"/>
    </row>
    <row r="64" spans="3:3" s="51" customFormat="1" x14ac:dyDescent="0.25">
      <c r="C64" s="52"/>
    </row>
    <row r="65" spans="3:3" s="51" customFormat="1" x14ac:dyDescent="0.25">
      <c r="C65" s="52"/>
    </row>
    <row r="66" spans="3:3" s="51" customFormat="1" x14ac:dyDescent="0.25">
      <c r="C66" s="52"/>
    </row>
    <row r="67" spans="3:3" s="51" customFormat="1" x14ac:dyDescent="0.25">
      <c r="C67" s="52"/>
    </row>
    <row r="68" spans="3:3" s="51" customFormat="1" x14ac:dyDescent="0.25">
      <c r="C68" s="52"/>
    </row>
    <row r="69" spans="3:3" s="51" customFormat="1" x14ac:dyDescent="0.25">
      <c r="C69" s="52"/>
    </row>
    <row r="70" spans="3:3" s="51" customFormat="1" x14ac:dyDescent="0.25">
      <c r="C70" s="52"/>
    </row>
    <row r="71" spans="3:3" s="51" customFormat="1" x14ac:dyDescent="0.25">
      <c r="C71" s="52"/>
    </row>
    <row r="72" spans="3:3" s="51" customFormat="1" x14ac:dyDescent="0.25">
      <c r="C72" s="52"/>
    </row>
    <row r="73" spans="3:3" s="51" customFormat="1" x14ac:dyDescent="0.25">
      <c r="C73" s="52"/>
    </row>
    <row r="74" spans="3:3" s="51" customFormat="1" x14ac:dyDescent="0.25">
      <c r="C74" s="52"/>
    </row>
    <row r="75" spans="3:3" s="51" customFormat="1" x14ac:dyDescent="0.25">
      <c r="C75" s="52"/>
    </row>
    <row r="76" spans="3:3" s="51" customFormat="1" x14ac:dyDescent="0.25">
      <c r="C76" s="52"/>
    </row>
    <row r="77" spans="3:3" s="51" customFormat="1" x14ac:dyDescent="0.25">
      <c r="C77" s="52"/>
    </row>
    <row r="78" spans="3:3" s="51" customFormat="1" x14ac:dyDescent="0.25">
      <c r="C78" s="52"/>
    </row>
    <row r="79" spans="3:3" s="51" customFormat="1" x14ac:dyDescent="0.25">
      <c r="C79" s="52"/>
    </row>
    <row r="80" spans="3:3" s="51" customFormat="1" x14ac:dyDescent="0.25">
      <c r="C80" s="52"/>
    </row>
    <row r="81" spans="3:3" s="51" customFormat="1" x14ac:dyDescent="0.25">
      <c r="C81" s="52"/>
    </row>
    <row r="82" spans="3:3" s="51" customFormat="1" x14ac:dyDescent="0.25">
      <c r="C82" s="52"/>
    </row>
    <row r="83" spans="3:3" s="51" customFormat="1" x14ac:dyDescent="0.25">
      <c r="C83" s="52"/>
    </row>
    <row r="84" spans="3:3" s="51" customFormat="1" x14ac:dyDescent="0.25">
      <c r="C84" s="52"/>
    </row>
    <row r="85" spans="3:3" s="51" customFormat="1" x14ac:dyDescent="0.25">
      <c r="C85" s="52"/>
    </row>
    <row r="86" spans="3:3" s="51" customFormat="1" x14ac:dyDescent="0.25">
      <c r="C86" s="52"/>
    </row>
    <row r="87" spans="3:3" s="51" customFormat="1" x14ac:dyDescent="0.25">
      <c r="C87" s="52"/>
    </row>
    <row r="88" spans="3:3" s="51" customFormat="1" x14ac:dyDescent="0.25">
      <c r="C88" s="52"/>
    </row>
    <row r="89" spans="3:3" s="51" customFormat="1" x14ac:dyDescent="0.25">
      <c r="C89" s="52"/>
    </row>
    <row r="90" spans="3:3" s="51" customFormat="1" x14ac:dyDescent="0.25">
      <c r="C90" s="52"/>
    </row>
    <row r="91" spans="3:3" s="51" customFormat="1" x14ac:dyDescent="0.25">
      <c r="C91" s="52"/>
    </row>
    <row r="92" spans="3:3" s="51" customFormat="1" x14ac:dyDescent="0.25">
      <c r="C92" s="52"/>
    </row>
    <row r="93" spans="3:3" s="51" customFormat="1" x14ac:dyDescent="0.25">
      <c r="C93" s="52"/>
    </row>
    <row r="94" spans="3:3" s="51" customFormat="1" x14ac:dyDescent="0.25">
      <c r="C94" s="52"/>
    </row>
    <row r="95" spans="3:3" s="51" customFormat="1" x14ac:dyDescent="0.25">
      <c r="C95" s="52"/>
    </row>
    <row r="96" spans="3:3" s="51" customFormat="1" x14ac:dyDescent="0.25">
      <c r="C96" s="52"/>
    </row>
    <row r="97" spans="3:3" s="51" customFormat="1" x14ac:dyDescent="0.25">
      <c r="C97" s="52"/>
    </row>
    <row r="98" spans="3:3" s="51" customFormat="1" x14ac:dyDescent="0.25">
      <c r="C98" s="52"/>
    </row>
    <row r="99" spans="3:3" s="51" customFormat="1" x14ac:dyDescent="0.25">
      <c r="C99" s="52"/>
    </row>
    <row r="100" spans="3:3" s="51" customFormat="1" x14ac:dyDescent="0.25">
      <c r="C100" s="52"/>
    </row>
    <row r="101" spans="3:3" s="51" customFormat="1" x14ac:dyDescent="0.25">
      <c r="C101" s="52"/>
    </row>
    <row r="102" spans="3:3" s="51" customFormat="1" x14ac:dyDescent="0.25">
      <c r="C102" s="52"/>
    </row>
    <row r="103" spans="3:3" s="51" customFormat="1" x14ac:dyDescent="0.25">
      <c r="C103" s="52"/>
    </row>
    <row r="104" spans="3:3" s="51" customFormat="1" x14ac:dyDescent="0.25">
      <c r="C104" s="52"/>
    </row>
    <row r="105" spans="3:3" s="51" customFormat="1" x14ac:dyDescent="0.25">
      <c r="C105" s="52"/>
    </row>
    <row r="106" spans="3:3" s="51" customFormat="1" x14ac:dyDescent="0.25">
      <c r="C106" s="52"/>
    </row>
    <row r="107" spans="3:3" s="51" customFormat="1" x14ac:dyDescent="0.25">
      <c r="C107" s="52"/>
    </row>
    <row r="108" spans="3:3" s="51" customFormat="1" x14ac:dyDescent="0.25">
      <c r="C108" s="52"/>
    </row>
    <row r="109" spans="3:3" s="51" customFormat="1" x14ac:dyDescent="0.25">
      <c r="C109" s="52"/>
    </row>
    <row r="110" spans="3:3" s="51" customFormat="1" x14ac:dyDescent="0.25">
      <c r="C110" s="52"/>
    </row>
    <row r="111" spans="3:3" s="51" customFormat="1" x14ac:dyDescent="0.25">
      <c r="C111" s="52"/>
    </row>
    <row r="112" spans="3:3" s="51" customFormat="1" x14ac:dyDescent="0.25">
      <c r="C112" s="52"/>
    </row>
    <row r="113" spans="3:3" s="51" customFormat="1" x14ac:dyDescent="0.25">
      <c r="C113" s="52"/>
    </row>
    <row r="114" spans="3:3" s="51" customFormat="1" x14ac:dyDescent="0.25">
      <c r="C114" s="52"/>
    </row>
    <row r="115" spans="3:3" s="51" customFormat="1" x14ac:dyDescent="0.25">
      <c r="C115" s="52"/>
    </row>
    <row r="116" spans="3:3" s="51" customFormat="1" x14ac:dyDescent="0.25">
      <c r="C116" s="52"/>
    </row>
    <row r="117" spans="3:3" s="51" customFormat="1" x14ac:dyDescent="0.25">
      <c r="C117" s="52"/>
    </row>
    <row r="118" spans="3:3" s="51" customFormat="1" x14ac:dyDescent="0.25">
      <c r="C118" s="52"/>
    </row>
    <row r="119" spans="3:3" s="51" customFormat="1" x14ac:dyDescent="0.25">
      <c r="C119" s="52"/>
    </row>
    <row r="120" spans="3:3" s="51" customFormat="1" x14ac:dyDescent="0.25">
      <c r="C120" s="52"/>
    </row>
    <row r="121" spans="3:3" s="51" customFormat="1" x14ac:dyDescent="0.25">
      <c r="C121" s="52"/>
    </row>
    <row r="122" spans="3:3" s="51" customFormat="1" x14ac:dyDescent="0.25">
      <c r="C122" s="52"/>
    </row>
    <row r="123" spans="3:3" s="51" customFormat="1" x14ac:dyDescent="0.25">
      <c r="C123" s="52"/>
    </row>
    <row r="124" spans="3:3" s="51" customFormat="1" x14ac:dyDescent="0.25">
      <c r="C124" s="52"/>
    </row>
    <row r="125" spans="3:3" s="51" customFormat="1" x14ac:dyDescent="0.25">
      <c r="C125" s="52"/>
    </row>
    <row r="126" spans="3:3" s="51" customFormat="1" x14ac:dyDescent="0.25">
      <c r="C126" s="52"/>
    </row>
    <row r="127" spans="3:3" s="51" customFormat="1" x14ac:dyDescent="0.25">
      <c r="C127" s="52"/>
    </row>
    <row r="128" spans="3:3" s="51" customFormat="1" x14ac:dyDescent="0.25">
      <c r="C128" s="52"/>
    </row>
    <row r="129" spans="3:3" s="51" customFormat="1" x14ac:dyDescent="0.25">
      <c r="C129" s="52"/>
    </row>
    <row r="130" spans="3:3" s="51" customFormat="1" x14ac:dyDescent="0.25">
      <c r="C130" s="52"/>
    </row>
    <row r="131" spans="3:3" s="51" customFormat="1" x14ac:dyDescent="0.25">
      <c r="C131" s="52"/>
    </row>
    <row r="132" spans="3:3" s="51" customFormat="1" x14ac:dyDescent="0.25">
      <c r="C132" s="52"/>
    </row>
    <row r="133" spans="3:3" s="51" customFormat="1" x14ac:dyDescent="0.25">
      <c r="C133" s="52"/>
    </row>
    <row r="134" spans="3:3" s="51" customFormat="1" x14ac:dyDescent="0.25">
      <c r="C134" s="52"/>
    </row>
    <row r="135" spans="3:3" s="51" customFormat="1" x14ac:dyDescent="0.25">
      <c r="C135" s="52"/>
    </row>
    <row r="136" spans="3:3" s="51" customFormat="1" x14ac:dyDescent="0.25">
      <c r="C136" s="52"/>
    </row>
    <row r="137" spans="3:3" s="51" customFormat="1" x14ac:dyDescent="0.25">
      <c r="C137" s="52"/>
    </row>
    <row r="138" spans="3:3" s="51" customFormat="1" x14ac:dyDescent="0.25">
      <c r="C138" s="52"/>
    </row>
    <row r="139" spans="3:3" s="51" customFormat="1" x14ac:dyDescent="0.25">
      <c r="C139" s="52"/>
    </row>
    <row r="140" spans="3:3" s="51" customFormat="1" x14ac:dyDescent="0.25">
      <c r="C140" s="52"/>
    </row>
    <row r="141" spans="3:3" s="51" customFormat="1" x14ac:dyDescent="0.25">
      <c r="C141" s="52"/>
    </row>
    <row r="142" spans="3:3" s="51" customFormat="1" x14ac:dyDescent="0.25">
      <c r="C142" s="52"/>
    </row>
    <row r="143" spans="3:3" s="51" customFormat="1" x14ac:dyDescent="0.25">
      <c r="C143" s="52"/>
    </row>
    <row r="144" spans="3:3" s="51" customFormat="1" x14ac:dyDescent="0.25">
      <c r="C144" s="52"/>
    </row>
    <row r="145" spans="3:3" s="51" customFormat="1" x14ac:dyDescent="0.25">
      <c r="C145" s="52"/>
    </row>
    <row r="146" spans="3:3" s="51" customFormat="1" x14ac:dyDescent="0.25">
      <c r="C146" s="52"/>
    </row>
    <row r="147" spans="3:3" s="51" customFormat="1" x14ac:dyDescent="0.25">
      <c r="C147" s="52"/>
    </row>
    <row r="148" spans="3:3" s="51" customFormat="1" x14ac:dyDescent="0.25">
      <c r="C148" s="52"/>
    </row>
    <row r="149" spans="3:3" s="51" customFormat="1" x14ac:dyDescent="0.25">
      <c r="C149" s="52"/>
    </row>
    <row r="150" spans="3:3" s="51" customFormat="1" x14ac:dyDescent="0.25">
      <c r="C150" s="52"/>
    </row>
    <row r="151" spans="3:3" s="51" customFormat="1" x14ac:dyDescent="0.25">
      <c r="C151" s="52"/>
    </row>
    <row r="152" spans="3:3" s="51" customFormat="1" x14ac:dyDescent="0.25">
      <c r="C152" s="52"/>
    </row>
    <row r="153" spans="3:3" s="51" customFormat="1" x14ac:dyDescent="0.25">
      <c r="C153" s="52"/>
    </row>
    <row r="154" spans="3:3" s="51" customFormat="1" x14ac:dyDescent="0.25">
      <c r="C154" s="52"/>
    </row>
    <row r="155" spans="3:3" s="51" customFormat="1" x14ac:dyDescent="0.25">
      <c r="C155" s="52"/>
    </row>
    <row r="156" spans="3:3" s="51" customFormat="1" x14ac:dyDescent="0.25">
      <c r="C156" s="52"/>
    </row>
    <row r="157" spans="3:3" s="51" customFormat="1" x14ac:dyDescent="0.25">
      <c r="C157" s="52"/>
    </row>
  </sheetData>
  <sheetProtection selectLockedCells="1"/>
  <mergeCells count="1">
    <mergeCell ref="R3:T3"/>
  </mergeCells>
  <dataValidations count="2">
    <dataValidation type="list" allowBlank="1" showInputMessage="1" showErrorMessage="1" sqref="C11" xr:uid="{00000000-0002-0000-0800-000000000000}">
      <formula1>$M$4:$M$6</formula1>
    </dataValidation>
    <dataValidation type="list" allowBlank="1" showInputMessage="1" showErrorMessage="1" sqref="C13" xr:uid="{00000000-0002-0000-0800-000001000000}">
      <formula1>$O$4:$O$8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73e661a-ba6f-4fb9-b1ef-d04f5b05ec43" xsi:nil="true"/>
    <lcf76f155ced4ddcb4097134ff3c332f xmlns="b0a4409a-9623-483a-ac6b-e950ba7291e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36F79C1DA71449B2CE3BA4B8EDC135" ma:contentTypeVersion="14" ma:contentTypeDescription="Create a new document." ma:contentTypeScope="" ma:versionID="4da543b4d26f0771ee80a653f5c71279">
  <xsd:schema xmlns:xsd="http://www.w3.org/2001/XMLSchema" xmlns:xs="http://www.w3.org/2001/XMLSchema" xmlns:p="http://schemas.microsoft.com/office/2006/metadata/properties" xmlns:ns2="b0a4409a-9623-483a-ac6b-e950ba7291e9" xmlns:ns3="573e661a-ba6f-4fb9-b1ef-d04f5b05ec43" targetNamespace="http://schemas.microsoft.com/office/2006/metadata/properties" ma:root="true" ma:fieldsID="7811a4b6f1caaf66b8c99496d92186c4" ns2:_="" ns3:_="">
    <xsd:import namespace="b0a4409a-9623-483a-ac6b-e950ba7291e9"/>
    <xsd:import namespace="573e661a-ba6f-4fb9-b1ef-d04f5b05ec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a4409a-9623-483a-ac6b-e950ba7291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1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a62b72aa-f2ad-421f-b636-7f0f87e2f2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3e661a-ba6f-4fb9-b1ef-d04f5b05ec43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f31c6405-9482-4842-81c0-a0a6b9ab38cb}" ma:internalName="TaxCatchAll" ma:showField="CatchAllData" ma:web="573e661a-ba6f-4fb9-b1ef-d04f5b05ec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E8864F-AA97-4C6C-A9FE-456F39B0374E}">
  <ds:schemaRefs>
    <ds:schemaRef ds:uri="http://schemas.microsoft.com/office/2006/metadata/properties"/>
    <ds:schemaRef ds:uri="http://schemas.microsoft.com/office/infopath/2007/PartnerControls"/>
    <ds:schemaRef ds:uri="573e661a-ba6f-4fb9-b1ef-d04f5b05ec43"/>
    <ds:schemaRef ds:uri="b0a4409a-9623-483a-ac6b-e950ba7291e9"/>
  </ds:schemaRefs>
</ds:datastoreItem>
</file>

<file path=customXml/itemProps2.xml><?xml version="1.0" encoding="utf-8"?>
<ds:datastoreItem xmlns:ds="http://schemas.openxmlformats.org/officeDocument/2006/customXml" ds:itemID="{2D674A07-7C4E-4DF6-95CD-1034E305AC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a4409a-9623-483a-ac6b-e950ba7291e9"/>
    <ds:schemaRef ds:uri="573e661a-ba6f-4fb9-b1ef-d04f5b05ec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FE7455-F141-458A-8814-A0074160594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Offre standard</vt:lpstr>
      <vt:lpstr>Offre carbone</vt:lpstr>
      <vt:lpstr>Offre Premium</vt:lpstr>
      <vt:lpstr>Tarifs Agriculteur</vt:lpstr>
      <vt:lpstr>Tarif Distributeur</vt:lpstr>
      <vt:lpstr>CALCULATEUR TARIFS INTERNE</vt:lpstr>
      <vt:lpstr>Grilles PolCom</vt:lpstr>
      <vt:lpstr>CAS CONCRETS</vt:lpstr>
      <vt:lpstr>CALCULATEUR TARIFS EXTERNE</vt:lpstr>
      <vt:lpstr>MODELE FR</vt:lpstr>
      <vt:lpstr>PRICE LIST</vt:lpstr>
      <vt:lpstr>CALCULATEUR FR</vt:lpstr>
    </vt:vector>
  </TitlesOfParts>
  <Manager/>
  <Company>Syngenta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Senechal Christopher FRSC</dc:creator>
  <cp:keywords/>
  <dc:description/>
  <cp:lastModifiedBy>LEZE Hugues FRSC</cp:lastModifiedBy>
  <cp:revision/>
  <dcterms:created xsi:type="dcterms:W3CDTF">2023-06-29T12:45:16Z</dcterms:created>
  <dcterms:modified xsi:type="dcterms:W3CDTF">2023-12-15T14:41:13Z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0x0101002836F79C1DA71449B2CE3BA4B8EDC135</vt:lpwstr>
  </property>
  <property fmtid="{D5CDD505-2E9C-101B-9397-08002B2CF9AE}" pid="3" name="MediaServiceImageTags">
    <vt:lpwstr/>
  </property>
</Properties>
</file>