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Z:\公司共享文件\科研部\个人文件夹\冯冬凤\王晶\"/>
    </mc:Choice>
  </mc:AlternateContent>
  <xr:revisionPtr revIDLastSave="0" documentId="13_ncr:1_{430F1044-2CD2-41DB-8995-09516E4A4C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上机信息表" sheetId="3" r:id="rId1"/>
    <sheet name="pooling详情" sheetId="2" r:id="rId2"/>
    <sheet name="IDseq-上机流程监控表" sheetId="4" r:id="rId3"/>
    <sheet name="跟进表信息提取" sheetId="5" r:id="rId4"/>
    <sheet name="建库流程" sheetId="6" r:id="rId5"/>
    <sheet name="DNA片段大小" sheetId="7" r:id="rId6"/>
    <sheet name="RNA片段大小" sheetId="8" r:id="rId7"/>
  </sheets>
  <externalReferences>
    <externalReference r:id="rId8"/>
    <externalReference r:id="rId9"/>
  </externalReferences>
  <definedNames>
    <definedName name="_xlnm._FilterDatabase" localSheetId="1" hidden="1">pooling详情!$A$2:$AE$62</definedName>
    <definedName name="MixA">CONCATENATE([1]非血建库!$C$7&amp;[1]非血建库!$E$7,",",[1]非血建库!$I$6&amp;[1]非血建库!$M$6,",",[1]非血建库!$C$8&amp;[1]非血建库!$E$8,",")</definedName>
    <definedName name="MixC">CONCATENATE([2]非血建库!$I$7&amp;[2]非血建库!$M$7,",",[2]非血建库!$I$6&amp;[2]非血建库!$M$6,",",[2]非血建库!$C$9&amp;[2]非血建库!$E$9,",",[2]非血建库!$I$8&amp;[2]非血建库!$M$8,",")</definedName>
  </definedNames>
  <calcPr calcId="191029"/>
</workbook>
</file>

<file path=xl/calcChain.xml><?xml version="1.0" encoding="utf-8"?>
<calcChain xmlns="http://schemas.openxmlformats.org/spreadsheetml/2006/main">
  <c r="AC101" i="5" l="1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I101" i="5"/>
  <c r="H101" i="5"/>
  <c r="G101" i="5"/>
  <c r="F101" i="5"/>
  <c r="E101" i="5"/>
  <c r="D101" i="5"/>
  <c r="C101" i="5"/>
  <c r="B101" i="5"/>
  <c r="A101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I100" i="5"/>
  <c r="H100" i="5"/>
  <c r="G100" i="5"/>
  <c r="F100" i="5"/>
  <c r="E100" i="5"/>
  <c r="D100" i="5"/>
  <c r="C100" i="5"/>
  <c r="B100" i="5"/>
  <c r="A100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I99" i="5"/>
  <c r="H99" i="5"/>
  <c r="G99" i="5"/>
  <c r="F99" i="5"/>
  <c r="E99" i="5"/>
  <c r="D99" i="5"/>
  <c r="C99" i="5"/>
  <c r="B99" i="5"/>
  <c r="A99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I98" i="5"/>
  <c r="H98" i="5"/>
  <c r="G98" i="5"/>
  <c r="F98" i="5"/>
  <c r="E98" i="5"/>
  <c r="D98" i="5"/>
  <c r="C98" i="5"/>
  <c r="B98" i="5"/>
  <c r="A98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I97" i="5"/>
  <c r="H97" i="5"/>
  <c r="G97" i="5"/>
  <c r="F97" i="5"/>
  <c r="E97" i="5"/>
  <c r="D97" i="5"/>
  <c r="C97" i="5"/>
  <c r="B97" i="5"/>
  <c r="A97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I96" i="5"/>
  <c r="H96" i="5"/>
  <c r="G96" i="5"/>
  <c r="F96" i="5"/>
  <c r="E96" i="5"/>
  <c r="D96" i="5"/>
  <c r="C96" i="5"/>
  <c r="B96" i="5"/>
  <c r="A96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I95" i="5"/>
  <c r="H95" i="5"/>
  <c r="G95" i="5"/>
  <c r="F95" i="5"/>
  <c r="E95" i="5"/>
  <c r="D95" i="5"/>
  <c r="C95" i="5"/>
  <c r="B95" i="5"/>
  <c r="A95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I94" i="5"/>
  <c r="H94" i="5"/>
  <c r="G94" i="5"/>
  <c r="F94" i="5"/>
  <c r="E94" i="5"/>
  <c r="D94" i="5"/>
  <c r="C94" i="5"/>
  <c r="B94" i="5"/>
  <c r="A94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I93" i="5"/>
  <c r="H93" i="5"/>
  <c r="G93" i="5"/>
  <c r="F93" i="5"/>
  <c r="E93" i="5"/>
  <c r="D93" i="5"/>
  <c r="C93" i="5"/>
  <c r="B93" i="5"/>
  <c r="A93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I92" i="5"/>
  <c r="H92" i="5"/>
  <c r="G92" i="5"/>
  <c r="F92" i="5"/>
  <c r="E92" i="5"/>
  <c r="D92" i="5"/>
  <c r="C92" i="5"/>
  <c r="B92" i="5"/>
  <c r="A92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I91" i="5"/>
  <c r="H91" i="5"/>
  <c r="G91" i="5"/>
  <c r="F91" i="5"/>
  <c r="E91" i="5"/>
  <c r="D91" i="5"/>
  <c r="C91" i="5"/>
  <c r="B91" i="5"/>
  <c r="A91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I90" i="5"/>
  <c r="H90" i="5"/>
  <c r="G90" i="5"/>
  <c r="F90" i="5"/>
  <c r="E90" i="5"/>
  <c r="D90" i="5"/>
  <c r="C90" i="5"/>
  <c r="B90" i="5"/>
  <c r="A90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I89" i="5"/>
  <c r="H89" i="5"/>
  <c r="G89" i="5"/>
  <c r="F89" i="5"/>
  <c r="E89" i="5"/>
  <c r="D89" i="5"/>
  <c r="C89" i="5"/>
  <c r="B89" i="5"/>
  <c r="A89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I88" i="5"/>
  <c r="H88" i="5"/>
  <c r="G88" i="5"/>
  <c r="F88" i="5"/>
  <c r="E88" i="5"/>
  <c r="D88" i="5"/>
  <c r="C88" i="5"/>
  <c r="B88" i="5"/>
  <c r="A88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I87" i="5"/>
  <c r="H87" i="5"/>
  <c r="G87" i="5"/>
  <c r="F87" i="5"/>
  <c r="E87" i="5"/>
  <c r="D87" i="5"/>
  <c r="C87" i="5"/>
  <c r="B87" i="5"/>
  <c r="A87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I86" i="5"/>
  <c r="H86" i="5"/>
  <c r="G86" i="5"/>
  <c r="F86" i="5"/>
  <c r="E86" i="5"/>
  <c r="D86" i="5"/>
  <c r="C86" i="5"/>
  <c r="B86" i="5"/>
  <c r="A86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I85" i="5"/>
  <c r="H85" i="5"/>
  <c r="G85" i="5"/>
  <c r="F85" i="5"/>
  <c r="E85" i="5"/>
  <c r="D85" i="5"/>
  <c r="C85" i="5"/>
  <c r="B85" i="5"/>
  <c r="A85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I84" i="5"/>
  <c r="H84" i="5"/>
  <c r="G84" i="5"/>
  <c r="F84" i="5"/>
  <c r="E84" i="5"/>
  <c r="D84" i="5"/>
  <c r="C84" i="5"/>
  <c r="B84" i="5"/>
  <c r="A84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I83" i="5"/>
  <c r="H83" i="5"/>
  <c r="G83" i="5"/>
  <c r="F83" i="5"/>
  <c r="E83" i="5"/>
  <c r="D83" i="5"/>
  <c r="C83" i="5"/>
  <c r="B83" i="5"/>
  <c r="A83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I82" i="5"/>
  <c r="H82" i="5"/>
  <c r="G82" i="5"/>
  <c r="F82" i="5"/>
  <c r="E82" i="5"/>
  <c r="D82" i="5"/>
  <c r="C82" i="5"/>
  <c r="B82" i="5"/>
  <c r="A82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I81" i="5"/>
  <c r="H81" i="5"/>
  <c r="G81" i="5"/>
  <c r="F81" i="5"/>
  <c r="E81" i="5"/>
  <c r="D81" i="5"/>
  <c r="C81" i="5"/>
  <c r="B81" i="5"/>
  <c r="A81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I80" i="5"/>
  <c r="H80" i="5"/>
  <c r="G80" i="5"/>
  <c r="F80" i="5"/>
  <c r="E80" i="5"/>
  <c r="D80" i="5"/>
  <c r="C80" i="5"/>
  <c r="B80" i="5"/>
  <c r="A80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I79" i="5"/>
  <c r="H79" i="5"/>
  <c r="G79" i="5"/>
  <c r="F79" i="5"/>
  <c r="E79" i="5"/>
  <c r="D79" i="5"/>
  <c r="C79" i="5"/>
  <c r="B79" i="5"/>
  <c r="A79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I78" i="5"/>
  <c r="H78" i="5"/>
  <c r="G78" i="5"/>
  <c r="F78" i="5"/>
  <c r="E78" i="5"/>
  <c r="D78" i="5"/>
  <c r="C78" i="5"/>
  <c r="B78" i="5"/>
  <c r="A78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I77" i="5"/>
  <c r="H77" i="5"/>
  <c r="G77" i="5"/>
  <c r="F77" i="5"/>
  <c r="E77" i="5"/>
  <c r="D77" i="5"/>
  <c r="C77" i="5"/>
  <c r="B77" i="5"/>
  <c r="A77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I76" i="5"/>
  <c r="H76" i="5"/>
  <c r="G76" i="5"/>
  <c r="F76" i="5"/>
  <c r="E76" i="5"/>
  <c r="D76" i="5"/>
  <c r="C76" i="5"/>
  <c r="B76" i="5"/>
  <c r="A76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I75" i="5"/>
  <c r="H75" i="5"/>
  <c r="G75" i="5"/>
  <c r="F75" i="5"/>
  <c r="E75" i="5"/>
  <c r="D75" i="5"/>
  <c r="C75" i="5"/>
  <c r="B75" i="5"/>
  <c r="A75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I74" i="5"/>
  <c r="H74" i="5"/>
  <c r="G74" i="5"/>
  <c r="F74" i="5"/>
  <c r="E74" i="5"/>
  <c r="D74" i="5"/>
  <c r="C74" i="5"/>
  <c r="B74" i="5"/>
  <c r="A74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I73" i="5"/>
  <c r="H73" i="5"/>
  <c r="G73" i="5"/>
  <c r="F73" i="5"/>
  <c r="E73" i="5"/>
  <c r="D73" i="5"/>
  <c r="C73" i="5"/>
  <c r="B73" i="5"/>
  <c r="A73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I72" i="5"/>
  <c r="H72" i="5"/>
  <c r="G72" i="5"/>
  <c r="F72" i="5"/>
  <c r="E72" i="5"/>
  <c r="D72" i="5"/>
  <c r="C72" i="5"/>
  <c r="B72" i="5"/>
  <c r="A72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I71" i="5"/>
  <c r="H71" i="5"/>
  <c r="G71" i="5"/>
  <c r="F71" i="5"/>
  <c r="E71" i="5"/>
  <c r="D71" i="5"/>
  <c r="C71" i="5"/>
  <c r="B71" i="5"/>
  <c r="A71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I70" i="5"/>
  <c r="H70" i="5"/>
  <c r="G70" i="5"/>
  <c r="F70" i="5"/>
  <c r="E70" i="5"/>
  <c r="D70" i="5"/>
  <c r="C70" i="5"/>
  <c r="B70" i="5"/>
  <c r="A70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I69" i="5"/>
  <c r="H69" i="5"/>
  <c r="G69" i="5"/>
  <c r="F69" i="5"/>
  <c r="E69" i="5"/>
  <c r="D69" i="5"/>
  <c r="C69" i="5"/>
  <c r="B69" i="5"/>
  <c r="A69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I68" i="5"/>
  <c r="H68" i="5"/>
  <c r="G68" i="5"/>
  <c r="F68" i="5"/>
  <c r="E68" i="5"/>
  <c r="D68" i="5"/>
  <c r="C68" i="5"/>
  <c r="B68" i="5"/>
  <c r="A68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I67" i="5"/>
  <c r="H67" i="5"/>
  <c r="G67" i="5"/>
  <c r="F67" i="5"/>
  <c r="E67" i="5"/>
  <c r="D67" i="5"/>
  <c r="C67" i="5"/>
  <c r="B67" i="5"/>
  <c r="A67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I66" i="5"/>
  <c r="H66" i="5"/>
  <c r="G66" i="5"/>
  <c r="F66" i="5"/>
  <c r="E66" i="5"/>
  <c r="D66" i="5"/>
  <c r="C66" i="5"/>
  <c r="B66" i="5"/>
  <c r="A66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I65" i="5"/>
  <c r="H65" i="5"/>
  <c r="G65" i="5"/>
  <c r="F65" i="5"/>
  <c r="E65" i="5"/>
  <c r="D65" i="5"/>
  <c r="C65" i="5"/>
  <c r="B65" i="5"/>
  <c r="A65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I64" i="5"/>
  <c r="H64" i="5"/>
  <c r="G64" i="5"/>
  <c r="F64" i="5"/>
  <c r="E64" i="5"/>
  <c r="D64" i="5"/>
  <c r="C64" i="5"/>
  <c r="B64" i="5"/>
  <c r="A64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I63" i="5"/>
  <c r="H63" i="5"/>
  <c r="G63" i="5"/>
  <c r="F63" i="5"/>
  <c r="E63" i="5"/>
  <c r="D63" i="5"/>
  <c r="C63" i="5"/>
  <c r="B63" i="5"/>
  <c r="A63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I62" i="5"/>
  <c r="H62" i="5"/>
  <c r="G62" i="5"/>
  <c r="F62" i="5"/>
  <c r="E62" i="5"/>
  <c r="D62" i="5"/>
  <c r="C62" i="5"/>
  <c r="B62" i="5"/>
  <c r="A62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I61" i="5"/>
  <c r="H61" i="5"/>
  <c r="G61" i="5"/>
  <c r="F61" i="5"/>
  <c r="E61" i="5"/>
  <c r="D61" i="5"/>
  <c r="C61" i="5"/>
  <c r="B61" i="5"/>
  <c r="A61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I60" i="5"/>
  <c r="H60" i="5"/>
  <c r="G60" i="5"/>
  <c r="F60" i="5"/>
  <c r="E60" i="5"/>
  <c r="D60" i="5"/>
  <c r="C60" i="5"/>
  <c r="B60" i="5"/>
  <c r="A60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I59" i="5"/>
  <c r="H59" i="5"/>
  <c r="G59" i="5"/>
  <c r="F59" i="5"/>
  <c r="E59" i="5"/>
  <c r="D59" i="5"/>
  <c r="C59" i="5"/>
  <c r="B59" i="5"/>
  <c r="A59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I58" i="5"/>
  <c r="H58" i="5"/>
  <c r="G58" i="5"/>
  <c r="F58" i="5"/>
  <c r="E58" i="5"/>
  <c r="D58" i="5"/>
  <c r="C58" i="5"/>
  <c r="B58" i="5"/>
  <c r="A58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I57" i="5"/>
  <c r="H57" i="5"/>
  <c r="G57" i="5"/>
  <c r="F57" i="5"/>
  <c r="E57" i="5"/>
  <c r="D57" i="5"/>
  <c r="C57" i="5"/>
  <c r="B57" i="5"/>
  <c r="A57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I56" i="5"/>
  <c r="H56" i="5"/>
  <c r="G56" i="5"/>
  <c r="F56" i="5"/>
  <c r="E56" i="5"/>
  <c r="D56" i="5"/>
  <c r="C56" i="5"/>
  <c r="B56" i="5"/>
  <c r="A56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I55" i="5"/>
  <c r="H55" i="5"/>
  <c r="G55" i="5"/>
  <c r="F55" i="5"/>
  <c r="E55" i="5"/>
  <c r="D55" i="5"/>
  <c r="C55" i="5"/>
  <c r="B55" i="5"/>
  <c r="A55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I54" i="5"/>
  <c r="H54" i="5"/>
  <c r="G54" i="5"/>
  <c r="F54" i="5"/>
  <c r="E54" i="5"/>
  <c r="D54" i="5"/>
  <c r="C54" i="5"/>
  <c r="B54" i="5"/>
  <c r="A54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I53" i="5"/>
  <c r="H53" i="5"/>
  <c r="G53" i="5"/>
  <c r="F53" i="5"/>
  <c r="E53" i="5"/>
  <c r="D53" i="5"/>
  <c r="C53" i="5"/>
  <c r="B53" i="5"/>
  <c r="A53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I52" i="5"/>
  <c r="H52" i="5"/>
  <c r="G52" i="5"/>
  <c r="F52" i="5"/>
  <c r="E52" i="5"/>
  <c r="D52" i="5"/>
  <c r="C52" i="5"/>
  <c r="B52" i="5"/>
  <c r="A52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I51" i="5"/>
  <c r="H51" i="5"/>
  <c r="G51" i="5"/>
  <c r="F51" i="5"/>
  <c r="E51" i="5"/>
  <c r="D51" i="5"/>
  <c r="C51" i="5"/>
  <c r="B51" i="5"/>
  <c r="A51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I50" i="5"/>
  <c r="H50" i="5"/>
  <c r="G50" i="5"/>
  <c r="F50" i="5"/>
  <c r="E50" i="5"/>
  <c r="D50" i="5"/>
  <c r="C50" i="5"/>
  <c r="B50" i="5"/>
  <c r="A50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I49" i="5"/>
  <c r="H49" i="5"/>
  <c r="G49" i="5"/>
  <c r="F49" i="5"/>
  <c r="E49" i="5"/>
  <c r="D49" i="5"/>
  <c r="C49" i="5"/>
  <c r="B49" i="5"/>
  <c r="A49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I48" i="5"/>
  <c r="H48" i="5"/>
  <c r="G48" i="5"/>
  <c r="F48" i="5"/>
  <c r="E48" i="5"/>
  <c r="D48" i="5"/>
  <c r="C48" i="5"/>
  <c r="B48" i="5"/>
  <c r="A48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I47" i="5"/>
  <c r="H47" i="5"/>
  <c r="G47" i="5"/>
  <c r="F47" i="5"/>
  <c r="E47" i="5"/>
  <c r="D47" i="5"/>
  <c r="C47" i="5"/>
  <c r="B47" i="5"/>
  <c r="A47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I46" i="5"/>
  <c r="H46" i="5"/>
  <c r="G46" i="5"/>
  <c r="F46" i="5"/>
  <c r="E46" i="5"/>
  <c r="D46" i="5"/>
  <c r="C46" i="5"/>
  <c r="B46" i="5"/>
  <c r="A46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I45" i="5"/>
  <c r="H45" i="5"/>
  <c r="G45" i="5"/>
  <c r="F45" i="5"/>
  <c r="E45" i="5"/>
  <c r="D45" i="5"/>
  <c r="C45" i="5"/>
  <c r="B45" i="5"/>
  <c r="A45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I44" i="5"/>
  <c r="H44" i="5"/>
  <c r="G44" i="5"/>
  <c r="F44" i="5"/>
  <c r="E44" i="5"/>
  <c r="D44" i="5"/>
  <c r="C44" i="5"/>
  <c r="B44" i="5"/>
  <c r="A44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I43" i="5"/>
  <c r="H43" i="5"/>
  <c r="G43" i="5"/>
  <c r="F43" i="5"/>
  <c r="E43" i="5"/>
  <c r="D43" i="5"/>
  <c r="C43" i="5"/>
  <c r="B43" i="5"/>
  <c r="A43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I42" i="5"/>
  <c r="H42" i="5"/>
  <c r="G42" i="5"/>
  <c r="F42" i="5"/>
  <c r="E42" i="5"/>
  <c r="D42" i="5"/>
  <c r="C42" i="5"/>
  <c r="B42" i="5"/>
  <c r="A42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I41" i="5"/>
  <c r="H41" i="5"/>
  <c r="G41" i="5"/>
  <c r="F41" i="5"/>
  <c r="E41" i="5"/>
  <c r="D41" i="5"/>
  <c r="C41" i="5"/>
  <c r="B41" i="5"/>
  <c r="A41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I40" i="5"/>
  <c r="H40" i="5"/>
  <c r="G40" i="5"/>
  <c r="F40" i="5"/>
  <c r="E40" i="5"/>
  <c r="D40" i="5"/>
  <c r="C40" i="5"/>
  <c r="B40" i="5"/>
  <c r="A40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I39" i="5"/>
  <c r="H39" i="5"/>
  <c r="G39" i="5"/>
  <c r="F39" i="5"/>
  <c r="E39" i="5"/>
  <c r="D39" i="5"/>
  <c r="C39" i="5"/>
  <c r="B39" i="5"/>
  <c r="A39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I38" i="5"/>
  <c r="H38" i="5"/>
  <c r="G38" i="5"/>
  <c r="F38" i="5"/>
  <c r="E38" i="5"/>
  <c r="D38" i="5"/>
  <c r="C38" i="5"/>
  <c r="B38" i="5"/>
  <c r="A38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I37" i="5"/>
  <c r="H37" i="5"/>
  <c r="G37" i="5"/>
  <c r="F37" i="5"/>
  <c r="E37" i="5"/>
  <c r="D37" i="5"/>
  <c r="C37" i="5"/>
  <c r="B37" i="5"/>
  <c r="A37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I36" i="5"/>
  <c r="H36" i="5"/>
  <c r="G36" i="5"/>
  <c r="F36" i="5"/>
  <c r="E36" i="5"/>
  <c r="D36" i="5"/>
  <c r="C36" i="5"/>
  <c r="B36" i="5"/>
  <c r="A36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I35" i="5"/>
  <c r="H35" i="5"/>
  <c r="G35" i="5"/>
  <c r="F35" i="5"/>
  <c r="E35" i="5"/>
  <c r="D35" i="5"/>
  <c r="C35" i="5"/>
  <c r="B35" i="5"/>
  <c r="A35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I34" i="5"/>
  <c r="H34" i="5"/>
  <c r="G34" i="5"/>
  <c r="F34" i="5"/>
  <c r="E34" i="5"/>
  <c r="D34" i="5"/>
  <c r="C34" i="5"/>
  <c r="B34" i="5"/>
  <c r="A34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I33" i="5"/>
  <c r="H33" i="5"/>
  <c r="G33" i="5"/>
  <c r="F33" i="5"/>
  <c r="E33" i="5"/>
  <c r="D33" i="5"/>
  <c r="C33" i="5"/>
  <c r="B33" i="5"/>
  <c r="A33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I32" i="5"/>
  <c r="H32" i="5"/>
  <c r="G32" i="5"/>
  <c r="F32" i="5"/>
  <c r="E32" i="5"/>
  <c r="D32" i="5"/>
  <c r="C32" i="5"/>
  <c r="B32" i="5"/>
  <c r="A32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I31" i="5"/>
  <c r="H31" i="5"/>
  <c r="G31" i="5"/>
  <c r="F31" i="5"/>
  <c r="E31" i="5"/>
  <c r="D31" i="5"/>
  <c r="C31" i="5"/>
  <c r="B31" i="5"/>
  <c r="A31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I30" i="5"/>
  <c r="H30" i="5"/>
  <c r="G30" i="5"/>
  <c r="F30" i="5"/>
  <c r="E30" i="5"/>
  <c r="D30" i="5"/>
  <c r="C30" i="5"/>
  <c r="B30" i="5"/>
  <c r="A30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I29" i="5"/>
  <c r="H29" i="5"/>
  <c r="G29" i="5"/>
  <c r="F29" i="5"/>
  <c r="E29" i="5"/>
  <c r="D29" i="5"/>
  <c r="C29" i="5"/>
  <c r="B29" i="5"/>
  <c r="A29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I28" i="5"/>
  <c r="H28" i="5"/>
  <c r="G28" i="5"/>
  <c r="F28" i="5"/>
  <c r="E28" i="5"/>
  <c r="D28" i="5"/>
  <c r="C28" i="5"/>
  <c r="B28" i="5"/>
  <c r="A28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I27" i="5"/>
  <c r="H27" i="5"/>
  <c r="G27" i="5"/>
  <c r="F27" i="5"/>
  <c r="E27" i="5"/>
  <c r="D27" i="5"/>
  <c r="C27" i="5"/>
  <c r="B27" i="5"/>
  <c r="A27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I26" i="5"/>
  <c r="H26" i="5"/>
  <c r="G26" i="5"/>
  <c r="F26" i="5"/>
  <c r="E26" i="5"/>
  <c r="D26" i="5"/>
  <c r="C26" i="5"/>
  <c r="B26" i="5"/>
  <c r="A26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I25" i="5"/>
  <c r="H25" i="5"/>
  <c r="G25" i="5"/>
  <c r="F25" i="5"/>
  <c r="E25" i="5"/>
  <c r="D25" i="5"/>
  <c r="C25" i="5"/>
  <c r="B25" i="5"/>
  <c r="A25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I24" i="5"/>
  <c r="H24" i="5"/>
  <c r="G24" i="5"/>
  <c r="F24" i="5"/>
  <c r="E24" i="5"/>
  <c r="D24" i="5"/>
  <c r="C24" i="5"/>
  <c r="B24" i="5"/>
  <c r="A24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I23" i="5"/>
  <c r="H23" i="5"/>
  <c r="G23" i="5"/>
  <c r="F23" i="5"/>
  <c r="E23" i="5"/>
  <c r="D23" i="5"/>
  <c r="C23" i="5"/>
  <c r="B23" i="5"/>
  <c r="A23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I22" i="5"/>
  <c r="H22" i="5"/>
  <c r="G22" i="5"/>
  <c r="F22" i="5"/>
  <c r="E22" i="5"/>
  <c r="D22" i="5"/>
  <c r="C22" i="5"/>
  <c r="B22" i="5"/>
  <c r="A22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I21" i="5"/>
  <c r="H21" i="5"/>
  <c r="G21" i="5"/>
  <c r="F21" i="5"/>
  <c r="E21" i="5"/>
  <c r="D21" i="5"/>
  <c r="C21" i="5"/>
  <c r="B21" i="5"/>
  <c r="A21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I20" i="5"/>
  <c r="H20" i="5"/>
  <c r="G20" i="5"/>
  <c r="F20" i="5"/>
  <c r="E20" i="5"/>
  <c r="D20" i="5"/>
  <c r="C20" i="5"/>
  <c r="B20" i="5"/>
  <c r="A20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I19" i="5"/>
  <c r="H19" i="5"/>
  <c r="G19" i="5"/>
  <c r="F19" i="5"/>
  <c r="E19" i="5"/>
  <c r="D19" i="5"/>
  <c r="C19" i="5"/>
  <c r="B19" i="5"/>
  <c r="A19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I18" i="5"/>
  <c r="H18" i="5"/>
  <c r="G18" i="5"/>
  <c r="F18" i="5"/>
  <c r="E18" i="5"/>
  <c r="D18" i="5"/>
  <c r="C18" i="5"/>
  <c r="B18" i="5"/>
  <c r="A18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I17" i="5"/>
  <c r="H17" i="5"/>
  <c r="G17" i="5"/>
  <c r="F17" i="5"/>
  <c r="E17" i="5"/>
  <c r="D17" i="5"/>
  <c r="C17" i="5"/>
  <c r="B17" i="5"/>
  <c r="A17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I16" i="5"/>
  <c r="H16" i="5"/>
  <c r="G16" i="5"/>
  <c r="F16" i="5"/>
  <c r="E16" i="5"/>
  <c r="D16" i="5"/>
  <c r="C16" i="5"/>
  <c r="B16" i="5"/>
  <c r="A16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I15" i="5"/>
  <c r="H15" i="5"/>
  <c r="G15" i="5"/>
  <c r="F15" i="5"/>
  <c r="E15" i="5"/>
  <c r="D15" i="5"/>
  <c r="C15" i="5"/>
  <c r="B15" i="5"/>
  <c r="A15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I14" i="5"/>
  <c r="H14" i="5"/>
  <c r="G14" i="5"/>
  <c r="F14" i="5"/>
  <c r="E14" i="5"/>
  <c r="D14" i="5"/>
  <c r="C14" i="5"/>
  <c r="B14" i="5"/>
  <c r="A14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I13" i="5"/>
  <c r="H13" i="5"/>
  <c r="G13" i="5"/>
  <c r="F13" i="5"/>
  <c r="E13" i="5"/>
  <c r="D13" i="5"/>
  <c r="C13" i="5"/>
  <c r="B13" i="5"/>
  <c r="A13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I12" i="5"/>
  <c r="H12" i="5"/>
  <c r="G12" i="5"/>
  <c r="F12" i="5"/>
  <c r="E12" i="5"/>
  <c r="D12" i="5"/>
  <c r="C12" i="5"/>
  <c r="B12" i="5"/>
  <c r="A12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I11" i="5"/>
  <c r="H11" i="5"/>
  <c r="G11" i="5"/>
  <c r="F11" i="5"/>
  <c r="E11" i="5"/>
  <c r="D11" i="5"/>
  <c r="C11" i="5"/>
  <c r="B11" i="5"/>
  <c r="A11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I10" i="5"/>
  <c r="H10" i="5"/>
  <c r="G10" i="5"/>
  <c r="F10" i="5"/>
  <c r="E10" i="5"/>
  <c r="D10" i="5"/>
  <c r="C10" i="5"/>
  <c r="B10" i="5"/>
  <c r="A10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I9" i="5"/>
  <c r="H9" i="5"/>
  <c r="G9" i="5"/>
  <c r="F9" i="5"/>
  <c r="E9" i="5"/>
  <c r="D9" i="5"/>
  <c r="C9" i="5"/>
  <c r="B9" i="5"/>
  <c r="A9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I8" i="5"/>
  <c r="H8" i="5"/>
  <c r="G8" i="5"/>
  <c r="F8" i="5"/>
  <c r="E8" i="5"/>
  <c r="D8" i="5"/>
  <c r="C8" i="5"/>
  <c r="B8" i="5"/>
  <c r="A8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I7" i="5"/>
  <c r="H7" i="5"/>
  <c r="G7" i="5"/>
  <c r="F7" i="5"/>
  <c r="E7" i="5"/>
  <c r="D7" i="5"/>
  <c r="C7" i="5"/>
  <c r="B7" i="5"/>
  <c r="A7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I6" i="5"/>
  <c r="H6" i="5"/>
  <c r="G6" i="5"/>
  <c r="F6" i="5"/>
  <c r="E6" i="5"/>
  <c r="D6" i="5"/>
  <c r="C6" i="5"/>
  <c r="B6" i="5"/>
  <c r="A6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I5" i="5"/>
  <c r="H5" i="5"/>
  <c r="G5" i="5"/>
  <c r="F5" i="5"/>
  <c r="E5" i="5"/>
  <c r="D5" i="5"/>
  <c r="C5" i="5"/>
  <c r="B5" i="5"/>
  <c r="A5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I4" i="5"/>
  <c r="H4" i="5"/>
  <c r="G4" i="5"/>
  <c r="F4" i="5"/>
  <c r="E4" i="5"/>
  <c r="D4" i="5"/>
  <c r="C4" i="5"/>
  <c r="B4" i="5"/>
  <c r="A4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I3" i="5"/>
  <c r="H3" i="5"/>
  <c r="G3" i="5"/>
  <c r="F3" i="5"/>
  <c r="E3" i="5"/>
  <c r="D3" i="5"/>
  <c r="C3" i="5"/>
  <c r="B3" i="5"/>
  <c r="A3" i="5"/>
  <c r="AC2" i="5"/>
  <c r="AB2" i="5"/>
  <c r="AA2" i="5"/>
  <c r="Z2" i="5"/>
  <c r="Y2" i="5"/>
  <c r="X2" i="5"/>
  <c r="V2" i="5"/>
  <c r="U2" i="5"/>
  <c r="T2" i="5"/>
  <c r="S2" i="5"/>
  <c r="R2" i="5"/>
  <c r="Q2" i="5"/>
  <c r="P2" i="5"/>
  <c r="O2" i="5"/>
  <c r="N2" i="5"/>
  <c r="M2" i="5"/>
  <c r="L2" i="5"/>
  <c r="K2" i="5"/>
  <c r="I2" i="5"/>
  <c r="H2" i="5"/>
  <c r="G2" i="5"/>
  <c r="F2" i="5"/>
  <c r="E2" i="5"/>
  <c r="D2" i="5"/>
  <c r="C2" i="5"/>
  <c r="B2" i="5"/>
  <c r="A2" i="5"/>
  <c r="E22" i="4"/>
  <c r="E21" i="4"/>
  <c r="B21" i="4"/>
  <c r="E20" i="4"/>
  <c r="E19" i="4"/>
  <c r="D19" i="4"/>
  <c r="E18" i="4"/>
  <c r="E17" i="4"/>
  <c r="D17" i="4"/>
  <c r="B17" i="4"/>
  <c r="E16" i="4"/>
  <c r="E15" i="4"/>
  <c r="D15" i="4"/>
  <c r="B15" i="4"/>
  <c r="A4" i="4"/>
  <c r="C81" i="2"/>
  <c r="C80" i="2"/>
  <c r="B80" i="2"/>
  <c r="C78" i="2"/>
  <c r="B78" i="2"/>
  <c r="C76" i="2"/>
  <c r="B76" i="2"/>
  <c r="F72" i="2"/>
  <c r="E72" i="2"/>
  <c r="C72" i="2"/>
  <c r="B72" i="2"/>
  <c r="L68" i="2"/>
  <c r="K66" i="2"/>
  <c r="J66" i="2" a="1"/>
  <c r="J66" i="2"/>
  <c r="I66" i="2"/>
  <c r="H66" i="2"/>
  <c r="F66" i="2" a="1"/>
  <c r="F66" i="2"/>
  <c r="B66" i="2"/>
  <c r="AE62" i="2"/>
  <c r="AD62" i="2"/>
  <c r="AC62" i="2"/>
  <c r="AB62" i="2"/>
  <c r="AA62" i="2"/>
  <c r="N62" i="2"/>
  <c r="M62" i="2"/>
  <c r="L62" i="2"/>
  <c r="K62" i="2"/>
  <c r="J62" i="2"/>
  <c r="I62" i="2"/>
  <c r="H62" i="2"/>
  <c r="G62" i="2"/>
  <c r="F62" i="2"/>
  <c r="D62" i="2"/>
  <c r="C62" i="2"/>
  <c r="B62" i="2"/>
  <c r="A62" i="2"/>
  <c r="AE61" i="2"/>
  <c r="AD61" i="2"/>
  <c r="AC61" i="2"/>
  <c r="AB61" i="2"/>
  <c r="AA61" i="2"/>
  <c r="N61" i="2"/>
  <c r="M61" i="2"/>
  <c r="L61" i="2"/>
  <c r="K61" i="2"/>
  <c r="J61" i="2"/>
  <c r="I61" i="2"/>
  <c r="H61" i="2"/>
  <c r="G61" i="2"/>
  <c r="F61" i="2"/>
  <c r="D61" i="2"/>
  <c r="C61" i="2"/>
  <c r="B61" i="2"/>
  <c r="A61" i="2"/>
  <c r="AE60" i="2"/>
  <c r="AD60" i="2"/>
  <c r="AC60" i="2"/>
  <c r="AB60" i="2"/>
  <c r="AA60" i="2"/>
  <c r="N60" i="2"/>
  <c r="M60" i="2"/>
  <c r="L60" i="2"/>
  <c r="K60" i="2"/>
  <c r="J60" i="2"/>
  <c r="I60" i="2"/>
  <c r="H60" i="2"/>
  <c r="G60" i="2"/>
  <c r="F60" i="2"/>
  <c r="D60" i="2"/>
  <c r="C60" i="2"/>
  <c r="B60" i="2"/>
  <c r="A60" i="2"/>
  <c r="AE59" i="2"/>
  <c r="AD59" i="2"/>
  <c r="AC59" i="2"/>
  <c r="AB59" i="2"/>
  <c r="AA59" i="2"/>
  <c r="N59" i="2"/>
  <c r="M59" i="2"/>
  <c r="L59" i="2"/>
  <c r="K59" i="2"/>
  <c r="J59" i="2"/>
  <c r="I59" i="2"/>
  <c r="H59" i="2"/>
  <c r="G59" i="2"/>
  <c r="F59" i="2"/>
  <c r="D59" i="2"/>
  <c r="C59" i="2"/>
  <c r="B59" i="2"/>
  <c r="A59" i="2"/>
  <c r="AE58" i="2"/>
  <c r="AD58" i="2"/>
  <c r="AC58" i="2"/>
  <c r="AB58" i="2"/>
  <c r="AA58" i="2"/>
  <c r="N58" i="2"/>
  <c r="M58" i="2"/>
  <c r="L58" i="2"/>
  <c r="K58" i="2"/>
  <c r="J58" i="2"/>
  <c r="I58" i="2"/>
  <c r="H58" i="2"/>
  <c r="G58" i="2"/>
  <c r="F58" i="2"/>
  <c r="D58" i="2"/>
  <c r="C58" i="2"/>
  <c r="B58" i="2"/>
  <c r="A58" i="2"/>
  <c r="AE57" i="2"/>
  <c r="AD57" i="2"/>
  <c r="AC57" i="2"/>
  <c r="AB57" i="2"/>
  <c r="AA57" i="2"/>
  <c r="N57" i="2"/>
  <c r="M57" i="2"/>
  <c r="L57" i="2"/>
  <c r="K57" i="2"/>
  <c r="J57" i="2"/>
  <c r="I57" i="2"/>
  <c r="H57" i="2"/>
  <c r="G57" i="2"/>
  <c r="F57" i="2"/>
  <c r="D57" i="2"/>
  <c r="C57" i="2"/>
  <c r="B57" i="2"/>
  <c r="A57" i="2"/>
  <c r="AE56" i="2"/>
  <c r="AD56" i="2"/>
  <c r="AC56" i="2"/>
  <c r="AB56" i="2"/>
  <c r="AA56" i="2"/>
  <c r="N56" i="2"/>
  <c r="M56" i="2"/>
  <c r="L56" i="2"/>
  <c r="K56" i="2"/>
  <c r="J56" i="2"/>
  <c r="I56" i="2"/>
  <c r="H56" i="2"/>
  <c r="G56" i="2"/>
  <c r="F56" i="2"/>
  <c r="D56" i="2"/>
  <c r="C56" i="2"/>
  <c r="B56" i="2"/>
  <c r="A56" i="2"/>
  <c r="AE55" i="2"/>
  <c r="AD55" i="2"/>
  <c r="AC55" i="2"/>
  <c r="AB55" i="2"/>
  <c r="AA55" i="2"/>
  <c r="N55" i="2"/>
  <c r="M55" i="2"/>
  <c r="L55" i="2"/>
  <c r="K55" i="2"/>
  <c r="J55" i="2"/>
  <c r="I55" i="2"/>
  <c r="H55" i="2"/>
  <c r="G55" i="2"/>
  <c r="F55" i="2"/>
  <c r="D55" i="2"/>
  <c r="C55" i="2"/>
  <c r="B55" i="2"/>
  <c r="A55" i="2"/>
  <c r="AE54" i="2"/>
  <c r="AD54" i="2"/>
  <c r="AC54" i="2"/>
  <c r="AB54" i="2"/>
  <c r="AA54" i="2"/>
  <c r="N54" i="2"/>
  <c r="M54" i="2"/>
  <c r="L54" i="2"/>
  <c r="K54" i="2"/>
  <c r="J54" i="2"/>
  <c r="I54" i="2"/>
  <c r="H54" i="2"/>
  <c r="G54" i="2"/>
  <c r="F54" i="2"/>
  <c r="D54" i="2"/>
  <c r="C54" i="2"/>
  <c r="B54" i="2"/>
  <c r="A54" i="2"/>
  <c r="AE53" i="2"/>
  <c r="AD53" i="2"/>
  <c r="AC53" i="2"/>
  <c r="AB53" i="2"/>
  <c r="AA53" i="2"/>
  <c r="N53" i="2"/>
  <c r="M53" i="2"/>
  <c r="L53" i="2"/>
  <c r="K53" i="2"/>
  <c r="J53" i="2"/>
  <c r="I53" i="2"/>
  <c r="H53" i="2"/>
  <c r="G53" i="2"/>
  <c r="F53" i="2"/>
  <c r="D53" i="2"/>
  <c r="C53" i="2"/>
  <c r="B53" i="2"/>
  <c r="A53" i="2"/>
  <c r="AE52" i="2"/>
  <c r="AD52" i="2"/>
  <c r="AC52" i="2"/>
  <c r="AB52" i="2"/>
  <c r="AA52" i="2"/>
  <c r="N52" i="2"/>
  <c r="M52" i="2"/>
  <c r="L52" i="2"/>
  <c r="K52" i="2"/>
  <c r="J52" i="2"/>
  <c r="I52" i="2"/>
  <c r="H52" i="2"/>
  <c r="G52" i="2"/>
  <c r="F52" i="2"/>
  <c r="D52" i="2"/>
  <c r="C52" i="2"/>
  <c r="B52" i="2"/>
  <c r="A52" i="2"/>
  <c r="AE51" i="2"/>
  <c r="AD51" i="2"/>
  <c r="AC51" i="2"/>
  <c r="AB51" i="2"/>
  <c r="AA51" i="2"/>
  <c r="N51" i="2"/>
  <c r="M51" i="2"/>
  <c r="L51" i="2"/>
  <c r="K51" i="2"/>
  <c r="J51" i="2"/>
  <c r="I51" i="2"/>
  <c r="H51" i="2"/>
  <c r="G51" i="2"/>
  <c r="F51" i="2"/>
  <c r="D51" i="2"/>
  <c r="C51" i="2"/>
  <c r="B51" i="2"/>
  <c r="A51" i="2"/>
  <c r="AE50" i="2"/>
  <c r="AD50" i="2"/>
  <c r="AC50" i="2"/>
  <c r="AB50" i="2"/>
  <c r="AA50" i="2"/>
  <c r="N50" i="2"/>
  <c r="M50" i="2"/>
  <c r="L50" i="2"/>
  <c r="K50" i="2"/>
  <c r="J50" i="2"/>
  <c r="I50" i="2"/>
  <c r="H50" i="2"/>
  <c r="G50" i="2"/>
  <c r="F50" i="2"/>
  <c r="D50" i="2"/>
  <c r="C50" i="2"/>
  <c r="B50" i="2"/>
  <c r="A50" i="2"/>
  <c r="AE49" i="2"/>
  <c r="AD49" i="2"/>
  <c r="AC49" i="2"/>
  <c r="AB49" i="2"/>
  <c r="AA49" i="2"/>
  <c r="N49" i="2"/>
  <c r="M49" i="2"/>
  <c r="L49" i="2"/>
  <c r="K49" i="2"/>
  <c r="J49" i="2"/>
  <c r="I49" i="2"/>
  <c r="H49" i="2"/>
  <c r="G49" i="2"/>
  <c r="F49" i="2"/>
  <c r="D49" i="2"/>
  <c r="C49" i="2"/>
  <c r="B49" i="2"/>
  <c r="A49" i="2"/>
  <c r="AE48" i="2"/>
  <c r="AD48" i="2"/>
  <c r="AC48" i="2"/>
  <c r="AB48" i="2"/>
  <c r="AA48" i="2"/>
  <c r="N48" i="2"/>
  <c r="M48" i="2"/>
  <c r="L48" i="2"/>
  <c r="K48" i="2"/>
  <c r="J48" i="2"/>
  <c r="I48" i="2"/>
  <c r="H48" i="2"/>
  <c r="G48" i="2"/>
  <c r="F48" i="2"/>
  <c r="D48" i="2"/>
  <c r="C48" i="2"/>
  <c r="B48" i="2"/>
  <c r="A48" i="2"/>
  <c r="AE47" i="2"/>
  <c r="AD47" i="2"/>
  <c r="AC47" i="2"/>
  <c r="AB47" i="2"/>
  <c r="AA47" i="2"/>
  <c r="N47" i="2"/>
  <c r="M47" i="2"/>
  <c r="L47" i="2"/>
  <c r="K47" i="2"/>
  <c r="J47" i="2"/>
  <c r="I47" i="2"/>
  <c r="H47" i="2"/>
  <c r="G47" i="2"/>
  <c r="F47" i="2"/>
  <c r="D47" i="2"/>
  <c r="C47" i="2"/>
  <c r="B47" i="2"/>
  <c r="A47" i="2"/>
  <c r="AE46" i="2"/>
  <c r="AD46" i="2"/>
  <c r="AC46" i="2"/>
  <c r="AB46" i="2"/>
  <c r="AA46" i="2"/>
  <c r="N46" i="2"/>
  <c r="M46" i="2"/>
  <c r="L46" i="2"/>
  <c r="K46" i="2"/>
  <c r="J46" i="2"/>
  <c r="I46" i="2"/>
  <c r="H46" i="2"/>
  <c r="G46" i="2"/>
  <c r="F46" i="2"/>
  <c r="D46" i="2"/>
  <c r="C46" i="2"/>
  <c r="B46" i="2"/>
  <c r="A46" i="2"/>
  <c r="AE45" i="2"/>
  <c r="AD45" i="2"/>
  <c r="AC45" i="2"/>
  <c r="AB45" i="2"/>
  <c r="AA45" i="2"/>
  <c r="N45" i="2"/>
  <c r="M45" i="2"/>
  <c r="L45" i="2"/>
  <c r="K45" i="2"/>
  <c r="J45" i="2"/>
  <c r="I45" i="2"/>
  <c r="H45" i="2"/>
  <c r="G45" i="2"/>
  <c r="F45" i="2"/>
  <c r="D45" i="2"/>
  <c r="C45" i="2"/>
  <c r="B45" i="2"/>
  <c r="A45" i="2"/>
  <c r="AE44" i="2"/>
  <c r="AD44" i="2"/>
  <c r="AC44" i="2"/>
  <c r="AB44" i="2"/>
  <c r="AA44" i="2"/>
  <c r="N44" i="2"/>
  <c r="M44" i="2"/>
  <c r="L44" i="2"/>
  <c r="K44" i="2"/>
  <c r="J44" i="2"/>
  <c r="I44" i="2"/>
  <c r="H44" i="2"/>
  <c r="G44" i="2"/>
  <c r="F44" i="2"/>
  <c r="D44" i="2"/>
  <c r="C44" i="2"/>
  <c r="B44" i="2"/>
  <c r="A44" i="2"/>
  <c r="AE43" i="2"/>
  <c r="AD43" i="2"/>
  <c r="AC43" i="2"/>
  <c r="AB43" i="2"/>
  <c r="AA43" i="2"/>
  <c r="N43" i="2"/>
  <c r="M43" i="2"/>
  <c r="L43" i="2"/>
  <c r="K43" i="2"/>
  <c r="J43" i="2"/>
  <c r="I43" i="2"/>
  <c r="H43" i="2"/>
  <c r="G43" i="2"/>
  <c r="F43" i="2"/>
  <c r="D43" i="2"/>
  <c r="C43" i="2"/>
  <c r="B43" i="2"/>
  <c r="A43" i="2"/>
  <c r="AE42" i="2"/>
  <c r="AD42" i="2"/>
  <c r="AC42" i="2"/>
  <c r="AB42" i="2"/>
  <c r="AA42" i="2"/>
  <c r="N42" i="2"/>
  <c r="M42" i="2"/>
  <c r="L42" i="2"/>
  <c r="K42" i="2"/>
  <c r="J42" i="2"/>
  <c r="I42" i="2"/>
  <c r="H42" i="2"/>
  <c r="G42" i="2"/>
  <c r="F42" i="2"/>
  <c r="D42" i="2"/>
  <c r="C42" i="2"/>
  <c r="B42" i="2"/>
  <c r="A42" i="2"/>
  <c r="AE41" i="2"/>
  <c r="AD41" i="2"/>
  <c r="AC41" i="2"/>
  <c r="AB41" i="2"/>
  <c r="AA41" i="2"/>
  <c r="N41" i="2"/>
  <c r="M41" i="2"/>
  <c r="L41" i="2"/>
  <c r="K41" i="2"/>
  <c r="J41" i="2"/>
  <c r="I41" i="2"/>
  <c r="H41" i="2"/>
  <c r="G41" i="2"/>
  <c r="F41" i="2"/>
  <c r="D41" i="2"/>
  <c r="C41" i="2"/>
  <c r="B41" i="2"/>
  <c r="A41" i="2"/>
  <c r="AE40" i="2"/>
  <c r="AD40" i="2"/>
  <c r="AC40" i="2"/>
  <c r="AB40" i="2"/>
  <c r="AA40" i="2"/>
  <c r="N40" i="2"/>
  <c r="M40" i="2"/>
  <c r="L40" i="2"/>
  <c r="K40" i="2"/>
  <c r="J40" i="2"/>
  <c r="I40" i="2"/>
  <c r="H40" i="2"/>
  <c r="G40" i="2"/>
  <c r="F40" i="2"/>
  <c r="D40" i="2"/>
  <c r="C40" i="2"/>
  <c r="B40" i="2"/>
  <c r="A40" i="2"/>
  <c r="AE39" i="2"/>
  <c r="AD39" i="2"/>
  <c r="AC39" i="2"/>
  <c r="AB39" i="2"/>
  <c r="AA39" i="2"/>
  <c r="N39" i="2"/>
  <c r="M39" i="2"/>
  <c r="L39" i="2"/>
  <c r="K39" i="2"/>
  <c r="J39" i="2"/>
  <c r="I39" i="2"/>
  <c r="H39" i="2"/>
  <c r="G39" i="2"/>
  <c r="F39" i="2"/>
  <c r="D39" i="2"/>
  <c r="C39" i="2"/>
  <c r="B39" i="2"/>
  <c r="A39" i="2"/>
  <c r="AE38" i="2"/>
  <c r="AD38" i="2"/>
  <c r="AC38" i="2"/>
  <c r="AB38" i="2"/>
  <c r="AA38" i="2"/>
  <c r="N38" i="2"/>
  <c r="M38" i="2"/>
  <c r="L38" i="2"/>
  <c r="K38" i="2"/>
  <c r="J38" i="2"/>
  <c r="I38" i="2"/>
  <c r="H38" i="2"/>
  <c r="G38" i="2"/>
  <c r="F38" i="2"/>
  <c r="D38" i="2"/>
  <c r="C38" i="2"/>
  <c r="B38" i="2"/>
  <c r="A38" i="2"/>
  <c r="AE37" i="2"/>
  <c r="AD37" i="2"/>
  <c r="AC37" i="2"/>
  <c r="AB37" i="2"/>
  <c r="AA37" i="2"/>
  <c r="N37" i="2"/>
  <c r="M37" i="2"/>
  <c r="L37" i="2"/>
  <c r="K37" i="2"/>
  <c r="J37" i="2"/>
  <c r="I37" i="2"/>
  <c r="H37" i="2"/>
  <c r="G37" i="2"/>
  <c r="F37" i="2"/>
  <c r="D37" i="2"/>
  <c r="C37" i="2"/>
  <c r="B37" i="2"/>
  <c r="A37" i="2"/>
  <c r="AE36" i="2"/>
  <c r="AD36" i="2"/>
  <c r="AC36" i="2"/>
  <c r="AB36" i="2"/>
  <c r="AA36" i="2"/>
  <c r="N36" i="2"/>
  <c r="M36" i="2"/>
  <c r="L36" i="2"/>
  <c r="K36" i="2"/>
  <c r="J36" i="2"/>
  <c r="I36" i="2"/>
  <c r="H36" i="2"/>
  <c r="G36" i="2"/>
  <c r="F36" i="2"/>
  <c r="D36" i="2"/>
  <c r="C36" i="2"/>
  <c r="B36" i="2"/>
  <c r="A36" i="2"/>
  <c r="AE35" i="2"/>
  <c r="AD35" i="2"/>
  <c r="AC35" i="2"/>
  <c r="AB35" i="2"/>
  <c r="AA35" i="2"/>
  <c r="N35" i="2"/>
  <c r="M35" i="2"/>
  <c r="L35" i="2"/>
  <c r="K35" i="2"/>
  <c r="J35" i="2"/>
  <c r="I35" i="2"/>
  <c r="H35" i="2"/>
  <c r="G35" i="2"/>
  <c r="F35" i="2"/>
  <c r="D35" i="2"/>
  <c r="C35" i="2"/>
  <c r="B35" i="2"/>
  <c r="A35" i="2"/>
  <c r="AE34" i="2"/>
  <c r="AD34" i="2"/>
  <c r="AC34" i="2"/>
  <c r="AB34" i="2"/>
  <c r="AA34" i="2"/>
  <c r="N34" i="2"/>
  <c r="M34" i="2"/>
  <c r="L34" i="2"/>
  <c r="K34" i="2"/>
  <c r="J34" i="2"/>
  <c r="I34" i="2"/>
  <c r="H34" i="2"/>
  <c r="G34" i="2"/>
  <c r="F34" i="2"/>
  <c r="D34" i="2"/>
  <c r="C34" i="2"/>
  <c r="B34" i="2"/>
  <c r="A34" i="2"/>
  <c r="AE33" i="2"/>
  <c r="AD33" i="2"/>
  <c r="AC33" i="2"/>
  <c r="AB33" i="2"/>
  <c r="AA33" i="2"/>
  <c r="N33" i="2"/>
  <c r="M33" i="2"/>
  <c r="L33" i="2"/>
  <c r="K33" i="2"/>
  <c r="J33" i="2"/>
  <c r="I33" i="2"/>
  <c r="H33" i="2"/>
  <c r="G33" i="2"/>
  <c r="F33" i="2"/>
  <c r="D33" i="2"/>
  <c r="C33" i="2"/>
  <c r="B33" i="2"/>
  <c r="A33" i="2"/>
  <c r="AE32" i="2"/>
  <c r="AD32" i="2"/>
  <c r="AC32" i="2"/>
  <c r="AB32" i="2"/>
  <c r="AA32" i="2"/>
  <c r="N32" i="2"/>
  <c r="M32" i="2"/>
  <c r="L32" i="2"/>
  <c r="K32" i="2"/>
  <c r="J32" i="2"/>
  <c r="I32" i="2"/>
  <c r="H32" i="2"/>
  <c r="G32" i="2"/>
  <c r="F32" i="2"/>
  <c r="D32" i="2"/>
  <c r="C32" i="2"/>
  <c r="B32" i="2"/>
  <c r="A32" i="2"/>
  <c r="AE31" i="2"/>
  <c r="AD31" i="2"/>
  <c r="AC31" i="2"/>
  <c r="AB31" i="2"/>
  <c r="AA31" i="2"/>
  <c r="N31" i="2"/>
  <c r="M31" i="2"/>
  <c r="L31" i="2"/>
  <c r="K31" i="2"/>
  <c r="J31" i="2"/>
  <c r="I31" i="2"/>
  <c r="H31" i="2"/>
  <c r="G31" i="2"/>
  <c r="F31" i="2"/>
  <c r="D31" i="2"/>
  <c r="C31" i="2"/>
  <c r="B31" i="2"/>
  <c r="A31" i="2"/>
  <c r="AE30" i="2"/>
  <c r="AD30" i="2"/>
  <c r="AC30" i="2"/>
  <c r="AB30" i="2"/>
  <c r="AA30" i="2"/>
  <c r="N30" i="2"/>
  <c r="M30" i="2"/>
  <c r="L30" i="2"/>
  <c r="K30" i="2"/>
  <c r="J30" i="2"/>
  <c r="I30" i="2"/>
  <c r="H30" i="2"/>
  <c r="G30" i="2"/>
  <c r="F30" i="2"/>
  <c r="D30" i="2"/>
  <c r="C30" i="2"/>
  <c r="B30" i="2"/>
  <c r="A30" i="2"/>
  <c r="AE29" i="2"/>
  <c r="AD29" i="2"/>
  <c r="AC29" i="2"/>
  <c r="AB29" i="2"/>
  <c r="AA29" i="2"/>
  <c r="N29" i="2"/>
  <c r="M29" i="2"/>
  <c r="L29" i="2"/>
  <c r="K29" i="2"/>
  <c r="J29" i="2"/>
  <c r="I29" i="2"/>
  <c r="H29" i="2"/>
  <c r="G29" i="2"/>
  <c r="F29" i="2"/>
  <c r="D29" i="2"/>
  <c r="C29" i="2"/>
  <c r="B29" i="2"/>
  <c r="A29" i="2"/>
  <c r="AE28" i="2"/>
  <c r="AD28" i="2"/>
  <c r="AC28" i="2"/>
  <c r="AB28" i="2"/>
  <c r="AA28" i="2"/>
  <c r="N28" i="2"/>
  <c r="M28" i="2"/>
  <c r="L28" i="2"/>
  <c r="K28" i="2"/>
  <c r="J28" i="2"/>
  <c r="I28" i="2"/>
  <c r="H28" i="2"/>
  <c r="G28" i="2"/>
  <c r="F28" i="2"/>
  <c r="D28" i="2"/>
  <c r="C28" i="2"/>
  <c r="B28" i="2"/>
  <c r="A28" i="2"/>
  <c r="AE27" i="2"/>
  <c r="AD27" i="2"/>
  <c r="AC27" i="2"/>
  <c r="AB27" i="2"/>
  <c r="AA27" i="2"/>
  <c r="N27" i="2"/>
  <c r="M27" i="2"/>
  <c r="L27" i="2"/>
  <c r="K27" i="2"/>
  <c r="J27" i="2"/>
  <c r="I27" i="2"/>
  <c r="H27" i="2"/>
  <c r="G27" i="2"/>
  <c r="F27" i="2"/>
  <c r="D27" i="2"/>
  <c r="C27" i="2"/>
  <c r="B27" i="2"/>
  <c r="A27" i="2"/>
  <c r="AE26" i="2"/>
  <c r="AD26" i="2"/>
  <c r="AC26" i="2"/>
  <c r="AB26" i="2"/>
  <c r="AA26" i="2"/>
  <c r="N26" i="2"/>
  <c r="M26" i="2"/>
  <c r="L26" i="2"/>
  <c r="K26" i="2"/>
  <c r="J26" i="2"/>
  <c r="I26" i="2"/>
  <c r="H26" i="2"/>
  <c r="G26" i="2"/>
  <c r="F26" i="2"/>
  <c r="D26" i="2"/>
  <c r="C26" i="2"/>
  <c r="B26" i="2"/>
  <c r="A26" i="2"/>
  <c r="AE25" i="2"/>
  <c r="AD25" i="2"/>
  <c r="AC25" i="2"/>
  <c r="AB25" i="2"/>
  <c r="AA25" i="2"/>
  <c r="N25" i="2"/>
  <c r="M25" i="2"/>
  <c r="L25" i="2"/>
  <c r="K25" i="2"/>
  <c r="J25" i="2"/>
  <c r="I25" i="2"/>
  <c r="H25" i="2"/>
  <c r="G25" i="2"/>
  <c r="F25" i="2"/>
  <c r="D25" i="2"/>
  <c r="C25" i="2"/>
  <c r="B25" i="2"/>
  <c r="A25" i="2"/>
  <c r="AE24" i="2"/>
  <c r="AD24" i="2"/>
  <c r="AC24" i="2"/>
  <c r="AB24" i="2"/>
  <c r="AA24" i="2"/>
  <c r="N24" i="2"/>
  <c r="M24" i="2"/>
  <c r="L24" i="2"/>
  <c r="K24" i="2"/>
  <c r="J24" i="2"/>
  <c r="I24" i="2"/>
  <c r="H24" i="2"/>
  <c r="G24" i="2"/>
  <c r="F24" i="2"/>
  <c r="D24" i="2"/>
  <c r="C24" i="2"/>
  <c r="B24" i="2"/>
  <c r="A24" i="2"/>
  <c r="AE23" i="2"/>
  <c r="AD23" i="2"/>
  <c r="AC23" i="2"/>
  <c r="AB23" i="2"/>
  <c r="AA23" i="2"/>
  <c r="J23" i="2"/>
  <c r="I23" i="2"/>
  <c r="F23" i="2"/>
  <c r="C23" i="2"/>
  <c r="A23" i="2"/>
  <c r="AE22" i="2"/>
  <c r="AD22" i="2"/>
  <c r="AC22" i="2"/>
  <c r="AB22" i="2"/>
  <c r="AA22" i="2"/>
  <c r="N22" i="2"/>
  <c r="M22" i="2"/>
  <c r="L22" i="2"/>
  <c r="K22" i="2"/>
  <c r="J22" i="2"/>
  <c r="I22" i="2"/>
  <c r="H22" i="2"/>
  <c r="G22" i="2"/>
  <c r="F22" i="2"/>
  <c r="D22" i="2"/>
  <c r="C22" i="2"/>
  <c r="B22" i="2"/>
  <c r="A22" i="2"/>
  <c r="AE21" i="2"/>
  <c r="AD21" i="2"/>
  <c r="AC21" i="2"/>
  <c r="AB21" i="2"/>
  <c r="AA21" i="2"/>
  <c r="N21" i="2"/>
  <c r="M21" i="2"/>
  <c r="L21" i="2"/>
  <c r="K21" i="2"/>
  <c r="J21" i="2"/>
  <c r="I21" i="2"/>
  <c r="H21" i="2"/>
  <c r="G21" i="2"/>
  <c r="F21" i="2"/>
  <c r="D21" i="2"/>
  <c r="C21" i="2"/>
  <c r="B21" i="2"/>
  <c r="A21" i="2"/>
  <c r="AE20" i="2"/>
  <c r="AD20" i="2"/>
  <c r="AC20" i="2"/>
  <c r="AB20" i="2"/>
  <c r="AA20" i="2"/>
  <c r="N20" i="2"/>
  <c r="M20" i="2"/>
  <c r="L20" i="2"/>
  <c r="K20" i="2"/>
  <c r="J20" i="2"/>
  <c r="I20" i="2"/>
  <c r="H20" i="2"/>
  <c r="G20" i="2"/>
  <c r="F20" i="2"/>
  <c r="D20" i="2"/>
  <c r="C20" i="2"/>
  <c r="B20" i="2"/>
  <c r="A20" i="2"/>
  <c r="AE19" i="2"/>
  <c r="AD19" i="2"/>
  <c r="AC19" i="2"/>
  <c r="AB19" i="2"/>
  <c r="AA19" i="2"/>
  <c r="N19" i="2"/>
  <c r="M19" i="2"/>
  <c r="L19" i="2"/>
  <c r="K19" i="2"/>
  <c r="J19" i="2"/>
  <c r="I19" i="2"/>
  <c r="H19" i="2"/>
  <c r="G19" i="2"/>
  <c r="F19" i="2"/>
  <c r="D19" i="2"/>
  <c r="C19" i="2"/>
  <c r="B19" i="2"/>
  <c r="A19" i="2"/>
  <c r="AE18" i="2"/>
  <c r="AD18" i="2"/>
  <c r="AC18" i="2"/>
  <c r="AB18" i="2"/>
  <c r="AA18" i="2"/>
  <c r="N18" i="2"/>
  <c r="M18" i="2"/>
  <c r="L18" i="2"/>
  <c r="K18" i="2"/>
  <c r="J18" i="2"/>
  <c r="I18" i="2"/>
  <c r="H18" i="2"/>
  <c r="G18" i="2"/>
  <c r="F18" i="2"/>
  <c r="D18" i="2"/>
  <c r="C18" i="2"/>
  <c r="B18" i="2"/>
  <c r="A18" i="2"/>
  <c r="AE17" i="2"/>
  <c r="AD17" i="2"/>
  <c r="AC17" i="2"/>
  <c r="AB17" i="2"/>
  <c r="AA17" i="2"/>
  <c r="N17" i="2"/>
  <c r="M17" i="2"/>
  <c r="L17" i="2"/>
  <c r="K17" i="2"/>
  <c r="J17" i="2"/>
  <c r="I17" i="2"/>
  <c r="H17" i="2"/>
  <c r="G17" i="2"/>
  <c r="F17" i="2"/>
  <c r="D17" i="2"/>
  <c r="C17" i="2"/>
  <c r="B17" i="2"/>
  <c r="A17" i="2"/>
  <c r="AE16" i="2"/>
  <c r="AD16" i="2"/>
  <c r="AC16" i="2"/>
  <c r="AB16" i="2"/>
  <c r="AA16" i="2"/>
  <c r="N16" i="2"/>
  <c r="M16" i="2"/>
  <c r="L16" i="2"/>
  <c r="K16" i="2"/>
  <c r="J16" i="2"/>
  <c r="I16" i="2"/>
  <c r="H16" i="2"/>
  <c r="G16" i="2"/>
  <c r="F16" i="2"/>
  <c r="D16" i="2"/>
  <c r="C16" i="2"/>
  <c r="B16" i="2"/>
  <c r="A16" i="2"/>
  <c r="AE15" i="2"/>
  <c r="AD15" i="2"/>
  <c r="AC15" i="2"/>
  <c r="AB15" i="2"/>
  <c r="AA15" i="2"/>
  <c r="N15" i="2"/>
  <c r="M15" i="2"/>
  <c r="L15" i="2"/>
  <c r="K15" i="2"/>
  <c r="J15" i="2"/>
  <c r="I15" i="2"/>
  <c r="H15" i="2"/>
  <c r="G15" i="2"/>
  <c r="F15" i="2"/>
  <c r="D15" i="2"/>
  <c r="C15" i="2"/>
  <c r="B15" i="2"/>
  <c r="A15" i="2"/>
  <c r="AE14" i="2"/>
  <c r="AD14" i="2"/>
  <c r="AC14" i="2"/>
  <c r="AB14" i="2"/>
  <c r="AA14" i="2"/>
  <c r="N14" i="2"/>
  <c r="M14" i="2"/>
  <c r="L14" i="2"/>
  <c r="K14" i="2"/>
  <c r="J14" i="2"/>
  <c r="I14" i="2"/>
  <c r="H14" i="2"/>
  <c r="G14" i="2"/>
  <c r="F14" i="2"/>
  <c r="D14" i="2"/>
  <c r="C14" i="2"/>
  <c r="B14" i="2"/>
  <c r="A14" i="2"/>
  <c r="AE13" i="2"/>
  <c r="AD13" i="2"/>
  <c r="AC13" i="2"/>
  <c r="AB13" i="2"/>
  <c r="AA13" i="2"/>
  <c r="N13" i="2"/>
  <c r="M13" i="2"/>
  <c r="L13" i="2"/>
  <c r="K13" i="2"/>
  <c r="J13" i="2"/>
  <c r="I13" i="2"/>
  <c r="H13" i="2"/>
  <c r="G13" i="2"/>
  <c r="F13" i="2"/>
  <c r="D13" i="2"/>
  <c r="C13" i="2"/>
  <c r="B13" i="2"/>
  <c r="A13" i="2"/>
  <c r="AE12" i="2"/>
  <c r="AD12" i="2"/>
  <c r="AC12" i="2"/>
  <c r="AB12" i="2"/>
  <c r="AA12" i="2"/>
  <c r="N12" i="2"/>
  <c r="M12" i="2"/>
  <c r="L12" i="2"/>
  <c r="K12" i="2"/>
  <c r="J12" i="2"/>
  <c r="I12" i="2"/>
  <c r="H12" i="2"/>
  <c r="G12" i="2"/>
  <c r="F12" i="2"/>
  <c r="D12" i="2"/>
  <c r="C12" i="2"/>
  <c r="B12" i="2"/>
  <c r="A12" i="2"/>
  <c r="AE11" i="2"/>
  <c r="AD11" i="2"/>
  <c r="AC11" i="2"/>
  <c r="AB11" i="2"/>
  <c r="AA11" i="2"/>
  <c r="N11" i="2"/>
  <c r="M11" i="2"/>
  <c r="L11" i="2"/>
  <c r="K11" i="2"/>
  <c r="J11" i="2"/>
  <c r="I11" i="2"/>
  <c r="H11" i="2"/>
  <c r="G11" i="2"/>
  <c r="F11" i="2"/>
  <c r="D11" i="2"/>
  <c r="C11" i="2"/>
  <c r="B11" i="2"/>
  <c r="A11" i="2"/>
  <c r="AE10" i="2"/>
  <c r="AD10" i="2"/>
  <c r="AC10" i="2"/>
  <c r="AB10" i="2"/>
  <c r="AA10" i="2"/>
  <c r="N10" i="2"/>
  <c r="M10" i="2"/>
  <c r="L10" i="2"/>
  <c r="K10" i="2"/>
  <c r="J10" i="2"/>
  <c r="I10" i="2"/>
  <c r="H10" i="2"/>
  <c r="G10" i="2"/>
  <c r="F10" i="2"/>
  <c r="D10" i="2"/>
  <c r="C10" i="2"/>
  <c r="B10" i="2"/>
  <c r="A10" i="2"/>
  <c r="AE9" i="2"/>
  <c r="AD9" i="2"/>
  <c r="AC9" i="2"/>
  <c r="AB9" i="2"/>
  <c r="AA9" i="2"/>
  <c r="N9" i="2"/>
  <c r="M9" i="2"/>
  <c r="L9" i="2"/>
  <c r="K9" i="2"/>
  <c r="J9" i="2"/>
  <c r="I9" i="2"/>
  <c r="H9" i="2"/>
  <c r="G9" i="2"/>
  <c r="F9" i="2"/>
  <c r="D9" i="2"/>
  <c r="C9" i="2"/>
  <c r="B9" i="2"/>
  <c r="A9" i="2"/>
  <c r="AE8" i="2"/>
  <c r="AD8" i="2"/>
  <c r="AC8" i="2"/>
  <c r="AB8" i="2"/>
  <c r="AA8" i="2"/>
  <c r="N8" i="2"/>
  <c r="M8" i="2"/>
  <c r="L8" i="2"/>
  <c r="K8" i="2"/>
  <c r="J8" i="2"/>
  <c r="I8" i="2"/>
  <c r="H8" i="2"/>
  <c r="G8" i="2"/>
  <c r="F8" i="2"/>
  <c r="D8" i="2"/>
  <c r="C8" i="2"/>
  <c r="B8" i="2"/>
  <c r="A8" i="2"/>
  <c r="AE7" i="2"/>
  <c r="AD7" i="2"/>
  <c r="AC7" i="2"/>
  <c r="AB7" i="2"/>
  <c r="AA7" i="2"/>
  <c r="N7" i="2"/>
  <c r="M7" i="2"/>
  <c r="L7" i="2"/>
  <c r="K7" i="2"/>
  <c r="I7" i="2"/>
  <c r="H7" i="2"/>
  <c r="G7" i="2"/>
  <c r="F7" i="2"/>
  <c r="D7" i="2"/>
  <c r="C7" i="2"/>
  <c r="B7" i="2"/>
  <c r="A7" i="2"/>
  <c r="N6" i="2"/>
  <c r="M6" i="2"/>
  <c r="L6" i="2"/>
  <c r="K6" i="2"/>
  <c r="I6" i="2"/>
  <c r="H6" i="2"/>
  <c r="G6" i="2"/>
  <c r="F6" i="2"/>
  <c r="D6" i="2"/>
  <c r="C6" i="2"/>
  <c r="B6" i="2"/>
  <c r="A6" i="2"/>
  <c r="N5" i="2"/>
  <c r="M5" i="2"/>
  <c r="L5" i="2"/>
  <c r="K5" i="2"/>
  <c r="I5" i="2"/>
  <c r="H5" i="2"/>
  <c r="G5" i="2"/>
  <c r="F5" i="2"/>
  <c r="D5" i="2"/>
  <c r="C5" i="2"/>
  <c r="B5" i="2"/>
  <c r="A5" i="2"/>
  <c r="AA4" i="2"/>
  <c r="N4" i="2"/>
  <c r="M4" i="2"/>
  <c r="L4" i="2"/>
  <c r="K4" i="2"/>
  <c r="I4" i="2"/>
  <c r="H4" i="2"/>
  <c r="G4" i="2"/>
  <c r="F4" i="2"/>
  <c r="D4" i="2"/>
  <c r="C4" i="2"/>
  <c r="B4" i="2"/>
  <c r="A4" i="2"/>
  <c r="AE3" i="2"/>
  <c r="AD3" i="2"/>
  <c r="AC3" i="2"/>
  <c r="AB3" i="2"/>
  <c r="AA3" i="2"/>
  <c r="N3" i="2"/>
  <c r="M3" i="2"/>
  <c r="L3" i="2"/>
  <c r="K3" i="2"/>
  <c r="I3" i="2"/>
  <c r="H3" i="2"/>
  <c r="G3" i="2"/>
  <c r="F3" i="2"/>
  <c r="D3" i="2"/>
  <c r="C3" i="2"/>
  <c r="B3" i="2"/>
  <c r="A3" i="2"/>
  <c r="R2" i="2"/>
  <c r="Q2" i="2"/>
  <c r="P2" i="2"/>
  <c r="O2" i="2"/>
  <c r="K7" i="3"/>
  <c r="K6" i="3"/>
  <c r="K5" i="3"/>
  <c r="K4" i="3"/>
  <c r="K3" i="3"/>
  <c r="K2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<sst xmlns="http://schemas.openxmlformats.org/spreadsheetml/2006/main" count="330" uniqueCount="231">
  <si>
    <t>上机日期</t>
  </si>
  <si>
    <t>样品编号</t>
  </si>
  <si>
    <t>实验室编号</t>
  </si>
  <si>
    <t>患者姓名</t>
  </si>
  <si>
    <t>样品类型</t>
  </si>
  <si>
    <t>检测流程</t>
  </si>
  <si>
    <t>样品来源</t>
  </si>
  <si>
    <t>处理方式</t>
  </si>
  <si>
    <t>提取浓度（ng/ul）</t>
  </si>
  <si>
    <t>建库起始核酸量（ng）</t>
  </si>
  <si>
    <t>子文库编号</t>
  </si>
  <si>
    <t>接头编号</t>
  </si>
  <si>
    <r>
      <rPr>
        <sz val="11"/>
        <rFont val="微软雅黑"/>
        <family val="2"/>
        <charset val="134"/>
      </rPr>
      <t>UMSI</t>
    </r>
    <r>
      <rPr>
        <sz val="11"/>
        <rFont val="微软雅黑"/>
        <family val="2"/>
        <charset val="134"/>
      </rPr>
      <t>编号</t>
    </r>
  </si>
  <si>
    <t>文库终浓度(ng/ul）</t>
  </si>
  <si>
    <t>上机文库量(M)</t>
  </si>
  <si>
    <t>芯片号</t>
  </si>
  <si>
    <t>试剂批号</t>
  </si>
  <si>
    <t>操作人(组别+姓名）</t>
  </si>
  <si>
    <t>备注</t>
  </si>
  <si>
    <t>total reads</t>
  </si>
  <si>
    <t>Host_rate</t>
  </si>
  <si>
    <t>Q20</t>
  </si>
  <si>
    <t>Q30</t>
  </si>
  <si>
    <t>报告结果</t>
  </si>
  <si>
    <t>检出病原菌</t>
  </si>
  <si>
    <t>2026.5.20</t>
  </si>
  <si>
    <t>61-S</t>
  </si>
  <si>
    <t>KY14538</t>
  </si>
  <si>
    <t>VM031共提</t>
  </si>
  <si>
    <t>研磨液白蛉</t>
  </si>
  <si>
    <t>DNA</t>
  </si>
  <si>
    <t>科研样本</t>
  </si>
  <si>
    <t>破壁+prime2.0DNA建库</t>
  </si>
  <si>
    <t>T224</t>
  </si>
  <si>
    <t>提取20250603/建库RUO20260105/引物20250812</t>
  </si>
  <si>
    <t>科研组+冯冬凤</t>
  </si>
  <si>
    <t>62-S</t>
  </si>
  <si>
    <t>KY14539</t>
  </si>
  <si>
    <t>T225</t>
  </si>
  <si>
    <t>63-S</t>
  </si>
  <si>
    <t>KY14540</t>
  </si>
  <si>
    <t>T226</t>
  </si>
  <si>
    <t>64-S</t>
  </si>
  <si>
    <t>KY14541</t>
  </si>
  <si>
    <t>T227</t>
  </si>
  <si>
    <t>65-S</t>
  </si>
  <si>
    <t>KY14542</t>
  </si>
  <si>
    <t>T230</t>
  </si>
  <si>
    <t>66-S</t>
  </si>
  <si>
    <t>KY14543</t>
  </si>
  <si>
    <t>T229</t>
  </si>
  <si>
    <r>
      <rPr>
        <b/>
        <sz val="16"/>
        <color theme="1"/>
        <rFont val="宋体"/>
        <family val="3"/>
        <charset val="134"/>
      </rPr>
      <t>IDseq-GZ2026第</t>
    </r>
    <r>
      <rPr>
        <b/>
        <sz val="16"/>
        <rFont val="宋体"/>
        <family val="3"/>
        <charset val="134"/>
      </rPr>
      <t>1635</t>
    </r>
    <r>
      <rPr>
        <b/>
        <sz val="16"/>
        <color theme="1"/>
        <rFont val="宋体"/>
        <family val="3"/>
        <charset val="134"/>
      </rPr>
      <t>期上机pooling表</t>
    </r>
  </si>
  <si>
    <t>建库日期</t>
  </si>
  <si>
    <t>样本类型</t>
  </si>
  <si>
    <t>index</t>
  </si>
  <si>
    <t>片段大小(bp)</t>
  </si>
  <si>
    <t>QubitC(ng/µl)</t>
  </si>
  <si>
    <t>Molarity(nM)</t>
  </si>
  <si>
    <t>数据量(M)</t>
  </si>
  <si>
    <t>稀释后浓度</t>
  </si>
  <si>
    <t>稀释倍数</t>
  </si>
  <si>
    <t>Library Volume (µl)</t>
  </si>
  <si>
    <t>H2O(µl)</t>
  </si>
  <si>
    <t>Pooling Volume (µl)</t>
  </si>
  <si>
    <t>实验室编号与文库编号检测</t>
  </si>
  <si>
    <t>子文库编号检测</t>
  </si>
  <si>
    <t>UMSI检测</t>
  </si>
  <si>
    <t>INDEX是否重复</t>
  </si>
  <si>
    <t xml:space="preserve"> </t>
  </si>
  <si>
    <t>平均大小</t>
  </si>
  <si>
    <t>pooling文库浓度</t>
  </si>
  <si>
    <t>Molarity实际值(nM)</t>
  </si>
  <si>
    <t>总数据量</t>
  </si>
  <si>
    <t>Molarity理论值</t>
  </si>
  <si>
    <t>偏差大小</t>
  </si>
  <si>
    <t>上机稀释</t>
  </si>
  <si>
    <t>第一次文库稀释</t>
  </si>
  <si>
    <t>终浓度(nM)</t>
  </si>
  <si>
    <t>文库浓度（nM）</t>
  </si>
  <si>
    <t>sample1</t>
  </si>
  <si>
    <t>加HT1的量</t>
  </si>
  <si>
    <t>0.2N NaOH稀释</t>
  </si>
  <si>
    <t>H2O</t>
  </si>
  <si>
    <t>NaOH(3N)</t>
  </si>
  <si>
    <t>总体积</t>
  </si>
  <si>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.2N NaOH</t>
    </r>
  </si>
  <si>
    <t>变性5min(sample2)</t>
  </si>
  <si>
    <t>取sample2</t>
  </si>
  <si>
    <t>取0.2N NaOH</t>
  </si>
  <si>
    <t>变性</t>
  </si>
  <si>
    <t>第二次文库稀释（20pM)</t>
  </si>
  <si>
    <t>取sample3（已变性）</t>
  </si>
  <si>
    <r>
      <rPr>
        <sz val="11"/>
        <color theme="1"/>
        <rFont val="宋体"/>
        <family val="3"/>
        <charset val="134"/>
        <scheme val="minor"/>
      </rPr>
      <t>稀释成2</t>
    </r>
    <r>
      <rPr>
        <sz val="11"/>
        <color theme="1"/>
        <rFont val="宋体"/>
        <family val="3"/>
        <charset val="134"/>
        <scheme val="minor"/>
      </rPr>
      <t>0pM</t>
    </r>
  </si>
  <si>
    <t>第三次文库稀释</t>
  </si>
  <si>
    <r>
      <rPr>
        <sz val="11"/>
        <color theme="1"/>
        <rFont val="宋体"/>
        <family val="3"/>
        <charset val="134"/>
      </rPr>
      <t>samle</t>
    </r>
    <r>
      <rPr>
        <sz val="11"/>
        <color theme="1"/>
        <rFont val="宋体"/>
        <family val="3"/>
        <charset val="134"/>
      </rPr>
      <t>3</t>
    </r>
  </si>
  <si>
    <t>上机</t>
  </si>
  <si>
    <r>
      <rPr>
        <sz val="11"/>
        <color theme="1"/>
        <rFont val="宋体"/>
        <family val="3"/>
        <charset val="134"/>
      </rPr>
      <t>出自文件：广州微远医学检验实验室有限公司</t>
    </r>
    <r>
      <rPr>
        <sz val="11"/>
        <color theme="1"/>
        <rFont val="Times New Roman"/>
        <family val="1"/>
      </rPr>
      <t xml:space="preserve">    IDSeq-</t>
    </r>
    <r>
      <rPr>
        <sz val="11"/>
        <color theme="1"/>
        <rFont val="宋体"/>
        <family val="3"/>
        <charset val="134"/>
      </rPr>
      <t>宏基因组标准操作作业指导书-广州</t>
    </r>
  </si>
  <si>
    <r>
      <rPr>
        <sz val="11"/>
        <color theme="1"/>
        <rFont val="宋体"/>
        <family val="3"/>
        <charset val="134"/>
      </rPr>
      <t>文件编号：</t>
    </r>
    <r>
      <rPr>
        <sz val="11"/>
        <color theme="1"/>
        <rFont val="Times New Roman"/>
        <family val="1"/>
      </rPr>
      <t>GZVM-SOP01.21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</si>
  <si>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1.0</t>
    </r>
    <r>
      <rPr>
        <sz val="11"/>
        <color theme="1"/>
        <rFont val="宋体"/>
        <family val="3"/>
        <charset val="134"/>
      </rPr>
      <t>版</t>
    </r>
  </si>
  <si>
    <r>
      <rPr>
        <sz val="11"/>
        <color theme="1"/>
        <rFont val="宋体"/>
        <family val="3"/>
        <charset val="134"/>
      </rPr>
      <t>生效日期：</t>
    </r>
    <r>
      <rPr>
        <sz val="11"/>
        <color theme="1"/>
        <rFont val="Times New Roman"/>
        <family val="1"/>
      </rPr>
      <t>2019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月</t>
    </r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日</t>
    </r>
  </si>
  <si>
    <r>
      <rPr>
        <sz val="11"/>
        <color theme="1"/>
        <rFont val="宋体"/>
        <family val="3"/>
        <charset val="134"/>
      </rPr>
      <t>页码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总页数：第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页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共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页</t>
    </r>
  </si>
  <si>
    <t>审核者：梁波</t>
  </si>
  <si>
    <t>批准者：武卫玮</t>
  </si>
  <si>
    <t>表号：GZVM-SOP01.21.02</t>
  </si>
  <si>
    <r>
      <rPr>
        <b/>
        <sz val="9"/>
        <color indexed="8"/>
        <rFont val="宋体"/>
        <family val="3"/>
        <charset val="134"/>
      </rPr>
      <t>实验前
准备</t>
    </r>
  </si>
  <si>
    <t>辅助试剂</t>
  </si>
  <si>
    <t xml:space="preserve">   □ 质控合格   □  有效期内</t>
  </si>
  <si>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宋体"/>
        <family val="3"/>
        <charset val="134"/>
      </rPr>
      <t>试剂</t>
    </r>
  </si>
  <si>
    <r>
      <rPr>
        <sz val="9"/>
        <color indexed="8"/>
        <rFont val="宋体"/>
        <family val="3"/>
        <charset val="134"/>
      </rPr>
      <t>芯片</t>
    </r>
    <r>
      <rPr>
        <sz val="9"/>
        <color indexed="8"/>
        <rFont val="Times New Roman"/>
        <family val="1"/>
      </rPr>
      <t xml:space="preserve"> lot</t>
    </r>
  </si>
  <si>
    <t>耗材</t>
  </si>
  <si>
    <r>
      <rPr>
        <sz val="9"/>
        <color indexed="8"/>
        <rFont val="宋体"/>
        <family val="3"/>
        <charset val="134"/>
      </rPr>
      <t>上机试剂</t>
    </r>
    <r>
      <rPr>
        <sz val="9"/>
        <color indexed="8"/>
        <rFont val="Times New Roman"/>
        <family val="1"/>
      </rPr>
      <t xml:space="preserve"> lot</t>
    </r>
  </si>
  <si>
    <t>仪器</t>
  </si>
  <si>
    <t>□正常            □  不正常</t>
  </si>
  <si>
    <t>Buffer lot</t>
  </si>
  <si>
    <t>测序仪状态</t>
  </si>
  <si>
    <r>
      <rPr>
        <sz val="9"/>
        <color indexed="8"/>
        <rFont val="Times New Roman"/>
        <family val="1"/>
      </rPr>
      <t xml:space="preserve">        </t>
    </r>
    <r>
      <rPr>
        <sz val="9"/>
        <color indexed="8"/>
        <rFont val="宋体"/>
        <family val="3"/>
        <charset val="134"/>
      </rPr>
      <t>□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宋体"/>
        <family val="3"/>
        <charset val="134"/>
      </rPr>
      <t>正常</t>
    </r>
    <r>
      <rPr>
        <sz val="9"/>
        <color indexed="8"/>
        <rFont val="Times New Roman"/>
        <family val="1"/>
      </rPr>
      <t xml:space="preserve">                       </t>
    </r>
    <r>
      <rPr>
        <sz val="9"/>
        <color indexed="8"/>
        <rFont val="宋体"/>
        <family val="3"/>
        <charset val="134"/>
      </rPr>
      <t>□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宋体"/>
        <family val="3"/>
        <charset val="134"/>
      </rPr>
      <t>不正常</t>
    </r>
  </si>
  <si>
    <r>
      <rPr>
        <sz val="9"/>
        <color indexed="8"/>
        <rFont val="宋体"/>
        <family val="3"/>
        <charset val="134"/>
      </rPr>
      <t>数据传输路径</t>
    </r>
  </si>
  <si>
    <r>
      <rPr>
        <sz val="9"/>
        <color indexed="8"/>
        <rFont val="Times New Roman"/>
        <family val="1"/>
      </rPr>
      <t xml:space="preserve">        </t>
    </r>
    <r>
      <rPr>
        <sz val="9"/>
        <color indexed="8"/>
        <rFont val="宋体"/>
        <family val="3"/>
        <charset val="134"/>
      </rPr>
      <t>□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宋体"/>
        <family val="3"/>
        <charset val="134"/>
      </rPr>
      <t>服务器</t>
    </r>
    <r>
      <rPr>
        <sz val="9"/>
        <color indexed="8"/>
        <rFont val="Times New Roman"/>
        <family val="1"/>
      </rPr>
      <t xml:space="preserve">                   </t>
    </r>
    <r>
      <rPr>
        <sz val="9"/>
        <color indexed="8"/>
        <rFont val="宋体"/>
        <family val="3"/>
        <charset val="134"/>
      </rPr>
      <t>□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宋体"/>
        <family val="3"/>
        <charset val="134"/>
      </rPr>
      <t>仪器</t>
    </r>
    <r>
      <rPr>
        <sz val="9"/>
        <color indexed="8"/>
        <rFont val="Times New Roman"/>
        <family val="1"/>
      </rPr>
      <t xml:space="preserve">                 </t>
    </r>
    <r>
      <rPr>
        <sz val="9"/>
        <color indexed="8"/>
        <rFont val="宋体"/>
        <family val="3"/>
        <charset val="134"/>
      </rPr>
      <t>□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宋体"/>
        <family val="3"/>
        <charset val="134"/>
      </rPr>
      <t>专用电脑</t>
    </r>
  </si>
  <si>
    <r>
      <rPr>
        <sz val="9"/>
        <color indexed="8"/>
        <rFont val="宋体"/>
        <family val="3"/>
        <charset val="134"/>
      </rPr>
      <t>仪器清洗</t>
    </r>
  </si>
  <si>
    <r>
      <rPr>
        <sz val="9"/>
        <color indexed="8"/>
        <rFont val="Times New Roman"/>
        <family val="1"/>
      </rPr>
      <t>4</t>
    </r>
    <r>
      <rPr>
        <sz val="9"/>
        <color indexed="8"/>
        <rFont val="宋体"/>
        <family val="3"/>
        <charset val="134"/>
      </rPr>
      <t>℃上机试剂准备</t>
    </r>
  </si>
  <si>
    <r>
      <rPr>
        <sz val="9"/>
        <rFont val="Times New Roman"/>
        <family val="1"/>
      </rPr>
      <t xml:space="preserve">        </t>
    </r>
    <r>
      <rPr>
        <sz val="9"/>
        <rFont val="宋体"/>
        <family val="3"/>
        <charset val="134"/>
      </rPr>
      <t>□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有效期内</t>
    </r>
    <r>
      <rPr>
        <sz val="9"/>
        <rFont val="Times New Roman"/>
        <family val="1"/>
      </rPr>
      <t xml:space="preserve">                </t>
    </r>
    <r>
      <rPr>
        <sz val="9"/>
        <rFont val="宋体"/>
        <family val="3"/>
        <charset val="134"/>
      </rPr>
      <t>□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质检合格</t>
    </r>
    <r>
      <rPr>
        <sz val="9"/>
        <rFont val="Times New Roman"/>
        <family val="1"/>
      </rPr>
      <t xml:space="preserve">        </t>
    </r>
    <r>
      <rPr>
        <sz val="9"/>
        <rFont val="宋体"/>
        <family val="3"/>
        <charset val="134"/>
      </rPr>
      <t>□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室温平衡</t>
    </r>
  </si>
  <si>
    <r>
      <rPr>
        <sz val="9"/>
        <color indexed="8"/>
        <rFont val="Times New Roman"/>
        <family val="1"/>
      </rPr>
      <t xml:space="preserve"> -20</t>
    </r>
    <r>
      <rPr>
        <sz val="9"/>
        <color indexed="8"/>
        <rFont val="宋体"/>
        <family val="3"/>
        <charset val="134"/>
      </rPr>
      <t>℃上机试剂解冻</t>
    </r>
  </si>
  <si>
    <r>
      <rPr>
        <b/>
        <sz val="9"/>
        <color indexed="8"/>
        <rFont val="宋体"/>
        <family val="3"/>
        <charset val="134"/>
      </rPr>
      <t>文库变性</t>
    </r>
  </si>
  <si>
    <t>——</t>
  </si>
  <si>
    <r>
      <rPr>
        <b/>
        <sz val="9"/>
        <rFont val="宋体"/>
        <family val="3"/>
        <charset val="134"/>
      </rPr>
      <t>组分</t>
    </r>
  </si>
  <si>
    <r>
      <rPr>
        <b/>
        <sz val="9"/>
        <rFont val="宋体"/>
        <family val="3"/>
        <charset val="134"/>
      </rPr>
      <t>反应体积</t>
    </r>
    <r>
      <rPr>
        <b/>
        <sz val="9"/>
        <rFont val="Times New Roman"/>
        <family val="1"/>
      </rPr>
      <t xml:space="preserve"> 
(μL)</t>
    </r>
  </si>
  <si>
    <r>
      <rPr>
        <b/>
        <sz val="9"/>
        <rFont val="宋体"/>
        <family val="3"/>
        <charset val="134"/>
      </rPr>
      <t>确认</t>
    </r>
    <r>
      <rPr>
        <b/>
        <sz val="9"/>
        <rFont val="Times New Roman"/>
        <family val="1"/>
      </rPr>
      <t xml:space="preserve">  
  (</t>
    </r>
    <r>
      <rPr>
        <b/>
        <sz val="9"/>
        <rFont val="宋体"/>
        <family val="3"/>
        <charset val="134"/>
      </rPr>
      <t>打</t>
    </r>
    <r>
      <rPr>
        <b/>
        <sz val="9"/>
        <rFont val="Times New Roman"/>
        <family val="1"/>
      </rPr>
      <t xml:space="preserve"> </t>
    </r>
    <r>
      <rPr>
        <b/>
        <sz val="9"/>
        <rFont val="宋体"/>
        <family val="3"/>
        <charset val="134"/>
      </rPr>
      <t>√</t>
    </r>
    <r>
      <rPr>
        <b/>
        <sz val="9"/>
        <rFont val="Times New Roman"/>
        <family val="1"/>
      </rPr>
      <t>)</t>
    </r>
  </si>
  <si>
    <r>
      <rPr>
        <sz val="9"/>
        <color rgb="FF000000"/>
        <rFont val="Times New Roman"/>
        <family val="1"/>
      </rPr>
      <t>NaOH</t>
    </r>
    <r>
      <rPr>
        <sz val="9"/>
        <color rgb="FF000000"/>
        <rFont val="宋体"/>
        <family val="3"/>
        <charset val="134"/>
      </rPr>
      <t>（</t>
    </r>
    <r>
      <rPr>
        <sz val="9"/>
        <color rgb="FF000000"/>
        <rFont val="Times New Roman"/>
        <family val="1"/>
      </rPr>
      <t xml:space="preserve">0.2N </t>
    </r>
    <r>
      <rPr>
        <sz val="9"/>
        <color rgb="FF000000"/>
        <rFont val="宋体"/>
        <family val="3"/>
        <charset val="134"/>
      </rPr>
      <t>）</t>
    </r>
  </si>
  <si>
    <r>
      <rPr>
        <sz val="9"/>
        <rFont val="Times New Roman"/>
        <family val="1"/>
      </rPr>
      <t>20 μL  NaOH (1N) +</t>
    </r>
    <r>
      <rPr>
        <sz val="9"/>
        <rFont val="宋体"/>
        <family val="3"/>
        <charset val="134"/>
      </rPr>
      <t>80</t>
    </r>
    <r>
      <rPr>
        <sz val="9"/>
        <rFont val="Times New Roman"/>
        <family val="1"/>
      </rPr>
      <t xml:space="preserve"> μL ddH2O</t>
    </r>
    <r>
      <rPr>
        <sz val="9"/>
        <rFont val="宋体"/>
        <family val="3"/>
        <charset val="134"/>
      </rPr>
      <t>，混匀</t>
    </r>
  </si>
  <si>
    <t>HT1</t>
  </si>
  <si>
    <r>
      <rPr>
        <sz val="9"/>
        <color indexed="8"/>
        <rFont val="宋体"/>
        <family val="3"/>
        <charset val="134"/>
      </rPr>
      <t>室温变性</t>
    </r>
    <r>
      <rPr>
        <sz val="9"/>
        <color indexed="8"/>
        <rFont val="Times New Roman"/>
        <family val="1"/>
      </rPr>
      <t>5min,</t>
    </r>
    <r>
      <rPr>
        <sz val="9"/>
        <color indexed="8"/>
        <rFont val="宋体"/>
        <family val="3"/>
        <charset val="134"/>
      </rPr>
      <t>期间涡旋混匀</t>
    </r>
    <r>
      <rPr>
        <sz val="9"/>
        <color indexed="8"/>
        <rFont val="Times New Roman"/>
        <family val="1"/>
      </rPr>
      <t>2</t>
    </r>
    <r>
      <rPr>
        <sz val="9"/>
        <color indexed="8"/>
        <rFont val="宋体"/>
        <family val="3"/>
        <charset val="134"/>
      </rPr>
      <t>次;</t>
    </r>
    <r>
      <rPr>
        <sz val="9"/>
        <color indexed="8"/>
        <rFont val="Times New Roman"/>
        <family val="1"/>
      </rPr>
      <t>5 min</t>
    </r>
    <r>
      <rPr>
        <sz val="9"/>
        <color indexed="8"/>
        <rFont val="宋体"/>
        <family val="3"/>
        <charset val="134"/>
      </rPr>
      <t>后立即放冰上</t>
    </r>
  </si>
  <si>
    <t>NaOH (0.2N)</t>
  </si>
  <si>
    <r>
      <rPr>
        <b/>
        <sz val="9"/>
        <color indexed="8"/>
        <rFont val="宋体"/>
        <family val="3"/>
        <charset val="134"/>
      </rPr>
      <t>上机浓度
稀释</t>
    </r>
  </si>
  <si>
    <r>
      <rPr>
        <sz val="9"/>
        <color indexed="8"/>
        <rFont val="宋体"/>
        <family val="3"/>
        <charset val="134"/>
      </rPr>
      <t>文库稀释</t>
    </r>
    <r>
      <rPr>
        <sz val="9"/>
        <color indexed="8"/>
        <rFont val="宋体"/>
        <family val="3"/>
        <charset val="134"/>
      </rPr>
      <t>（</t>
    </r>
    <r>
      <rPr>
        <sz val="9"/>
        <color indexed="8"/>
        <rFont val="Times New Roman"/>
        <family val="1"/>
      </rPr>
      <t>20 pM</t>
    </r>
    <r>
      <rPr>
        <sz val="9"/>
        <color indexed="8"/>
        <rFont val="宋体"/>
        <family val="3"/>
        <charset val="134"/>
      </rPr>
      <t>）</t>
    </r>
    <r>
      <rPr>
        <sz val="9"/>
        <color indexed="8"/>
        <rFont val="Times New Roman"/>
        <family val="1"/>
      </rPr>
      <t xml:space="preserve"> </t>
    </r>
  </si>
  <si>
    <r>
      <rPr>
        <sz val="9"/>
        <color indexed="8"/>
        <rFont val="宋体"/>
        <family val="3"/>
        <charset val="134"/>
      </rPr>
      <t>混匀</t>
    </r>
  </si>
  <si>
    <r>
      <rPr>
        <sz val="9"/>
        <color indexed="8"/>
        <rFont val="Times New Roman"/>
        <family val="1"/>
      </rPr>
      <t>20 pM</t>
    </r>
    <r>
      <rPr>
        <sz val="9"/>
        <color indexed="8"/>
        <rFont val="宋体"/>
        <family val="3"/>
        <charset val="134"/>
      </rPr>
      <t>文库</t>
    </r>
  </si>
  <si>
    <r>
      <rPr>
        <sz val="9"/>
        <color indexed="8"/>
        <rFont val="宋体"/>
        <family val="3"/>
        <charset val="134"/>
      </rPr>
      <t>文库装入</t>
    </r>
    <r>
      <rPr>
        <sz val="9"/>
        <color indexed="8"/>
        <rFont val="Times New Roman"/>
        <family val="1"/>
      </rPr>
      <t>#10</t>
    </r>
  </si>
  <si>
    <r>
      <rPr>
        <sz val="9"/>
        <color indexed="8"/>
        <rFont val="宋体"/>
        <family val="3"/>
        <charset val="134"/>
      </rPr>
      <t>总体积</t>
    </r>
  </si>
  <si>
    <t>实验后
清洁</t>
  </si>
  <si>
    <r>
      <rPr>
        <sz val="9"/>
        <color indexed="8"/>
        <rFont val="宋体"/>
        <family val="3"/>
        <charset val="134"/>
      </rPr>
      <t>实验桌面</t>
    </r>
  </si>
  <si>
    <r>
      <rPr>
        <sz val="9"/>
        <color indexed="8"/>
        <rFont val="Times New Roman"/>
        <family val="1"/>
      </rPr>
      <t xml:space="preserve">        </t>
    </r>
    <r>
      <rPr>
        <sz val="9"/>
        <color indexed="8"/>
        <rFont val="宋体"/>
        <family val="3"/>
        <charset val="134"/>
      </rPr>
      <t>□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宋体"/>
        <family val="3"/>
        <charset val="134"/>
      </rPr>
      <t>清洁整理</t>
    </r>
    <r>
      <rPr>
        <sz val="9"/>
        <color indexed="8"/>
        <rFont val="Times New Roman"/>
        <family val="1"/>
      </rPr>
      <t xml:space="preserve">    </t>
    </r>
    <r>
      <rPr>
        <sz val="9"/>
        <color indexed="8"/>
        <rFont val="宋体"/>
        <family val="3"/>
        <charset val="134"/>
      </rPr>
      <t>□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宋体"/>
        <family val="3"/>
        <charset val="134"/>
      </rPr>
      <t>丢弃实验废物</t>
    </r>
  </si>
  <si>
    <r>
      <rPr>
        <sz val="9"/>
        <color indexed="8"/>
        <rFont val="宋体"/>
        <family val="3"/>
        <charset val="134"/>
      </rPr>
      <t>仪器</t>
    </r>
  </si>
  <si>
    <r>
      <rPr>
        <sz val="9"/>
        <color indexed="8"/>
        <rFont val="宋体"/>
        <family val="3"/>
        <charset val="134"/>
      </rPr>
      <t>□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宋体"/>
        <family val="3"/>
        <charset val="134"/>
      </rPr>
      <t>清洁维护</t>
    </r>
    <r>
      <rPr>
        <sz val="9"/>
        <color indexed="8"/>
        <rFont val="Times New Roman"/>
        <family val="1"/>
      </rPr>
      <t xml:space="preserve">   </t>
    </r>
    <r>
      <rPr>
        <sz val="9"/>
        <color indexed="8"/>
        <rFont val="宋体"/>
        <family val="3"/>
        <charset val="134"/>
      </rPr>
      <t>□</t>
    </r>
    <r>
      <rPr>
        <sz val="9"/>
        <color indexed="8"/>
        <rFont val="Times New Roman"/>
        <family val="1"/>
      </rPr>
      <t xml:space="preserve">  </t>
    </r>
    <r>
      <rPr>
        <sz val="9"/>
        <color indexed="8"/>
        <rFont val="宋体"/>
        <family val="3"/>
        <charset val="134"/>
      </rPr>
      <t>关闭电源</t>
    </r>
    <r>
      <rPr>
        <sz val="9"/>
        <color indexed="8"/>
        <rFont val="Times New Roman"/>
        <family val="1"/>
      </rPr>
      <t xml:space="preserve">         </t>
    </r>
  </si>
  <si>
    <t>期数</t>
  </si>
  <si>
    <t>是否加测</t>
  </si>
  <si>
    <r>
      <rPr>
        <sz val="11"/>
        <color theme="1"/>
        <rFont val="宋体"/>
        <family val="3"/>
        <charset val="134"/>
      </rPr>
      <t>提取浓度（</t>
    </r>
    <r>
      <rPr>
        <sz val="11"/>
        <color theme="1"/>
        <rFont val="Calibri"/>
        <family val="2"/>
      </rPr>
      <t>ng/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Calibri"/>
        <family val="2"/>
      </rPr>
      <t>l</t>
    </r>
    <r>
      <rPr>
        <sz val="11"/>
        <color theme="1"/>
        <rFont val="宋体"/>
        <family val="3"/>
        <charset val="134"/>
      </rPr>
      <t>）</t>
    </r>
  </si>
  <si>
    <t>提取总量（ng）</t>
  </si>
  <si>
    <t>核酸剩余量</t>
  </si>
  <si>
    <t>提取时间</t>
  </si>
  <si>
    <r>
      <rPr>
        <b/>
        <sz val="11"/>
        <color theme="1"/>
        <rFont val="宋体"/>
        <family val="3"/>
        <charset val="134"/>
      </rPr>
      <t>建库起始核酸量（</t>
    </r>
    <r>
      <rPr>
        <b/>
        <sz val="11"/>
        <color theme="1"/>
        <rFont val="Calibri"/>
        <family val="2"/>
      </rPr>
      <t>ng</t>
    </r>
    <r>
      <rPr>
        <b/>
        <sz val="11"/>
        <color theme="1"/>
        <rFont val="宋体"/>
        <family val="3"/>
        <charset val="134"/>
      </rPr>
      <t>）</t>
    </r>
  </si>
  <si>
    <t>barcode</t>
  </si>
  <si>
    <r>
      <rPr>
        <sz val="11"/>
        <rFont val="Calibri"/>
        <family val="2"/>
      </rPr>
      <t>UMSI</t>
    </r>
    <r>
      <rPr>
        <sz val="11"/>
        <rFont val="宋体"/>
        <family val="3"/>
        <charset val="134"/>
      </rPr>
      <t>编号</t>
    </r>
  </si>
  <si>
    <r>
      <rPr>
        <b/>
        <sz val="11"/>
        <color theme="1"/>
        <rFont val="宋体"/>
        <family val="3"/>
        <charset val="134"/>
      </rPr>
      <t>文库终浓度(</t>
    </r>
    <r>
      <rPr>
        <b/>
        <sz val="11"/>
        <color theme="1"/>
        <rFont val="Calibri"/>
        <family val="2"/>
      </rPr>
      <t>ng/</t>
    </r>
    <r>
      <rPr>
        <b/>
        <sz val="11"/>
        <color theme="1"/>
        <rFont val="Symbol"/>
        <family val="1"/>
        <charset val="2"/>
      </rPr>
      <t>m</t>
    </r>
    <r>
      <rPr>
        <b/>
        <sz val="11"/>
        <color theme="1"/>
        <rFont val="Calibri"/>
        <family val="2"/>
      </rPr>
      <t>l</t>
    </r>
    <r>
      <rPr>
        <b/>
        <sz val="11"/>
        <color theme="1"/>
        <rFont val="宋体"/>
        <family val="3"/>
        <charset val="134"/>
      </rPr>
      <t>）</t>
    </r>
  </si>
  <si>
    <t>上机文库号</t>
  </si>
  <si>
    <t>pooling后浓度(ng/μL)</t>
  </si>
  <si>
    <t>上机浓度(pM)</t>
  </si>
  <si>
    <t>测序类型</t>
  </si>
  <si>
    <t>上机时间</t>
  </si>
  <si>
    <t>操作人</t>
  </si>
  <si>
    <t>提取试剂盒</t>
  </si>
  <si>
    <t>提取试剂盒批号（lot）</t>
  </si>
  <si>
    <t>建库试剂盒</t>
  </si>
  <si>
    <t>建库试剂盒批号（lot）</t>
  </si>
  <si>
    <t>上机试剂信息</t>
  </si>
  <si>
    <t>下机时间</t>
  </si>
  <si>
    <r>
      <rPr>
        <b/>
        <sz val="20"/>
        <color theme="1"/>
        <rFont val="Times New Roman"/>
        <family val="1"/>
      </rPr>
      <t>Prime 2.0 DNA</t>
    </r>
    <r>
      <rPr>
        <b/>
        <sz val="20"/>
        <color theme="1"/>
        <rFont val="楷体"/>
        <family val="3"/>
        <charset val="134"/>
      </rPr>
      <t>建库流程单</t>
    </r>
  </si>
  <si>
    <r>
      <rPr>
        <b/>
        <sz val="10"/>
        <color rgb="FF000000"/>
        <rFont val="宋体"/>
        <family val="3"/>
        <charset val="134"/>
      </rPr>
      <t>酶切打断</t>
    </r>
  </si>
  <si>
    <r>
      <rPr>
        <b/>
        <sz val="10"/>
        <color rgb="FF000000"/>
        <rFont val="宋体"/>
        <family val="3"/>
        <charset val="134"/>
      </rPr>
      <t>反应体系</t>
    </r>
  </si>
  <si>
    <r>
      <rPr>
        <b/>
        <sz val="10"/>
        <color rgb="FF000000"/>
        <rFont val="宋体"/>
        <family val="3"/>
        <charset val="134"/>
      </rPr>
      <t>单个用量 （</t>
    </r>
    <r>
      <rPr>
        <b/>
        <sz val="10"/>
        <color rgb="FF000000"/>
        <rFont val="Times New Roman"/>
        <family val="1"/>
      </rPr>
      <t>µL</t>
    </r>
    <r>
      <rPr>
        <b/>
        <sz val="10"/>
        <color rgb="FF000000"/>
        <rFont val="宋体"/>
        <family val="3"/>
        <charset val="134"/>
      </rPr>
      <t>）</t>
    </r>
  </si>
  <si>
    <r>
      <rPr>
        <b/>
        <sz val="10"/>
        <color rgb="FF000000"/>
        <rFont val="宋体"/>
        <family val="3"/>
        <charset val="134"/>
      </rPr>
      <t>个数</t>
    </r>
  </si>
  <si>
    <r>
      <rPr>
        <b/>
        <sz val="9"/>
        <color rgb="FF000000"/>
        <rFont val="宋体"/>
        <family val="3"/>
        <charset val="134"/>
      </rPr>
      <t>总量（</t>
    </r>
    <r>
      <rPr>
        <b/>
        <sz val="9"/>
        <color rgb="FF000000"/>
        <rFont val="Times New Roman"/>
        <family val="1"/>
      </rPr>
      <t>µL</t>
    </r>
    <r>
      <rPr>
        <b/>
        <sz val="9"/>
        <color rgb="FF000000"/>
        <rFont val="宋体"/>
        <family val="3"/>
        <charset val="134"/>
      </rPr>
      <t>）</t>
    </r>
  </si>
  <si>
    <r>
      <rPr>
        <b/>
        <sz val="10"/>
        <color rgb="FF000000"/>
        <rFont val="宋体"/>
        <family val="3"/>
        <charset val="134"/>
      </rPr>
      <t>单</t>
    </r>
    <r>
      <rPr>
        <b/>
        <sz val="10"/>
        <color rgb="FF000000"/>
        <rFont val="Times New Roman"/>
        <family val="1"/>
      </rPr>
      <t>Mix</t>
    </r>
    <r>
      <rPr>
        <b/>
        <sz val="10"/>
        <color rgb="FF000000"/>
        <rFont val="宋体"/>
        <family val="3"/>
        <charset val="134"/>
      </rPr>
      <t>（</t>
    </r>
    <r>
      <rPr>
        <b/>
        <sz val="10"/>
        <color rgb="FF000000"/>
        <rFont val="Times New Roman"/>
        <family val="1"/>
      </rPr>
      <t>µL</t>
    </r>
    <r>
      <rPr>
        <b/>
        <sz val="10"/>
        <color rgb="FF000000"/>
        <rFont val="宋体"/>
        <family val="3"/>
        <charset val="134"/>
      </rPr>
      <t>）</t>
    </r>
  </si>
  <si>
    <r>
      <rPr>
        <b/>
        <sz val="10"/>
        <color rgb="FF000000"/>
        <rFont val="宋体"/>
        <family val="3"/>
        <charset val="134"/>
      </rPr>
      <t>确认打</t>
    </r>
    <r>
      <rPr>
        <b/>
        <sz val="10"/>
        <color rgb="FF000000"/>
        <rFont val="Times New Roman"/>
        <family val="1"/>
      </rPr>
      <t>√</t>
    </r>
  </si>
  <si>
    <r>
      <rPr>
        <b/>
        <sz val="10"/>
        <color rgb="FF000000"/>
        <rFont val="宋体"/>
        <family val="3"/>
        <charset val="134"/>
      </rPr>
      <t>备注：</t>
    </r>
  </si>
  <si>
    <t>DNA核酸（最高10ng）</t>
  </si>
  <si>
    <t>10ng/50μl</t>
  </si>
  <si>
    <t>单加</t>
  </si>
  <si>
    <t>不加
片段化增强剂T</t>
  </si>
  <si>
    <t>NF水</t>
  </si>
  <si>
    <r>
      <rPr>
        <b/>
        <sz val="10"/>
        <color rgb="FF000000"/>
        <rFont val="宋体"/>
        <family val="3"/>
        <charset val="134"/>
      </rPr>
      <t>补至5</t>
    </r>
    <r>
      <rPr>
        <b/>
        <sz val="10"/>
        <color rgb="FF000000"/>
        <rFont val="Times New Roman"/>
        <family val="1"/>
      </rPr>
      <t>0μl</t>
    </r>
  </si>
  <si>
    <t>片段化混合酶</t>
  </si>
  <si>
    <r>
      <rPr>
        <b/>
        <u/>
        <sz val="10"/>
        <color rgb="FFFF0000"/>
        <rFont val="宋体"/>
        <family val="3"/>
        <charset val="134"/>
      </rPr>
      <t>最后</t>
    </r>
    <r>
      <rPr>
        <b/>
        <sz val="10"/>
        <color rgb="FFFF0000"/>
        <rFont val="宋体"/>
        <family val="3"/>
        <charset val="134"/>
      </rPr>
      <t>单加</t>
    </r>
  </si>
  <si>
    <t>该步需在冰盒上操作</t>
  </si>
  <si>
    <t>Total</t>
  </si>
  <si>
    <r>
      <rPr>
        <b/>
        <sz val="10"/>
        <rFont val="Times New Roman"/>
        <family val="1"/>
      </rPr>
      <t>PCR</t>
    </r>
    <r>
      <rPr>
        <b/>
        <sz val="10"/>
        <rFont val="宋体"/>
        <family val="3"/>
        <charset val="134"/>
      </rPr>
      <t>仪：</t>
    </r>
    <r>
      <rPr>
        <b/>
        <sz val="10"/>
        <rFont val="Times New Roman"/>
        <family val="1"/>
      </rPr>
      <t>4℃</t>
    </r>
    <r>
      <rPr>
        <b/>
        <sz val="10"/>
        <rFont val="宋体"/>
        <family val="3"/>
        <charset val="134"/>
      </rPr>
      <t>，</t>
    </r>
    <r>
      <rPr>
        <b/>
        <sz val="10"/>
        <rFont val="Times New Roman"/>
        <family val="1"/>
      </rPr>
      <t>1min</t>
    </r>
    <r>
      <rPr>
        <b/>
        <sz val="10"/>
        <rFont val="宋体"/>
        <family val="3"/>
        <charset val="134"/>
      </rPr>
      <t>；</t>
    </r>
    <r>
      <rPr>
        <b/>
        <sz val="10"/>
        <rFont val="Times New Roman"/>
        <family val="1"/>
      </rPr>
      <t xml:space="preserve"> 30℃</t>
    </r>
    <r>
      <rPr>
        <b/>
        <sz val="10"/>
        <rFont val="宋体"/>
        <family val="3"/>
        <charset val="134"/>
      </rPr>
      <t>，</t>
    </r>
    <r>
      <rPr>
        <b/>
        <sz val="10"/>
        <rFont val="Times New Roman"/>
        <family val="1"/>
      </rPr>
      <t>5min</t>
    </r>
    <r>
      <rPr>
        <b/>
        <sz val="10"/>
        <rFont val="宋体"/>
        <family val="3"/>
        <charset val="134"/>
      </rPr>
      <t>；</t>
    </r>
    <r>
      <rPr>
        <b/>
        <sz val="10"/>
        <rFont val="Times New Roman"/>
        <family val="1"/>
      </rPr>
      <t>72℃</t>
    </r>
    <r>
      <rPr>
        <b/>
        <sz val="10"/>
        <rFont val="宋体"/>
        <family val="3"/>
        <charset val="134"/>
      </rPr>
      <t>，</t>
    </r>
    <r>
      <rPr>
        <b/>
        <sz val="10"/>
        <rFont val="Times New Roman"/>
        <family val="1"/>
      </rPr>
      <t>5min; 4℃</t>
    </r>
    <r>
      <rPr>
        <b/>
        <sz val="10"/>
        <rFont val="宋体"/>
        <family val="3"/>
        <charset val="134"/>
      </rPr>
      <t>，</t>
    </r>
    <r>
      <rPr>
        <b/>
        <sz val="10"/>
        <rFont val="Times New Roman"/>
        <family val="1"/>
      </rPr>
      <t>hold</t>
    </r>
  </si>
  <si>
    <t>11min</t>
  </si>
  <si>
    <t>操作人：</t>
  </si>
  <si>
    <r>
      <rPr>
        <b/>
        <sz val="10"/>
        <color rgb="FF000000"/>
        <rFont val="宋体"/>
        <family val="3"/>
        <charset val="134"/>
      </rPr>
      <t>复核人：</t>
    </r>
  </si>
  <si>
    <r>
      <rPr>
        <b/>
        <sz val="10"/>
        <color rgb="FF000000"/>
        <rFont val="宋体"/>
        <family val="3"/>
        <charset val="134"/>
      </rPr>
      <t>接头连接</t>
    </r>
  </si>
  <si>
    <r>
      <rPr>
        <b/>
        <sz val="10"/>
        <color rgb="FF000000"/>
        <rFont val="宋体"/>
        <family val="3"/>
        <charset val="134"/>
      </rPr>
      <t>总量（</t>
    </r>
    <r>
      <rPr>
        <b/>
        <sz val="10"/>
        <color rgb="FF000000"/>
        <rFont val="Times New Roman"/>
        <family val="1"/>
      </rPr>
      <t>µL</t>
    </r>
    <r>
      <rPr>
        <b/>
        <sz val="10"/>
        <color rgb="FF000000"/>
        <rFont val="宋体"/>
        <family val="3"/>
        <charset val="134"/>
      </rPr>
      <t>）</t>
    </r>
  </si>
  <si>
    <r>
      <rPr>
        <b/>
        <sz val="10"/>
        <color rgb="FF000000"/>
        <rFont val="宋体"/>
        <family val="3"/>
        <charset val="134"/>
      </rPr>
      <t>上一步反应产物</t>
    </r>
  </si>
  <si>
    <t>注意：（IDseq Prime常规建库T接头试剂盒 RS）</t>
  </si>
  <si>
    <r>
      <rPr>
        <b/>
        <sz val="10"/>
        <rFont val="Times New Roman"/>
        <family val="1"/>
      </rPr>
      <t>NF</t>
    </r>
    <r>
      <rPr>
        <b/>
        <sz val="10"/>
        <rFont val="宋体"/>
        <family val="3"/>
        <charset val="134"/>
      </rPr>
      <t>水</t>
    </r>
  </si>
  <si>
    <t>接头连接缓冲液</t>
  </si>
  <si>
    <t>接头连接酶</t>
  </si>
  <si>
    <r>
      <rPr>
        <b/>
        <sz val="10"/>
        <color rgb="FFFF0000"/>
        <rFont val="宋体"/>
        <family val="3"/>
        <charset val="134"/>
      </rPr>
      <t>Prime接头（</t>
    </r>
    <r>
      <rPr>
        <b/>
        <sz val="10"/>
        <color rgb="FFFF0000"/>
        <rFont val="Times New Roman"/>
        <family val="1"/>
      </rPr>
      <t>adapter-1uM</t>
    </r>
    <r>
      <rPr>
        <b/>
        <sz val="10"/>
        <color rgb="FFFF0000"/>
        <rFont val="宋体"/>
        <family val="3"/>
        <charset val="134"/>
      </rPr>
      <t>）</t>
    </r>
  </si>
  <si>
    <t>最后单加</t>
  </si>
  <si>
    <r>
      <rPr>
        <b/>
        <sz val="10"/>
        <rFont val="Times New Roman"/>
        <family val="1"/>
      </rPr>
      <t>PCR</t>
    </r>
    <r>
      <rPr>
        <b/>
        <sz val="10"/>
        <rFont val="宋体"/>
        <family val="3"/>
        <charset val="134"/>
      </rPr>
      <t>仪：</t>
    </r>
    <r>
      <rPr>
        <b/>
        <sz val="10"/>
        <rFont val="Times New Roman"/>
        <family val="1"/>
      </rPr>
      <t>20°C</t>
    </r>
    <r>
      <rPr>
        <b/>
        <sz val="10"/>
        <rFont val="宋体"/>
        <family val="3"/>
        <charset val="134"/>
      </rPr>
      <t>，</t>
    </r>
    <r>
      <rPr>
        <b/>
        <sz val="10"/>
        <rFont val="Times New Roman"/>
        <family val="1"/>
      </rPr>
      <t>5min→4 ℃</t>
    </r>
    <r>
      <rPr>
        <b/>
        <sz val="10"/>
        <rFont val="宋体"/>
        <family val="3"/>
        <charset val="134"/>
      </rPr>
      <t>，</t>
    </r>
    <r>
      <rPr>
        <b/>
        <sz val="10"/>
        <rFont val="Times New Roman"/>
        <family val="1"/>
      </rPr>
      <t>forever</t>
    </r>
    <r>
      <rPr>
        <b/>
        <sz val="10"/>
        <rFont val="宋体"/>
        <family val="3"/>
        <charset val="134"/>
      </rPr>
      <t>，需盖上热盖</t>
    </r>
  </si>
  <si>
    <t>5min</t>
  </si>
  <si>
    <t>接头连接产物纯化</t>
  </si>
  <si>
    <t>1. DNA磁珠室温平衡30min，使用前混匀</t>
  </si>
  <si>
    <r>
      <rPr>
        <b/>
        <sz val="10"/>
        <color rgb="FF000000"/>
        <rFont val="宋体"/>
        <family val="3"/>
        <charset val="134"/>
      </rPr>
      <t>（</t>
    </r>
    <r>
      <rPr>
        <b/>
        <sz val="10"/>
        <color rgb="FF000000"/>
        <rFont val="Times New Roman"/>
        <family val="1"/>
      </rPr>
      <t xml:space="preserve">  </t>
    </r>
    <r>
      <rPr>
        <b/>
        <sz val="10"/>
        <color rgb="FF000000"/>
        <rFont val="宋体"/>
        <family val="3"/>
        <charset val="134"/>
      </rPr>
      <t>）</t>
    </r>
  </si>
  <si>
    <r>
      <rPr>
        <b/>
        <sz val="10"/>
        <color rgb="FF000000"/>
        <rFont val="Times New Roman"/>
        <family val="1"/>
      </rPr>
      <t xml:space="preserve">3. </t>
    </r>
    <r>
      <rPr>
        <b/>
        <sz val="10"/>
        <color rgb="FF000000"/>
        <rFont val="宋体"/>
        <family val="3"/>
        <charset val="134"/>
      </rPr>
      <t>上磁力板</t>
    </r>
    <r>
      <rPr>
        <b/>
        <sz val="10"/>
        <color rgb="FF000000"/>
        <rFont val="Times New Roman"/>
        <family val="1"/>
      </rPr>
      <t>3min</t>
    </r>
    <r>
      <rPr>
        <b/>
        <sz val="10"/>
        <color rgb="FF000000"/>
        <rFont val="宋体"/>
        <family val="3"/>
        <charset val="134"/>
      </rPr>
      <t>，弃去上清，离心后用</t>
    </r>
    <r>
      <rPr>
        <b/>
        <sz val="10"/>
        <color rgb="FF000000"/>
        <rFont val="Times New Roman"/>
        <family val="1"/>
      </rPr>
      <t>10ul</t>
    </r>
    <r>
      <rPr>
        <b/>
        <sz val="10"/>
        <color rgb="FF000000"/>
        <rFont val="宋体"/>
        <family val="3"/>
        <charset val="134"/>
      </rPr>
      <t>枪头弃净上清</t>
    </r>
  </si>
  <si>
    <r>
      <rPr>
        <b/>
        <sz val="10"/>
        <color rgb="FF000000"/>
        <rFont val="Times New Roman"/>
        <family val="1"/>
      </rPr>
      <t xml:space="preserve">2. </t>
    </r>
    <r>
      <rPr>
        <b/>
        <sz val="10"/>
        <color rgb="FF000000"/>
        <rFont val="宋体"/>
        <family val="3"/>
        <charset val="134"/>
      </rPr>
      <t>向</t>
    </r>
    <r>
      <rPr>
        <b/>
        <sz val="10"/>
        <color rgb="FF000000"/>
        <rFont val="Times New Roman"/>
        <family val="1"/>
      </rPr>
      <t>PCR</t>
    </r>
    <r>
      <rPr>
        <b/>
        <sz val="10"/>
        <color rgb="FF000000"/>
        <rFont val="宋体"/>
        <family val="3"/>
        <charset val="134"/>
      </rPr>
      <t>产物中加</t>
    </r>
    <r>
      <rPr>
        <b/>
        <sz val="10"/>
        <color rgb="FFFF0000"/>
        <rFont val="Times New Roman"/>
        <family val="1"/>
      </rPr>
      <t>0.5</t>
    </r>
    <r>
      <rPr>
        <b/>
        <sz val="10"/>
        <color rgb="FF000000"/>
        <rFont val="Times New Roman"/>
        <family val="1"/>
      </rPr>
      <t>×</t>
    </r>
    <r>
      <rPr>
        <b/>
        <sz val="10"/>
        <color rgb="FF000000"/>
        <rFont val="宋体"/>
        <family val="3"/>
        <charset val="134"/>
      </rPr>
      <t>（</t>
    </r>
    <r>
      <rPr>
        <b/>
        <sz val="10"/>
        <color rgb="FFFF0000"/>
        <rFont val="Times New Roman"/>
        <family val="1"/>
      </rPr>
      <t>50</t>
    </r>
    <r>
      <rPr>
        <b/>
        <sz val="10"/>
        <color rgb="FF000000"/>
        <rFont val="Times New Roman"/>
        <family val="1"/>
      </rPr>
      <t>µL</t>
    </r>
    <r>
      <rPr>
        <b/>
        <sz val="10"/>
        <color rgb="FF000000"/>
        <rFont val="宋体"/>
        <family val="3"/>
        <charset val="134"/>
      </rPr>
      <t>）</t>
    </r>
    <r>
      <rPr>
        <b/>
        <sz val="10"/>
        <color rgb="FF000000"/>
        <rFont val="Times New Roman"/>
        <family val="1"/>
      </rPr>
      <t>DNA</t>
    </r>
    <r>
      <rPr>
        <b/>
        <sz val="10"/>
        <color rgb="FF000000"/>
        <rFont val="宋体"/>
        <family val="3"/>
        <charset val="134"/>
      </rPr>
      <t>磁珠，震荡混匀后静置</t>
    </r>
    <r>
      <rPr>
        <b/>
        <sz val="10"/>
        <color rgb="FF000000"/>
        <rFont val="Times New Roman"/>
        <family val="1"/>
      </rPr>
      <t>5min</t>
    </r>
  </si>
  <si>
    <r>
      <rPr>
        <b/>
        <sz val="10"/>
        <color rgb="FF000000"/>
        <rFont val="Times New Roman"/>
        <family val="1"/>
      </rPr>
      <t>4.</t>
    </r>
    <r>
      <rPr>
        <b/>
        <sz val="10"/>
        <color rgb="FF000000"/>
        <rFont val="宋体"/>
        <family val="3"/>
        <charset val="134"/>
      </rPr>
      <t>向</t>
    </r>
    <r>
      <rPr>
        <b/>
        <sz val="10"/>
        <color rgb="FF000000"/>
        <rFont val="Times New Roman"/>
        <family val="1"/>
      </rPr>
      <t>3</t>
    </r>
    <r>
      <rPr>
        <b/>
        <sz val="10"/>
        <color rgb="FF000000"/>
        <rFont val="宋体"/>
        <family val="3"/>
        <charset val="134"/>
      </rPr>
      <t>中加入</t>
    </r>
    <r>
      <rPr>
        <b/>
        <sz val="10"/>
        <color rgb="FFFF0000"/>
        <rFont val="Times New Roman"/>
        <family val="1"/>
      </rPr>
      <t>20ul NF</t>
    </r>
    <r>
      <rPr>
        <b/>
        <sz val="10"/>
        <color rgb="FFFF0000"/>
        <rFont val="宋体"/>
        <family val="3"/>
        <charset val="134"/>
      </rPr>
      <t>水</t>
    </r>
    <r>
      <rPr>
        <b/>
        <sz val="10"/>
        <color rgb="FF000000"/>
        <rFont val="宋体"/>
        <family val="3"/>
        <charset val="134"/>
      </rPr>
      <t>，震荡混匀后瞬离</t>
    </r>
  </si>
  <si>
    <t>复核人：</t>
  </si>
  <si>
    <t>PCR</t>
  </si>
  <si>
    <r>
      <rPr>
        <b/>
        <sz val="10"/>
        <color rgb="FF000000"/>
        <rFont val="宋体"/>
        <family val="3"/>
        <charset val="134"/>
      </rPr>
      <t>单个用量（</t>
    </r>
    <r>
      <rPr>
        <b/>
        <sz val="10"/>
        <color rgb="FF000000"/>
        <rFont val="Times New Roman"/>
        <family val="1"/>
      </rPr>
      <t>µL</t>
    </r>
    <r>
      <rPr>
        <b/>
        <sz val="10"/>
        <color rgb="FF000000"/>
        <rFont val="宋体"/>
        <family val="3"/>
        <charset val="134"/>
      </rPr>
      <t>）</t>
    </r>
  </si>
  <si>
    <r>
      <rPr>
        <b/>
        <sz val="10"/>
        <color rgb="FF000000"/>
        <rFont val="宋体"/>
        <family val="3"/>
        <charset val="134"/>
      </rPr>
      <t>接头纯化后带磁珠的</t>
    </r>
    <r>
      <rPr>
        <b/>
        <sz val="10"/>
        <color rgb="FF000000"/>
        <rFont val="Times New Roman"/>
        <family val="1"/>
      </rPr>
      <t>DNA</t>
    </r>
    <r>
      <rPr>
        <b/>
        <sz val="10"/>
        <color rgb="FF000000"/>
        <rFont val="宋体"/>
        <family val="3"/>
        <charset val="134"/>
      </rPr>
      <t>溶液</t>
    </r>
  </si>
  <si>
    <t>扩增混合液</t>
  </si>
  <si>
    <r>
      <rPr>
        <b/>
        <sz val="10"/>
        <color rgb="FF000000"/>
        <rFont val="宋体"/>
        <family val="3"/>
        <charset val="134"/>
      </rPr>
      <t>单加</t>
    </r>
  </si>
  <si>
    <t>通用建库引物</t>
  </si>
  <si>
    <t>Total volume</t>
  </si>
  <si>
    <r>
      <rPr>
        <b/>
        <sz val="10"/>
        <rFont val="Times New Roman"/>
        <family val="1"/>
      </rPr>
      <t>PCR</t>
    </r>
    <r>
      <rPr>
        <b/>
        <sz val="10"/>
        <rFont val="宋体"/>
        <family val="3"/>
        <charset val="134"/>
      </rPr>
      <t>仪：（热盖）</t>
    </r>
    <r>
      <rPr>
        <b/>
        <sz val="10"/>
        <rFont val="Times New Roman"/>
        <family val="1"/>
      </rPr>
      <t>95℃</t>
    </r>
    <r>
      <rPr>
        <b/>
        <sz val="10"/>
        <rFont val="宋体"/>
        <family val="3"/>
        <charset val="134"/>
      </rPr>
      <t>，</t>
    </r>
    <r>
      <rPr>
        <b/>
        <sz val="10"/>
        <rFont val="Times New Roman"/>
        <family val="1"/>
      </rPr>
      <t>3min</t>
    </r>
    <r>
      <rPr>
        <b/>
        <sz val="10"/>
        <rFont val="宋体"/>
        <family val="3"/>
        <charset val="134"/>
      </rPr>
      <t>；（</t>
    </r>
    <r>
      <rPr>
        <b/>
        <sz val="10"/>
        <rFont val="Times New Roman"/>
        <family val="1"/>
      </rPr>
      <t>98℃</t>
    </r>
    <r>
      <rPr>
        <b/>
        <sz val="10"/>
        <rFont val="宋体"/>
        <family val="3"/>
        <charset val="134"/>
      </rPr>
      <t>，</t>
    </r>
    <r>
      <rPr>
        <b/>
        <sz val="10"/>
        <rFont val="Times New Roman"/>
        <family val="1"/>
      </rPr>
      <t>20s</t>
    </r>
    <r>
      <rPr>
        <b/>
        <sz val="10"/>
        <rFont val="宋体"/>
        <family val="3"/>
        <charset val="134"/>
      </rPr>
      <t>；</t>
    </r>
    <r>
      <rPr>
        <b/>
        <sz val="10"/>
        <rFont val="Times New Roman"/>
        <family val="1"/>
      </rPr>
      <t>60℃</t>
    </r>
    <r>
      <rPr>
        <b/>
        <sz val="10"/>
        <rFont val="宋体"/>
        <family val="3"/>
        <charset val="134"/>
      </rPr>
      <t>，</t>
    </r>
    <r>
      <rPr>
        <b/>
        <sz val="10"/>
        <rFont val="Times New Roman"/>
        <family val="1"/>
      </rPr>
      <t>15s;72℃</t>
    </r>
    <r>
      <rPr>
        <b/>
        <sz val="10"/>
        <rFont val="宋体"/>
        <family val="3"/>
        <charset val="134"/>
      </rPr>
      <t>，</t>
    </r>
    <r>
      <rPr>
        <b/>
        <sz val="10"/>
        <rFont val="Times New Roman"/>
        <family val="1"/>
      </rPr>
      <t>30s)</t>
    </r>
    <r>
      <rPr>
        <b/>
        <sz val="10"/>
        <rFont val="宋体"/>
        <family val="3"/>
        <charset val="134"/>
      </rPr>
      <t>，</t>
    </r>
    <r>
      <rPr>
        <b/>
        <sz val="10"/>
        <color rgb="FFFF0000"/>
        <rFont val="Times New Roman"/>
        <family val="1"/>
      </rPr>
      <t>15cycle</t>
    </r>
    <r>
      <rPr>
        <b/>
        <sz val="10"/>
        <rFont val="宋体"/>
        <family val="3"/>
        <charset val="134"/>
      </rPr>
      <t>；</t>
    </r>
    <r>
      <rPr>
        <b/>
        <sz val="10"/>
        <rFont val="Times New Roman"/>
        <family val="1"/>
      </rPr>
      <t>72℃</t>
    </r>
    <r>
      <rPr>
        <b/>
        <sz val="10"/>
        <rFont val="宋体"/>
        <family val="3"/>
        <charset val="134"/>
      </rPr>
      <t>，</t>
    </r>
    <r>
      <rPr>
        <b/>
        <sz val="10"/>
        <rFont val="Times New Roman"/>
        <family val="1"/>
      </rPr>
      <t>5min</t>
    </r>
    <r>
      <rPr>
        <b/>
        <sz val="10"/>
        <rFont val="宋体"/>
        <family val="3"/>
        <charset val="134"/>
      </rPr>
      <t>；</t>
    </r>
    <r>
      <rPr>
        <b/>
        <sz val="10"/>
        <rFont val="Times New Roman"/>
        <family val="1"/>
      </rPr>
      <t>4℃</t>
    </r>
    <r>
      <rPr>
        <b/>
        <sz val="10"/>
        <rFont val="宋体"/>
        <family val="3"/>
        <charset val="134"/>
      </rPr>
      <t>，</t>
    </r>
    <r>
      <rPr>
        <b/>
        <sz val="10"/>
        <rFont val="Times New Roman"/>
        <family val="1"/>
      </rPr>
      <t>hold</t>
    </r>
  </si>
  <si>
    <t>37min</t>
  </si>
  <si>
    <r>
      <rPr>
        <b/>
        <sz val="10"/>
        <rFont val="Times New Roman"/>
        <family val="1"/>
      </rPr>
      <t>Post-PCR</t>
    </r>
    <r>
      <rPr>
        <b/>
        <sz val="10"/>
        <rFont val="宋体"/>
        <family val="3"/>
        <charset val="134"/>
      </rPr>
      <t>后纯化</t>
    </r>
  </si>
  <si>
    <t>1.DNA磁珠室温平衡30 min，使用前混匀</t>
  </si>
  <si>
    <t>（    ）</t>
  </si>
  <si>
    <t>7.加入NF水配置的80%乙醇200 µL，转管2周
，弃去上清</t>
  </si>
  <si>
    <r>
      <rPr>
        <b/>
        <sz val="10"/>
        <rFont val="等线"/>
        <family val="3"/>
        <charset val="134"/>
      </rPr>
      <t>2.使用</t>
    </r>
    <r>
      <rPr>
        <b/>
        <sz val="10"/>
        <color rgb="FFFF0000"/>
        <rFont val="等线"/>
        <family val="3"/>
        <charset val="134"/>
      </rPr>
      <t>45</t>
    </r>
    <r>
      <rPr>
        <b/>
        <sz val="10"/>
        <rFont val="等线"/>
        <family val="3"/>
        <charset val="134"/>
      </rPr>
      <t xml:space="preserve"> μL（</t>
    </r>
    <r>
      <rPr>
        <b/>
        <sz val="10"/>
        <color rgb="FFFF0000"/>
        <rFont val="等线"/>
        <family val="3"/>
        <charset val="134"/>
      </rPr>
      <t>0.9X</t>
    </r>
    <r>
      <rPr>
        <b/>
        <sz val="10"/>
        <rFont val="等线"/>
        <family val="3"/>
        <charset val="134"/>
      </rPr>
      <t>）磁珠纯化</t>
    </r>
  </si>
  <si>
    <t>8.重复步骤7一遍，瞬离，弃去残余乙醇</t>
  </si>
  <si>
    <t>3.磁珠与样品混合震荡，室温静置5 min</t>
  </si>
  <si>
    <t>9. 37°C烘干至磁珠表面哑光，勿过度干燥</t>
  </si>
  <si>
    <t>4.上磁力架3 min，弃去上清</t>
  </si>
  <si>
    <t>10.加25µL NF water洗脱</t>
  </si>
  <si>
    <r>
      <rPr>
        <b/>
        <sz val="10"/>
        <rFont val="等线"/>
        <family val="3"/>
        <charset val="134"/>
      </rPr>
      <t>5.加入</t>
    </r>
    <r>
      <rPr>
        <b/>
        <sz val="10"/>
        <color rgb="FFFF0000"/>
        <rFont val="等线"/>
        <family val="3"/>
        <charset val="134"/>
      </rPr>
      <t>接头清除液50μl</t>
    </r>
    <r>
      <rPr>
        <b/>
        <sz val="10"/>
        <rFont val="等线"/>
        <family val="3"/>
        <charset val="134"/>
      </rPr>
      <t>混匀，静置5min，震荡混匀</t>
    </r>
  </si>
  <si>
    <t>11.震荡混匀,静置2min，</t>
  </si>
  <si>
    <t>6.上磁力架3 min，弃去上清</t>
  </si>
  <si>
    <t>12 上磁力架2min，收集22 µL上清液</t>
  </si>
  <si>
    <t>定量</t>
  </si>
  <si>
    <r>
      <rPr>
        <b/>
        <sz val="10"/>
        <rFont val="宋体"/>
        <family val="3"/>
        <charset val="134"/>
      </rPr>
      <t>测浓度：□</t>
    </r>
    <r>
      <rPr>
        <b/>
        <sz val="10"/>
        <rFont val="Times New Roman"/>
        <family val="1"/>
      </rPr>
      <t xml:space="preserve">Qubit HS       </t>
    </r>
    <r>
      <rPr>
        <b/>
        <sz val="10"/>
        <rFont val="宋体"/>
        <family val="3"/>
        <charset val="134"/>
      </rPr>
      <t>□酶标仪</t>
    </r>
    <r>
      <rPr>
        <b/>
        <sz val="10"/>
        <rFont val="Times New Roman"/>
        <family val="1"/>
      </rPr>
      <t xml:space="preserve">       </t>
    </r>
    <r>
      <rPr>
        <b/>
        <sz val="10"/>
        <rFont val="宋体"/>
        <family val="3"/>
        <charset val="134"/>
      </rPr>
      <t>□其他检测方法</t>
    </r>
    <r>
      <rPr>
        <b/>
        <sz val="10"/>
        <rFont val="Times New Roman"/>
        <family val="1"/>
      </rPr>
      <t>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</si>
</sst>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8" formatCode="yyyy/m/d\ h:mm;@"/>
    <numFmt numFmtId="179" formatCode="0.0"/>
    <numFmt numFmtId="180" formatCode="0.00000000_ "/>
    <numFmt numFmtId="181" formatCode="0.00_ "/>
    <numFmt numFmtId="182" formatCode="0.0_);[Red]\(0.0\)"/>
    <numFmt numFmtId="183" formatCode="0.0_ "/>
    <numFmt numFmtId="184" formatCode="0_);[Red]\(0\)"/>
    <numFmt numFmtId="185" formatCode="0;_"/>
    <numFmt numFmtId="186" formatCode="0_ "/>
    <numFmt numFmtId="187" formatCode="h:mm:ss;@"/>
    <numFmt numFmtId="188" formatCode="0.00_);[Red]\(0.00\)"/>
    <numFmt numFmtId="189" formatCode="#,##0_ "/>
    <numFmt numFmtId="190" formatCode="yyyy\/m\/d;@"/>
  </numFmts>
  <fonts count="99">
    <font>
      <sz val="11"/>
      <color theme="1"/>
      <name val="宋体"/>
      <charset val="134"/>
      <scheme val="minor"/>
    </font>
    <font>
      <b/>
      <sz val="2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9"/>
      <color rgb="FFFF0000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u/>
      <sz val="10"/>
      <color rgb="FFFF0000"/>
      <name val="宋体"/>
      <family val="3"/>
      <charset val="134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b/>
      <sz val="10"/>
      <name val="宋体"/>
      <family val="3"/>
      <charset val="134"/>
    </font>
    <font>
      <b/>
      <sz val="10"/>
      <name val="等线"/>
      <family val="3"/>
      <charset val="134"/>
    </font>
    <font>
      <sz val="11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name val="Calibri"/>
      <family val="2"/>
    </font>
    <font>
      <sz val="11"/>
      <color theme="1"/>
      <name val="Times New Roman"/>
      <family val="1"/>
    </font>
    <font>
      <b/>
      <sz val="18"/>
      <color rgb="FF000000"/>
      <name val="Times New Roman"/>
      <family val="1"/>
    </font>
    <font>
      <b/>
      <sz val="18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宋体"/>
      <family val="3"/>
      <charset val="134"/>
    </font>
    <font>
      <sz val="9"/>
      <color indexed="8"/>
      <name val="Times New Roman"/>
      <family val="1"/>
    </font>
    <font>
      <sz val="9"/>
      <name val="宋体"/>
      <family val="3"/>
      <charset val="134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0000"/>
      <name val="Times New Roman"/>
      <family val="1"/>
    </font>
    <font>
      <sz val="9"/>
      <color rgb="FFFF0000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indexed="8"/>
      <name val="宋体"/>
      <family val="3"/>
      <charset val="134"/>
    </font>
    <font>
      <b/>
      <sz val="16"/>
      <color theme="1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3"/>
      <charset val="134"/>
    </font>
    <font>
      <sz val="1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0"/>
      <name val="宋体"/>
      <family val="3"/>
      <charset val="134"/>
      <scheme val="minor"/>
    </font>
    <font>
      <sz val="11"/>
      <color indexed="9"/>
      <name val="宋体"/>
      <family val="3"/>
      <charset val="134"/>
    </font>
    <font>
      <sz val="10"/>
      <name val="Arial"/>
      <family val="2"/>
    </font>
    <font>
      <b/>
      <sz val="15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8"/>
      <color indexed="56"/>
      <name val="宋体"/>
      <family val="3"/>
      <charset val="134"/>
    </font>
    <font>
      <sz val="12"/>
      <color rgb="FF9C0006"/>
      <name val="宋体"/>
      <family val="3"/>
      <charset val="134"/>
      <scheme val="minor"/>
    </font>
    <font>
      <sz val="11"/>
      <color indexed="60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name val="Tahoma"/>
      <family val="2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Tahoma"/>
      <family val="2"/>
    </font>
    <font>
      <u/>
      <sz val="11"/>
      <color rgb="FF0000FF"/>
      <name val="宋体"/>
      <family val="3"/>
      <charset val="134"/>
      <scheme val="minor"/>
    </font>
    <font>
      <u/>
      <sz val="11"/>
      <color indexed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2"/>
      <color rgb="FF006100"/>
      <name val="宋体"/>
      <family val="3"/>
      <charset val="134"/>
      <scheme val="minor"/>
    </font>
    <font>
      <sz val="11"/>
      <color indexed="17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2"/>
      <color rgb="FFFA7D00"/>
      <name val="宋体"/>
      <family val="3"/>
      <charset val="134"/>
      <scheme val="minor"/>
    </font>
    <font>
      <b/>
      <sz val="12"/>
      <color theme="0"/>
      <name val="宋体"/>
      <family val="3"/>
      <charset val="134"/>
      <scheme val="minor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i/>
      <sz val="12"/>
      <color rgb="FF7F7F7F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2"/>
      <color rgb="FFFA7D00"/>
      <name val="宋体"/>
      <family val="3"/>
      <charset val="134"/>
      <scheme val="minor"/>
    </font>
    <font>
      <sz val="12"/>
      <color rgb="FF9C6500"/>
      <name val="宋体"/>
      <family val="3"/>
      <charset val="134"/>
      <scheme val="minor"/>
    </font>
    <font>
      <b/>
      <sz val="12"/>
      <color rgb="FF3F3F3F"/>
      <name val="宋体"/>
      <family val="3"/>
      <charset val="134"/>
      <scheme val="minor"/>
    </font>
    <font>
      <b/>
      <sz val="11"/>
      <color indexed="63"/>
      <name val="宋体"/>
      <family val="3"/>
      <charset val="134"/>
    </font>
    <font>
      <sz val="12"/>
      <color rgb="FF3F3F76"/>
      <name val="宋体"/>
      <family val="3"/>
      <charset val="134"/>
      <scheme val="minor"/>
    </font>
    <font>
      <sz val="11"/>
      <color indexed="62"/>
      <name val="宋体"/>
      <family val="3"/>
      <charset val="134"/>
    </font>
    <font>
      <b/>
      <sz val="11"/>
      <color theme="1"/>
      <name val="Calibri"/>
      <family val="2"/>
    </font>
    <font>
      <b/>
      <sz val="11"/>
      <color theme="1"/>
      <name val="Symbol"/>
      <family val="1"/>
      <charset val="2"/>
    </font>
    <font>
      <b/>
      <sz val="9"/>
      <name val="宋体"/>
      <family val="3"/>
      <charset val="134"/>
    </font>
    <font>
      <b/>
      <sz val="9"/>
      <color rgb="FF000000"/>
      <name val="Times New Roman"/>
      <family val="1"/>
    </font>
    <font>
      <b/>
      <sz val="10"/>
      <color rgb="FFFF0000"/>
      <name val="等线"/>
      <family val="3"/>
      <charset val="134"/>
    </font>
    <font>
      <b/>
      <sz val="20"/>
      <color theme="1"/>
      <name val="楷体"/>
      <family val="3"/>
      <charset val="134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b/>
      <sz val="16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3966490676595355"/>
        <bgColor indexed="64"/>
      </patternFill>
    </fill>
    <fill>
      <patternFill patternType="solid">
        <fgColor theme="7" tint="0.3966490676595355"/>
        <bgColor indexed="64"/>
      </patternFill>
    </fill>
    <fill>
      <patternFill patternType="solid">
        <fgColor theme="9" tint="0.3966490676595355"/>
        <bgColor indexed="64"/>
      </patternFill>
    </fill>
    <fill>
      <patternFill patternType="solid">
        <fgColor theme="3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771721549119543"/>
        <bgColor indexed="64"/>
      </patternFill>
    </fill>
    <fill>
      <patternFill patternType="solid">
        <fgColor theme="4" tint="0.39768669698171943"/>
        <bgColor indexed="64"/>
      </patternFill>
    </fill>
    <fill>
      <patternFill patternType="solid">
        <fgColor theme="5" tint="0.39771721549119543"/>
        <bgColor indexed="64"/>
      </patternFill>
    </fill>
    <fill>
      <patternFill patternType="solid">
        <fgColor theme="5" tint="0.39768669698171943"/>
        <bgColor indexed="64"/>
      </patternFill>
    </fill>
    <fill>
      <patternFill patternType="solid">
        <fgColor theme="6" tint="0.39771721549119543"/>
        <bgColor indexed="64"/>
      </patternFill>
    </fill>
    <fill>
      <patternFill patternType="solid">
        <fgColor theme="6" tint="0.397686696981719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7" tint="0.39771721549119543"/>
        <bgColor indexed="64"/>
      </patternFill>
    </fill>
    <fill>
      <patternFill patternType="solid">
        <fgColor theme="7" tint="0.397686696981719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39771721549119543"/>
        <bgColor indexed="64"/>
      </patternFill>
    </fill>
    <fill>
      <patternFill patternType="solid">
        <fgColor theme="8" tint="0.397686696981719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39771721549119543"/>
        <bgColor indexed="64"/>
      </patternFill>
    </fill>
    <fill>
      <patternFill patternType="solid">
        <fgColor theme="9" tint="0.39768669698171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/>
      <right/>
      <top style="medium">
        <color rgb="FFC00000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theme="4" tint="0.39771721549119543"/>
      </bottom>
      <diagonal/>
    </border>
    <border>
      <left/>
      <right/>
      <top/>
      <bottom style="medium">
        <color theme="4" tint="0.39768669698171943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19">
    <xf numFmtId="0" fontId="0" fillId="0" borderId="0">
      <alignment vertical="center"/>
    </xf>
    <xf numFmtId="0" fontId="40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7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0" borderId="0"/>
    <xf numFmtId="0" fontId="42" fillId="0" borderId="44" applyNumberFormat="0" applyFill="0" applyAlignment="0" applyProtection="0">
      <alignment vertical="center"/>
    </xf>
    <xf numFmtId="0" fontId="50" fillId="0" borderId="45" applyNumberFormat="0" applyFill="0" applyAlignment="0" applyProtection="0">
      <alignment vertical="center"/>
    </xf>
    <xf numFmtId="0" fontId="51" fillId="0" borderId="46" applyNumberFormat="0" applyFill="0" applyAlignment="0" applyProtection="0">
      <alignment vertical="center"/>
    </xf>
    <xf numFmtId="0" fontId="52" fillId="0" borderId="47" applyNumberFormat="0" applyFill="0" applyAlignment="0" applyProtection="0">
      <alignment vertical="center"/>
    </xf>
    <xf numFmtId="0" fontId="43" fillId="0" borderId="48" applyNumberFormat="0" applyFill="0" applyAlignment="0" applyProtection="0">
      <alignment vertical="center"/>
    </xf>
    <xf numFmtId="0" fontId="53" fillId="0" borderId="4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4" fillId="0" borderId="50" applyNumberFormat="0" applyFill="0" applyAlignment="0" applyProtection="0">
      <alignment vertical="center"/>
    </xf>
    <xf numFmtId="0" fontId="44" fillId="0" borderId="51" applyNumberFormat="0" applyFill="0" applyAlignment="0" applyProtection="0">
      <alignment vertical="center"/>
    </xf>
    <xf numFmtId="0" fontId="55" fillId="0" borderId="52" applyNumberFormat="0" applyFill="0" applyAlignment="0" applyProtection="0">
      <alignment vertical="center"/>
    </xf>
    <xf numFmtId="0" fontId="56" fillId="0" borderId="53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97" fillId="0" borderId="0">
      <alignment vertical="center"/>
    </xf>
    <xf numFmtId="0" fontId="40" fillId="0" borderId="0">
      <alignment vertical="center"/>
    </xf>
    <xf numFmtId="0" fontId="97" fillId="0" borderId="0">
      <alignment vertical="center"/>
    </xf>
    <xf numFmtId="0" fontId="62" fillId="0" borderId="0">
      <alignment vertical="center"/>
    </xf>
    <xf numFmtId="0" fontId="46" fillId="0" borderId="0">
      <alignment vertical="center"/>
    </xf>
    <xf numFmtId="0" fontId="63" fillId="0" borderId="0">
      <alignment vertical="center"/>
    </xf>
    <xf numFmtId="0" fontId="40" fillId="0" borderId="0" applyProtection="0">
      <alignment vertical="center"/>
    </xf>
    <xf numFmtId="0" fontId="64" fillId="0" borderId="0" applyProtection="0">
      <alignment vertical="center"/>
    </xf>
    <xf numFmtId="0" fontId="40" fillId="0" borderId="0">
      <alignment vertical="center"/>
    </xf>
    <xf numFmtId="0" fontId="65" fillId="0" borderId="0"/>
    <xf numFmtId="0" fontId="97" fillId="0" borderId="0">
      <alignment vertical="center"/>
    </xf>
    <xf numFmtId="0" fontId="64" fillId="0" borderId="0">
      <alignment vertical="center"/>
    </xf>
    <xf numFmtId="0" fontId="40" fillId="0" borderId="0">
      <alignment vertical="center"/>
    </xf>
    <xf numFmtId="0" fontId="64" fillId="0" borderId="0"/>
    <xf numFmtId="0" fontId="97" fillId="0" borderId="0"/>
    <xf numFmtId="0" fontId="4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69" fillId="17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1" fillId="0" borderId="43" applyNumberFormat="0" applyFill="0" applyAlignment="0" applyProtection="0">
      <alignment vertical="center"/>
    </xf>
    <xf numFmtId="0" fontId="72" fillId="0" borderId="54" applyNumberFormat="0" applyFill="0" applyAlignment="0" applyProtection="0">
      <alignment vertical="center"/>
    </xf>
    <xf numFmtId="0" fontId="72" fillId="0" borderId="55" applyNumberFormat="0" applyFill="0" applyAlignment="0" applyProtection="0">
      <alignment vertical="center"/>
    </xf>
    <xf numFmtId="0" fontId="73" fillId="62" borderId="56" applyNumberFormat="0" applyAlignment="0" applyProtection="0">
      <alignment vertical="center"/>
    </xf>
    <xf numFmtId="0" fontId="74" fillId="15" borderId="39" applyNumberFormat="0" applyAlignment="0" applyProtection="0">
      <alignment vertical="center"/>
    </xf>
    <xf numFmtId="0" fontId="73" fillId="63" borderId="56" applyNumberFormat="0" applyAlignment="0" applyProtection="0">
      <alignment vertical="center"/>
    </xf>
    <xf numFmtId="0" fontId="75" fillId="16" borderId="41" applyNumberFormat="0" applyAlignment="0" applyProtection="0">
      <alignment vertical="center"/>
    </xf>
    <xf numFmtId="0" fontId="76" fillId="64" borderId="57" applyNumberFormat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58" applyNumberFormat="0" applyFill="0" applyAlignment="0" applyProtection="0">
      <alignment vertical="center"/>
    </xf>
    <xf numFmtId="0" fontId="82" fillId="0" borderId="42" applyNumberFormat="0" applyFill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8" fillId="6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84" fillId="15" borderId="40" applyNumberFormat="0" applyAlignment="0" applyProtection="0">
      <alignment vertical="center"/>
    </xf>
    <xf numFmtId="0" fontId="85" fillId="62" borderId="59" applyNumberFormat="0" applyAlignment="0" applyProtection="0">
      <alignment vertical="center"/>
    </xf>
    <xf numFmtId="0" fontId="85" fillId="63" borderId="59" applyNumberFormat="0" applyAlignment="0" applyProtection="0">
      <alignment vertical="center"/>
    </xf>
    <xf numFmtId="0" fontId="86" fillId="14" borderId="39" applyNumberFormat="0" applyAlignment="0" applyProtection="0">
      <alignment vertical="center"/>
    </xf>
    <xf numFmtId="0" fontId="87" fillId="40" borderId="56" applyNumberFormat="0" applyAlignment="0" applyProtection="0">
      <alignment vertical="center"/>
    </xf>
    <xf numFmtId="0" fontId="46" fillId="13" borderId="38" applyNumberFormat="0" applyFont="0" applyAlignment="0" applyProtection="0">
      <alignment vertical="center"/>
    </xf>
    <xf numFmtId="0" fontId="40" fillId="71" borderId="60" applyNumberFormat="0" applyFont="0" applyAlignment="0" applyProtection="0">
      <alignment vertical="center"/>
    </xf>
  </cellStyleXfs>
  <cellXfs count="280">
    <xf numFmtId="0" fontId="0" fillId="0" borderId="0" xfId="0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7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1" fillId="0" borderId="6" xfId="64" applyFont="1" applyBorder="1" applyAlignment="1" applyProtection="1">
      <alignment horizontal="center" vertical="center"/>
      <protection hidden="1"/>
    </xf>
    <xf numFmtId="0" fontId="10" fillId="0" borderId="6" xfId="64" applyFont="1" applyBorder="1" applyAlignment="1">
      <alignment horizontal="center" vertical="center" wrapText="1"/>
    </xf>
    <xf numFmtId="0" fontId="12" fillId="0" borderId="6" xfId="64" applyFont="1" applyBorder="1">
      <alignment vertical="center"/>
    </xf>
    <xf numFmtId="0" fontId="0" fillId="0" borderId="0" xfId="0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49" fontId="13" fillId="4" borderId="6" xfId="0" applyNumberFormat="1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49" fontId="0" fillId="4" borderId="6" xfId="0" applyNumberFormat="1" applyFill="1" applyBorder="1" applyAlignment="1">
      <alignment horizontal="center" vertical="center" wrapText="1"/>
    </xf>
    <xf numFmtId="49" fontId="15" fillId="4" borderId="6" xfId="0" applyNumberFormat="1" applyFont="1" applyFill="1" applyBorder="1" applyAlignment="1">
      <alignment horizontal="center" vertical="center" wrapText="1"/>
    </xf>
    <xf numFmtId="49" fontId="16" fillId="4" borderId="6" xfId="0" applyNumberFormat="1" applyFont="1" applyFill="1" applyBorder="1" applyAlignment="1">
      <alignment horizontal="center" vertical="center" wrapText="1"/>
    </xf>
    <xf numFmtId="49" fontId="14" fillId="4" borderId="6" xfId="0" applyNumberFormat="1" applyFont="1" applyFill="1" applyBorder="1" applyAlignment="1">
      <alignment horizontal="center" vertical="center" wrapText="1"/>
    </xf>
    <xf numFmtId="49" fontId="17" fillId="4" borderId="6" xfId="0" applyNumberFormat="1" applyFont="1" applyFill="1" applyBorder="1" applyAlignment="1">
      <alignment horizontal="center" vertical="center" wrapText="1"/>
    </xf>
    <xf numFmtId="49" fontId="15" fillId="5" borderId="6" xfId="0" applyNumberFormat="1" applyFont="1" applyFill="1" applyBorder="1" applyAlignment="1">
      <alignment horizontal="center" vertical="center" wrapText="1"/>
    </xf>
    <xf numFmtId="49" fontId="0" fillId="5" borderId="6" xfId="0" applyNumberFormat="1" applyFill="1" applyBorder="1" applyAlignment="1">
      <alignment horizontal="center" vertical="center" wrapText="1"/>
    </xf>
    <xf numFmtId="178" fontId="0" fillId="0" borderId="6" xfId="0" applyNumberFormat="1" applyBorder="1" applyAlignment="1">
      <alignment horizontal="center" vertical="center" wrapText="1"/>
    </xf>
    <xf numFmtId="49" fontId="15" fillId="6" borderId="6" xfId="0" applyNumberFormat="1" applyFont="1" applyFill="1" applyBorder="1" applyAlignment="1">
      <alignment horizontal="center" vertical="center" wrapText="1"/>
    </xf>
    <xf numFmtId="49" fontId="0" fillId="6" borderId="6" xfId="0" applyNumberForma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2" fillId="0" borderId="6" xfId="79" applyFont="1" applyBorder="1">
      <alignment vertical="center"/>
    </xf>
    <xf numFmtId="0" fontId="23" fillId="0" borderId="6" xfId="65" applyFont="1" applyBorder="1" applyAlignment="1">
      <alignment horizontal="center" vertical="center"/>
    </xf>
    <xf numFmtId="0" fontId="23" fillId="0" borderId="6" xfId="65" applyFont="1" applyBorder="1" applyAlignment="1"/>
    <xf numFmtId="0" fontId="0" fillId="0" borderId="6" xfId="0" applyBorder="1" applyAlignment="1"/>
    <xf numFmtId="0" fontId="26" fillId="0" borderId="6" xfId="79" applyFont="1" applyBorder="1" applyAlignment="1">
      <alignment horizontal="center" vertical="center" wrapText="1"/>
    </xf>
    <xf numFmtId="0" fontId="25" fillId="7" borderId="6" xfId="79" applyFont="1" applyFill="1" applyBorder="1" applyAlignment="1">
      <alignment horizontal="center" vertical="center" wrapText="1"/>
    </xf>
    <xf numFmtId="179" fontId="28" fillId="0" borderId="6" xfId="65" applyNumberFormat="1" applyFont="1" applyBorder="1" applyAlignment="1">
      <alignment horizontal="center" vertical="center"/>
    </xf>
    <xf numFmtId="0" fontId="28" fillId="0" borderId="6" xfId="65" applyFont="1" applyBorder="1" applyAlignment="1">
      <alignment horizontal="center" vertical="center"/>
    </xf>
    <xf numFmtId="0" fontId="23" fillId="7" borderId="6" xfId="65" applyFont="1" applyFill="1" applyBorder="1" applyAlignment="1">
      <alignment horizontal="center" vertical="center"/>
    </xf>
    <xf numFmtId="179" fontId="23" fillId="8" borderId="6" xfId="79" applyNumberFormat="1" applyFont="1" applyFill="1" applyBorder="1" applyAlignment="1">
      <alignment horizontal="center" vertical="center" wrapText="1"/>
    </xf>
    <xf numFmtId="0" fontId="23" fillId="7" borderId="6" xfId="79" applyFont="1" applyFill="1" applyBorder="1" applyAlignment="1">
      <alignment horizontal="center" vertical="center" wrapText="1"/>
    </xf>
    <xf numFmtId="0" fontId="23" fillId="0" borderId="6" xfId="79" applyFont="1" applyBorder="1" applyAlignment="1">
      <alignment horizontal="center" vertical="center"/>
    </xf>
    <xf numFmtId="0" fontId="13" fillId="9" borderId="21" xfId="74" applyFont="1" applyFill="1" applyBorder="1" applyAlignment="1">
      <alignment horizontal="center" vertical="center" wrapText="1"/>
    </xf>
    <xf numFmtId="0" fontId="13" fillId="9" borderId="6" xfId="74" applyFont="1" applyFill="1" applyBorder="1" applyAlignment="1">
      <alignment horizontal="center" vertical="center" wrapText="1"/>
    </xf>
    <xf numFmtId="0" fontId="32" fillId="9" borderId="6" xfId="74" applyFont="1" applyFill="1" applyBorder="1" applyAlignment="1">
      <alignment vertical="center" wrapText="1"/>
    </xf>
    <xf numFmtId="181" fontId="13" fillId="9" borderId="6" xfId="74" applyNumberFormat="1" applyFont="1" applyFill="1" applyBorder="1" applyAlignment="1">
      <alignment horizontal="center" vertical="center" wrapText="1"/>
    </xf>
    <xf numFmtId="0" fontId="32" fillId="9" borderId="6" xfId="74" applyFont="1" applyFill="1" applyBorder="1" applyAlignment="1">
      <alignment horizontal="center" vertical="center" wrapText="1"/>
    </xf>
    <xf numFmtId="182" fontId="13" fillId="9" borderId="6" xfId="74" applyNumberFormat="1" applyFont="1" applyFill="1" applyBorder="1" applyAlignment="1">
      <alignment horizontal="center" vertical="center" wrapText="1"/>
    </xf>
    <xf numFmtId="181" fontId="32" fillId="9" borderId="22" xfId="74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81" fontId="13" fillId="9" borderId="0" xfId="74" applyNumberFormat="1" applyFont="1" applyFill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97" fillId="0" borderId="6" xfId="66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1" fontId="18" fillId="0" borderId="6" xfId="0" applyNumberFormat="1" applyFont="1" applyBorder="1" applyAlignment="1">
      <alignment horizontal="center" vertical="center"/>
    </xf>
    <xf numFmtId="183" fontId="0" fillId="0" borderId="6" xfId="0" applyNumberFormat="1" applyBorder="1" applyAlignment="1">
      <alignment horizontal="center" vertical="center"/>
    </xf>
    <xf numFmtId="182" fontId="14" fillId="0" borderId="6" xfId="0" applyNumberFormat="1" applyFont="1" applyBorder="1" applyAlignment="1">
      <alignment horizontal="center" vertical="center"/>
    </xf>
    <xf numFmtId="179" fontId="0" fillId="0" borderId="22" xfId="0" applyNumberFormat="1" applyBorder="1" applyAlignment="1">
      <alignment horizontal="center" vertical="center"/>
    </xf>
    <xf numFmtId="18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23" xfId="0" applyNumberFormat="1" applyBorder="1" applyAlignment="1">
      <alignment horizontal="center" vertical="center"/>
    </xf>
    <xf numFmtId="0" fontId="97" fillId="0" borderId="24" xfId="66" applyBorder="1" applyAlignment="1">
      <alignment horizontal="center" vertical="center"/>
    </xf>
    <xf numFmtId="0" fontId="13" fillId="0" borderId="0" xfId="74" applyFont="1" applyAlignment="1">
      <alignment horizontal="center" vertical="center" wrapText="1"/>
    </xf>
    <xf numFmtId="0" fontId="13" fillId="0" borderId="0" xfId="74" applyFont="1" applyAlignment="1">
      <alignment vertical="center" wrapText="1"/>
    </xf>
    <xf numFmtId="0" fontId="97" fillId="0" borderId="0" xfId="66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2" fontId="14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13" fillId="0" borderId="25" xfId="74" applyFont="1" applyBorder="1" applyAlignment="1">
      <alignment horizontal="center" vertical="center" wrapText="1"/>
    </xf>
    <xf numFmtId="0" fontId="97" fillId="0" borderId="26" xfId="66" applyBorder="1" applyAlignment="1">
      <alignment horizontal="center" vertical="center" wrapText="1"/>
    </xf>
    <xf numFmtId="183" fontId="0" fillId="0" borderId="26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14" fontId="13" fillId="0" borderId="0" xfId="74" applyNumberFormat="1" applyFont="1" applyAlignment="1">
      <alignment horizontal="center" vertical="center" wrapText="1"/>
    </xf>
    <xf numFmtId="0" fontId="13" fillId="0" borderId="23" xfId="74" applyFont="1" applyBorder="1" applyAlignment="1">
      <alignment horizontal="center" vertical="center" wrapText="1"/>
    </xf>
    <xf numFmtId="0" fontId="97" fillId="0" borderId="24" xfId="66" applyBorder="1" applyAlignment="1" applyProtection="1">
      <alignment horizontal="center" vertical="center"/>
      <protection locked="0"/>
    </xf>
    <xf numFmtId="183" fontId="0" fillId="10" borderId="24" xfId="0" applyNumberFormat="1" applyFill="1" applyBorder="1" applyAlignment="1">
      <alignment horizontal="center" vertical="center"/>
    </xf>
    <xf numFmtId="181" fontId="13" fillId="0" borderId="31" xfId="74" applyNumberFormat="1" applyFont="1" applyBorder="1" applyAlignment="1">
      <alignment horizontal="center" vertical="center" wrapText="1"/>
    </xf>
    <xf numFmtId="183" fontId="0" fillId="0" borderId="28" xfId="0" applyNumberFormat="1" applyBorder="1" applyAlignment="1">
      <alignment horizontal="center" vertical="center"/>
    </xf>
    <xf numFmtId="10" fontId="0" fillId="0" borderId="32" xfId="0" applyNumberFormat="1" applyBorder="1" applyAlignment="1">
      <alignment horizontal="center" vertical="center"/>
    </xf>
    <xf numFmtId="182" fontId="13" fillId="0" borderId="0" xfId="74" applyNumberFormat="1" applyFont="1" applyAlignment="1">
      <alignment horizontal="center" vertical="center" wrapText="1"/>
    </xf>
    <xf numFmtId="181" fontId="13" fillId="0" borderId="0" xfId="74" applyNumberFormat="1" applyFont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183" fontId="0" fillId="10" borderId="6" xfId="0" applyNumberFormat="1" applyFill="1" applyBorder="1" applyAlignment="1">
      <alignment horizontal="center" vertical="center"/>
    </xf>
    <xf numFmtId="181" fontId="0" fillId="0" borderId="6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185" fontId="0" fillId="0" borderId="6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86" fontId="0" fillId="0" borderId="24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4" fillId="0" borderId="0" xfId="0" applyFont="1">
      <alignment vertical="center"/>
    </xf>
    <xf numFmtId="187" fontId="35" fillId="11" borderId="15" xfId="72" applyNumberFormat="1" applyFont="1" applyFill="1" applyBorder="1" applyAlignment="1">
      <alignment horizontal="center" vertical="center" wrapText="1"/>
    </xf>
    <xf numFmtId="1" fontId="35" fillId="11" borderId="16" xfId="72" applyNumberFormat="1" applyFont="1" applyFill="1" applyBorder="1" applyAlignment="1">
      <alignment horizontal="center" vertical="center" wrapText="1"/>
    </xf>
    <xf numFmtId="0" fontId="35" fillId="11" borderId="15" xfId="72" applyFont="1" applyFill="1" applyBorder="1" applyAlignment="1">
      <alignment horizontal="center" vertical="center" wrapText="1"/>
    </xf>
    <xf numFmtId="0" fontId="36" fillId="11" borderId="15" xfId="72" applyFont="1" applyFill="1" applyBorder="1" applyAlignment="1">
      <alignment horizontal="center" vertical="center" wrapText="1"/>
    </xf>
    <xf numFmtId="0" fontId="36" fillId="11" borderId="15" xfId="76" applyFont="1" applyFill="1" applyBorder="1" applyAlignment="1">
      <alignment horizontal="center" vertical="center" wrapText="1"/>
    </xf>
    <xf numFmtId="188" fontId="35" fillId="11" borderId="15" xfId="72" applyNumberFormat="1" applyFont="1" applyFill="1" applyBorder="1" applyAlignment="1">
      <alignment horizontal="center" vertical="center" wrapText="1"/>
    </xf>
    <xf numFmtId="181" fontId="35" fillId="11" borderId="15" xfId="72" applyNumberFormat="1" applyFont="1" applyFill="1" applyBorder="1" applyAlignment="1">
      <alignment horizontal="center" vertical="center" wrapText="1"/>
    </xf>
    <xf numFmtId="49" fontId="36" fillId="2" borderId="15" xfId="72" applyNumberFormat="1" applyFont="1" applyFill="1" applyBorder="1" applyAlignment="1">
      <alignment horizontal="center" vertical="center" wrapText="1"/>
    </xf>
    <xf numFmtId="49" fontId="35" fillId="11" borderId="15" xfId="72" applyNumberFormat="1" applyFont="1" applyFill="1" applyBorder="1" applyAlignment="1">
      <alignment horizontal="center" vertical="center" wrapText="1"/>
    </xf>
    <xf numFmtId="0" fontId="37" fillId="2" borderId="15" xfId="72" applyFont="1" applyFill="1" applyBorder="1" applyAlignment="1">
      <alignment horizontal="center" vertical="center" wrapText="1"/>
    </xf>
    <xf numFmtId="0" fontId="37" fillId="11" borderId="15" xfId="72" applyFont="1" applyFill="1" applyBorder="1" applyAlignment="1">
      <alignment horizontal="center" vertical="center" wrapText="1"/>
    </xf>
    <xf numFmtId="0" fontId="35" fillId="11" borderId="16" xfId="72" applyFont="1" applyFill="1" applyBorder="1" applyAlignment="1">
      <alignment horizontal="center" vertical="center" wrapText="1"/>
    </xf>
    <xf numFmtId="189" fontId="35" fillId="11" borderId="15" xfId="72" applyNumberFormat="1" applyFont="1" applyFill="1" applyBorder="1" applyAlignment="1">
      <alignment horizontal="center" vertical="center" wrapText="1"/>
    </xf>
    <xf numFmtId="183" fontId="35" fillId="11" borderId="15" xfId="72" applyNumberFormat="1" applyFont="1" applyFill="1" applyBorder="1" applyAlignment="1">
      <alignment horizontal="center" vertical="center" wrapText="1"/>
    </xf>
    <xf numFmtId="0" fontId="35" fillId="11" borderId="4" xfId="72" applyFont="1" applyFill="1" applyBorder="1" applyAlignment="1">
      <alignment horizontal="center" vertical="center" wrapText="1"/>
    </xf>
    <xf numFmtId="14" fontId="38" fillId="0" borderId="6" xfId="0" applyNumberFormat="1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40" fillId="0" borderId="6" xfId="0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188" fontId="0" fillId="0" borderId="6" xfId="0" applyNumberFormat="1" applyBorder="1" applyAlignment="1">
      <alignment horizontal="center" vertical="center"/>
    </xf>
    <xf numFmtId="0" fontId="38" fillId="0" borderId="6" xfId="0" applyFont="1" applyBorder="1">
      <alignment vertical="center"/>
    </xf>
    <xf numFmtId="0" fontId="38" fillId="0" borderId="37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14" fontId="34" fillId="0" borderId="5" xfId="0" applyNumberFormat="1" applyFont="1" applyBorder="1" applyAlignment="1">
      <alignment horizontal="center" vertical="center"/>
    </xf>
    <xf numFmtId="188" fontId="34" fillId="0" borderId="6" xfId="0" applyNumberFormat="1" applyFont="1" applyBorder="1" applyAlignment="1">
      <alignment horizontal="center" vertical="center"/>
    </xf>
    <xf numFmtId="1" fontId="34" fillId="0" borderId="6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14" fontId="34" fillId="0" borderId="6" xfId="0" applyNumberFormat="1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190" fontId="35" fillId="0" borderId="6" xfId="66" applyNumberFormat="1" applyFont="1" applyBorder="1" applyAlignment="1">
      <alignment horizontal="center" vertical="center" wrapText="1"/>
    </xf>
    <xf numFmtId="0" fontId="35" fillId="12" borderId="6" xfId="0" applyFont="1" applyFill="1" applyBorder="1" applyAlignment="1">
      <alignment horizontal="center" vertical="center"/>
    </xf>
    <xf numFmtId="49" fontId="34" fillId="0" borderId="6" xfId="0" applyNumberFormat="1" applyFont="1" applyBorder="1" applyAlignment="1">
      <alignment horizontal="center" vertical="center"/>
    </xf>
    <xf numFmtId="190" fontId="35" fillId="0" borderId="24" xfId="66" applyNumberFormat="1" applyFont="1" applyBorder="1" applyAlignment="1">
      <alignment horizontal="center" vertical="center" wrapText="1"/>
    </xf>
    <xf numFmtId="1" fontId="34" fillId="0" borderId="24" xfId="0" applyNumberFormat="1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0" fontId="35" fillId="12" borderId="24" xfId="0" applyFont="1" applyFill="1" applyBorder="1" applyAlignment="1">
      <alignment horizontal="center" vertical="center"/>
    </xf>
    <xf numFmtId="188" fontId="34" fillId="0" borderId="24" xfId="0" applyNumberFormat="1" applyFont="1" applyBorder="1" applyAlignment="1">
      <alignment horizontal="center" vertical="center"/>
    </xf>
    <xf numFmtId="49" fontId="34" fillId="0" borderId="24" xfId="0" applyNumberFormat="1" applyFont="1" applyBorder="1" applyAlignment="1">
      <alignment horizontal="center" vertical="center"/>
    </xf>
    <xf numFmtId="14" fontId="34" fillId="0" borderId="0" xfId="0" applyNumberFormat="1" applyFont="1">
      <alignment vertical="center"/>
    </xf>
    <xf numFmtId="0" fontId="31" fillId="9" borderId="18" xfId="74" applyFont="1" applyFill="1" applyBorder="1" applyAlignment="1" applyProtection="1">
      <alignment horizontal="center" vertical="center"/>
      <protection locked="0"/>
    </xf>
    <xf numFmtId="0" fontId="31" fillId="9" borderId="19" xfId="74" applyFont="1" applyFill="1" applyBorder="1" applyAlignment="1" applyProtection="1">
      <alignment horizontal="center" vertical="center"/>
      <protection locked="0"/>
    </xf>
    <xf numFmtId="0" fontId="31" fillId="9" borderId="20" xfId="74" applyFont="1" applyFill="1" applyBorder="1" applyAlignment="1" applyProtection="1">
      <alignment horizontal="center" vertical="center"/>
      <protection locked="0"/>
    </xf>
    <xf numFmtId="0" fontId="13" fillId="9" borderId="5" xfId="74" applyFont="1" applyFill="1" applyBorder="1" applyAlignment="1">
      <alignment horizontal="center" vertical="center" wrapText="1"/>
    </xf>
    <xf numFmtId="0" fontId="13" fillId="9" borderId="7" xfId="74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184" fontId="33" fillId="0" borderId="33" xfId="0" applyNumberFormat="1" applyFont="1" applyBorder="1" applyAlignment="1">
      <alignment horizontal="left" vertical="center" wrapText="1"/>
    </xf>
    <xf numFmtId="184" fontId="33" fillId="0" borderId="0" xfId="0" applyNumberFormat="1" applyFont="1" applyAlignment="1">
      <alignment horizontal="left" vertical="center" wrapText="1"/>
    </xf>
    <xf numFmtId="0" fontId="15" fillId="0" borderId="6" xfId="0" applyFont="1" applyBorder="1" applyAlignment="1">
      <alignment vertical="top"/>
    </xf>
    <xf numFmtId="0" fontId="15" fillId="0" borderId="6" xfId="0" applyFont="1" applyBorder="1">
      <alignment vertical="center"/>
    </xf>
    <xf numFmtId="0" fontId="18" fillId="0" borderId="6" xfId="0" applyFont="1" applyBorder="1">
      <alignment vertical="center"/>
    </xf>
    <xf numFmtId="0" fontId="19" fillId="0" borderId="5" xfId="65" applyFont="1" applyBorder="1" applyAlignment="1">
      <alignment horizontal="center" vertical="center"/>
    </xf>
    <xf numFmtId="0" fontId="20" fillId="0" borderId="9" xfId="65" applyFont="1" applyBorder="1" applyAlignment="1">
      <alignment horizontal="center" vertical="center"/>
    </xf>
    <xf numFmtId="0" fontId="20" fillId="0" borderId="7" xfId="65" applyFont="1" applyBorder="1" applyAlignment="1">
      <alignment horizontal="center" vertical="center"/>
    </xf>
    <xf numFmtId="0" fontId="22" fillId="0" borderId="6" xfId="79" applyFont="1" applyBorder="1" applyAlignment="1">
      <alignment horizontal="center" vertical="center"/>
    </xf>
    <xf numFmtId="0" fontId="23" fillId="0" borderId="6" xfId="65" applyFont="1" applyBorder="1" applyAlignment="1">
      <alignment horizontal="center"/>
    </xf>
    <xf numFmtId="0" fontId="22" fillId="0" borderId="6" xfId="79" applyFont="1" applyBorder="1" applyAlignment="1">
      <alignment horizontal="left" vertical="center" wrapText="1"/>
    </xf>
    <xf numFmtId="0" fontId="23" fillId="0" borderId="6" xfId="79" applyFont="1" applyBorder="1" applyAlignment="1">
      <alignment horizontal="left" vertical="center" wrapText="1"/>
    </xf>
    <xf numFmtId="0" fontId="25" fillId="0" borderId="6" xfId="79" applyFont="1" applyBorder="1" applyAlignment="1">
      <alignment horizontal="left" vertical="center" wrapText="1"/>
    </xf>
    <xf numFmtId="0" fontId="25" fillId="0" borderId="6" xfId="79" applyFont="1" applyBorder="1" applyAlignment="1">
      <alignment horizontal="center" vertical="center" wrapText="1"/>
    </xf>
    <xf numFmtId="0" fontId="23" fillId="0" borderId="6" xfId="79" applyFont="1" applyBorder="1" applyAlignment="1">
      <alignment horizontal="center" vertical="center" wrapText="1"/>
    </xf>
    <xf numFmtId="0" fontId="27" fillId="7" borderId="5" xfId="79" applyFont="1" applyFill="1" applyBorder="1" applyAlignment="1">
      <alignment horizontal="center" vertical="center" wrapText="1"/>
    </xf>
    <xf numFmtId="0" fontId="27" fillId="7" borderId="7" xfId="79" applyFont="1" applyFill="1" applyBorder="1" applyAlignment="1">
      <alignment horizontal="center" vertical="center" wrapText="1"/>
    </xf>
    <xf numFmtId="0" fontId="25" fillId="7" borderId="5" xfId="79" applyFont="1" applyFill="1" applyBorder="1" applyAlignment="1">
      <alignment horizontal="center" vertical="center" wrapText="1"/>
    </xf>
    <xf numFmtId="0" fontId="25" fillId="7" borderId="9" xfId="79" applyFont="1" applyFill="1" applyBorder="1" applyAlignment="1">
      <alignment horizontal="center" vertical="center" wrapText="1"/>
    </xf>
    <xf numFmtId="0" fontId="25" fillId="7" borderId="7" xfId="79" applyFont="1" applyFill="1" applyBorder="1" applyAlignment="1">
      <alignment horizontal="center" vertical="center" wrapText="1"/>
    </xf>
    <xf numFmtId="0" fontId="23" fillId="0" borderId="6" xfId="65" applyFont="1" applyBorder="1" applyAlignment="1">
      <alignment horizontal="center" vertical="center"/>
    </xf>
    <xf numFmtId="0" fontId="23" fillId="0" borderId="6" xfId="79" applyFont="1" applyBorder="1" applyAlignment="1">
      <alignment horizontal="center" vertical="center"/>
    </xf>
    <xf numFmtId="0" fontId="21" fillId="0" borderId="6" xfId="79" applyFont="1" applyBorder="1" applyAlignment="1">
      <alignment horizontal="center" vertical="center" wrapText="1"/>
    </xf>
    <xf numFmtId="0" fontId="30" fillId="0" borderId="6" xfId="79" applyFont="1" applyBorder="1" applyAlignment="1">
      <alignment horizontal="center" vertical="center" wrapText="1"/>
    </xf>
    <xf numFmtId="0" fontId="23" fillId="0" borderId="15" xfId="65" applyFont="1" applyBorder="1">
      <alignment vertical="center"/>
    </xf>
    <xf numFmtId="0" fontId="23" fillId="0" borderId="11" xfId="65" applyFont="1" applyBorder="1">
      <alignment vertical="center"/>
    </xf>
    <xf numFmtId="0" fontId="23" fillId="7" borderId="15" xfId="65" applyFont="1" applyFill="1" applyBorder="1" applyAlignment="1">
      <alignment horizontal="center" vertical="center"/>
    </xf>
    <xf numFmtId="0" fontId="23" fillId="7" borderId="11" xfId="65" applyFont="1" applyFill="1" applyBorder="1" applyAlignment="1">
      <alignment horizontal="center" vertical="center"/>
    </xf>
    <xf numFmtId="0" fontId="23" fillId="7" borderId="15" xfId="79" applyFont="1" applyFill="1" applyBorder="1" applyAlignment="1">
      <alignment horizontal="center" vertical="center" wrapText="1"/>
    </xf>
    <xf numFmtId="0" fontId="23" fillId="7" borderId="10" xfId="79" applyFont="1" applyFill="1" applyBorder="1" applyAlignment="1">
      <alignment horizontal="center" vertical="center" wrapText="1"/>
    </xf>
    <xf numFmtId="0" fontId="23" fillId="7" borderId="11" xfId="79" applyFont="1" applyFill="1" applyBorder="1" applyAlignment="1">
      <alignment horizontal="center" vertical="center" wrapText="1"/>
    </xf>
    <xf numFmtId="0" fontId="24" fillId="0" borderId="6" xfId="65" quotePrefix="1" applyFont="1" applyBorder="1" applyAlignment="1">
      <alignment horizontal="left" vertical="center" wrapText="1"/>
    </xf>
    <xf numFmtId="0" fontId="24" fillId="0" borderId="6" xfId="65" applyFont="1" applyBorder="1" applyAlignment="1">
      <alignment horizontal="left" vertical="center" wrapText="1"/>
    </xf>
    <xf numFmtId="0" fontId="23" fillId="7" borderId="4" xfId="79" applyFont="1" applyFill="1" applyBorder="1" applyAlignment="1">
      <alignment horizontal="center" vertical="center" wrapText="1"/>
    </xf>
    <xf numFmtId="0" fontId="23" fillId="7" borderId="16" xfId="79" applyFont="1" applyFill="1" applyBorder="1" applyAlignment="1">
      <alignment horizontal="center" vertical="center" wrapText="1"/>
    </xf>
    <xf numFmtId="0" fontId="23" fillId="7" borderId="12" xfId="79" applyFont="1" applyFill="1" applyBorder="1" applyAlignment="1">
      <alignment horizontal="center" vertical="center" wrapText="1"/>
    </xf>
    <xf numFmtId="0" fontId="23" fillId="7" borderId="14" xfId="79" applyFont="1" applyFill="1" applyBorder="1" applyAlignment="1">
      <alignment horizontal="center" vertical="center" wrapText="1"/>
    </xf>
    <xf numFmtId="0" fontId="23" fillId="7" borderId="4" xfId="65" applyFont="1" applyFill="1" applyBorder="1" applyAlignment="1">
      <alignment horizontal="center" vertical="center" wrapText="1"/>
    </xf>
    <xf numFmtId="0" fontId="23" fillId="7" borderId="16" xfId="65" applyFont="1" applyFill="1" applyBorder="1" applyAlignment="1">
      <alignment horizontal="center" vertical="center" wrapText="1"/>
    </xf>
    <xf numFmtId="0" fontId="23" fillId="7" borderId="12" xfId="65" applyFont="1" applyFill="1" applyBorder="1" applyAlignment="1">
      <alignment horizontal="center" vertical="center" wrapText="1"/>
    </xf>
    <xf numFmtId="0" fontId="23" fillId="7" borderId="14" xfId="65" applyFont="1" applyFill="1" applyBorder="1" applyAlignment="1">
      <alignment horizontal="center" vertical="center" wrapText="1"/>
    </xf>
    <xf numFmtId="180" fontId="27" fillId="7" borderId="4" xfId="79" applyNumberFormat="1" applyFont="1" applyFill="1" applyBorder="1" applyAlignment="1">
      <alignment horizontal="center" vertical="center" wrapText="1"/>
    </xf>
    <xf numFmtId="180" fontId="27" fillId="7" borderId="16" xfId="79" applyNumberFormat="1" applyFont="1" applyFill="1" applyBorder="1" applyAlignment="1">
      <alignment horizontal="center" vertical="center" wrapText="1"/>
    </xf>
    <xf numFmtId="180" fontId="27" fillId="7" borderId="8" xfId="79" applyNumberFormat="1" applyFont="1" applyFill="1" applyBorder="1" applyAlignment="1">
      <alignment horizontal="center" vertical="center" wrapText="1"/>
    </xf>
    <xf numFmtId="180" fontId="27" fillId="7" borderId="17" xfId="79" applyNumberFormat="1" applyFont="1" applyFill="1" applyBorder="1" applyAlignment="1">
      <alignment horizontal="center" vertical="center" wrapText="1"/>
    </xf>
    <xf numFmtId="180" fontId="27" fillId="7" borderId="12" xfId="79" applyNumberFormat="1" applyFont="1" applyFill="1" applyBorder="1" applyAlignment="1">
      <alignment horizontal="center" vertical="center" wrapText="1"/>
    </xf>
    <xf numFmtId="180" fontId="27" fillId="7" borderId="14" xfId="79" applyNumberFormat="1" applyFont="1" applyFill="1" applyBorder="1" applyAlignment="1">
      <alignment horizontal="center" vertical="center" wrapText="1"/>
    </xf>
    <xf numFmtId="0" fontId="23" fillId="7" borderId="8" xfId="79" applyFont="1" applyFill="1" applyBorder="1" applyAlignment="1">
      <alignment horizontal="center" vertical="center" wrapText="1"/>
    </xf>
    <xf numFmtId="0" fontId="23" fillId="7" borderId="17" xfId="79" applyFont="1" applyFill="1" applyBorder="1" applyAlignment="1">
      <alignment horizontal="center" vertical="center" wrapText="1"/>
    </xf>
    <xf numFmtId="0" fontId="27" fillId="7" borderId="4" xfId="79" applyFont="1" applyFill="1" applyBorder="1" applyAlignment="1">
      <alignment horizontal="center" vertical="center" wrapText="1"/>
    </xf>
    <xf numFmtId="0" fontId="27" fillId="7" borderId="16" xfId="79" applyFont="1" applyFill="1" applyBorder="1" applyAlignment="1">
      <alignment horizontal="center" vertical="center" wrapText="1"/>
    </xf>
    <xf numFmtId="0" fontId="27" fillId="7" borderId="12" xfId="79" applyFont="1" applyFill="1" applyBorder="1" applyAlignment="1">
      <alignment horizontal="center" vertical="center" wrapText="1"/>
    </xf>
    <xf numFmtId="0" fontId="27" fillId="7" borderId="14" xfId="79" applyFont="1" applyFill="1" applyBorder="1" applyAlignment="1">
      <alignment horizontal="center" vertical="center" wrapText="1"/>
    </xf>
    <xf numFmtId="0" fontId="29" fillId="0" borderId="4" xfId="79" applyFont="1" applyBorder="1" applyAlignment="1">
      <alignment horizontal="center" vertical="center" wrapText="1"/>
    </xf>
    <xf numFmtId="0" fontId="29" fillId="0" borderId="16" xfId="79" applyFont="1" applyBorder="1" applyAlignment="1">
      <alignment horizontal="center" vertical="center" wrapText="1"/>
    </xf>
    <xf numFmtId="0" fontId="29" fillId="0" borderId="12" xfId="79" applyFont="1" applyBorder="1" applyAlignment="1">
      <alignment horizontal="center" vertical="center" wrapText="1"/>
    </xf>
    <xf numFmtId="0" fontId="29" fillId="0" borderId="14" xfId="79" applyFont="1" applyBorder="1" applyAlignment="1">
      <alignment horizontal="center" vertical="center" wrapText="1"/>
    </xf>
    <xf numFmtId="0" fontId="23" fillId="0" borderId="4" xfId="65" applyFont="1" applyBorder="1" applyAlignment="1">
      <alignment horizontal="left" vertical="center" wrapText="1"/>
    </xf>
    <xf numFmtId="0" fontId="23" fillId="0" borderId="16" xfId="65" applyFont="1" applyBorder="1" applyAlignment="1">
      <alignment horizontal="left" vertical="center" wrapText="1"/>
    </xf>
    <xf numFmtId="0" fontId="23" fillId="0" borderId="12" xfId="65" applyFont="1" applyBorder="1" applyAlignment="1">
      <alignment horizontal="left" vertical="center" wrapText="1"/>
    </xf>
    <xf numFmtId="0" fontId="23" fillId="0" borderId="14" xfId="65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5" xfId="64" applyFont="1" applyBorder="1" applyAlignment="1">
      <alignment horizontal="center" vertical="center" wrapText="1"/>
    </xf>
    <xf numFmtId="0" fontId="3" fillId="0" borderId="7" xfId="64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1" fillId="0" borderId="5" xfId="64" applyFont="1" applyBorder="1" applyAlignment="1" applyProtection="1">
      <alignment horizontal="left" vertical="center"/>
      <protection hidden="1"/>
    </xf>
    <xf numFmtId="0" fontId="11" fillId="0" borderId="9" xfId="64" applyFont="1" applyBorder="1" applyAlignment="1" applyProtection="1">
      <alignment horizontal="left" vertical="center"/>
      <protection hidden="1"/>
    </xf>
    <xf numFmtId="0" fontId="11" fillId="0" borderId="7" xfId="64" applyFont="1" applyBorder="1" applyAlignment="1" applyProtection="1">
      <alignment horizontal="left" vertical="center"/>
      <protection hidden="1"/>
    </xf>
    <xf numFmtId="0" fontId="11" fillId="0" borderId="5" xfId="64" applyFont="1" applyBorder="1" applyAlignment="1" applyProtection="1">
      <alignment horizontal="left" vertical="center" wrapText="1"/>
      <protection hidden="1"/>
    </xf>
    <xf numFmtId="0" fontId="11" fillId="0" borderId="9" xfId="64" applyFont="1" applyBorder="1" applyAlignment="1" applyProtection="1">
      <alignment horizontal="left" vertical="center" wrapText="1"/>
      <protection hidden="1"/>
    </xf>
    <xf numFmtId="0" fontId="11" fillId="0" borderId="7" xfId="64" applyFont="1" applyBorder="1" applyAlignment="1" applyProtection="1">
      <alignment horizontal="left" vertical="center" wrapText="1"/>
      <protection hidden="1"/>
    </xf>
    <xf numFmtId="0" fontId="10" fillId="0" borderId="5" xfId="64" applyFont="1" applyBorder="1" applyAlignment="1">
      <alignment horizontal="center" vertical="center"/>
    </xf>
    <xf numFmtId="0" fontId="10" fillId="0" borderId="9" xfId="64" applyFont="1" applyBorder="1" applyAlignment="1">
      <alignment horizontal="center" vertical="center"/>
    </xf>
    <xf numFmtId="0" fontId="10" fillId="0" borderId="7" xfId="64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9" fillId="0" borderId="15" xfId="64" applyFont="1" applyBorder="1" applyAlignment="1">
      <alignment horizontal="center" vertical="center" wrapText="1"/>
    </xf>
    <xf numFmtId="0" fontId="9" fillId="0" borderId="10" xfId="64" applyFont="1" applyBorder="1" applyAlignment="1">
      <alignment horizontal="center" vertical="center" wrapText="1"/>
    </xf>
    <xf numFmtId="0" fontId="9" fillId="0" borderId="11" xfId="64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2" borderId="10" xfId="64" applyFont="1" applyFill="1" applyBorder="1" applyAlignment="1">
      <alignment horizontal="center" vertical="center" wrapText="1"/>
    </xf>
    <xf numFmtId="0" fontId="5" fillId="2" borderId="11" xfId="64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</cellXfs>
  <cellStyles count="119">
    <cellStyle name="20% - 强调文字颜色 1 13 2" xfId="1" xr:uid="{00000000-0005-0000-0000-000031000000}"/>
    <cellStyle name="20% - 强调文字颜色 1 2 21" xfId="2" xr:uid="{00000000-0005-0000-0000-000032000000}"/>
    <cellStyle name="20% - 强调文字颜色 2 2" xfId="3" xr:uid="{00000000-0005-0000-0000-000033000000}"/>
    <cellStyle name="20% - 强调文字颜色 2 4 2 3" xfId="4" xr:uid="{00000000-0005-0000-0000-000034000000}"/>
    <cellStyle name="20% - 强调文字颜色 3 2" xfId="5" xr:uid="{00000000-0005-0000-0000-000035000000}"/>
    <cellStyle name="20% - 强调文字颜色 3 2 9 2 3" xfId="6" xr:uid="{00000000-0005-0000-0000-000036000000}"/>
    <cellStyle name="20% - 强调文字颜色 4 2 2 6" xfId="7" xr:uid="{00000000-0005-0000-0000-000037000000}"/>
    <cellStyle name="20% - 强调文字颜色 5 17 2 2" xfId="8" xr:uid="{00000000-0005-0000-0000-000038000000}"/>
    <cellStyle name="20% - 强调文字颜色 5 2 20" xfId="9" xr:uid="{00000000-0005-0000-0000-000039000000}"/>
    <cellStyle name="20% - 强调文字颜色 6 19 3" xfId="10" xr:uid="{00000000-0005-0000-0000-00003A000000}"/>
    <cellStyle name="20% - 强调文字颜色 6 2 2 5" xfId="11" xr:uid="{00000000-0005-0000-0000-00003B000000}"/>
    <cellStyle name="40% - 强调文字颜色 1 2 2 5" xfId="12" xr:uid="{00000000-0005-0000-0000-00003C000000}"/>
    <cellStyle name="40% - 强调文字颜色 2 14 2" xfId="13" xr:uid="{00000000-0005-0000-0000-00003D000000}"/>
    <cellStyle name="40% - 强调文字颜色 2 2 2" xfId="14" xr:uid="{00000000-0005-0000-0000-00003E000000}"/>
    <cellStyle name="40% - 强调文字颜色 3 2 2" xfId="15" xr:uid="{00000000-0005-0000-0000-00003F000000}"/>
    <cellStyle name="40% - 强调文字颜色 3 22 2" xfId="16" xr:uid="{00000000-0005-0000-0000-000040000000}"/>
    <cellStyle name="40% - 强调文字颜色 4 2 16 4" xfId="17" xr:uid="{00000000-0005-0000-0000-000041000000}"/>
    <cellStyle name="40% - 强调文字颜色 4 2 2 5" xfId="18" xr:uid="{00000000-0005-0000-0000-000042000000}"/>
    <cellStyle name="40% - 强调文字颜色 5 2 13 2" xfId="19" xr:uid="{00000000-0005-0000-0000-000043000000}"/>
    <cellStyle name="40% - 强调文字颜色 5 2 20" xfId="20" xr:uid="{00000000-0005-0000-0000-000044000000}"/>
    <cellStyle name="40% - 强调文字颜色 6 18 2 2" xfId="21" xr:uid="{00000000-0005-0000-0000-000045000000}"/>
    <cellStyle name="40% - 强调文字颜色 6 2 20" xfId="22" xr:uid="{00000000-0005-0000-0000-000046000000}"/>
    <cellStyle name="60% - 强调文字颜色 1 2 2 5" xfId="23" xr:uid="{00000000-0005-0000-0000-000047000000}"/>
    <cellStyle name="60% - 强调文字颜色 1 2 2 6" xfId="24" xr:uid="{00000000-0005-0000-0000-000048000000}"/>
    <cellStyle name="60% - 强调文字颜色 1 23" xfId="25" xr:uid="{00000000-0005-0000-0000-000049000000}"/>
    <cellStyle name="60% - 强调文字颜色 1 4 2 2" xfId="26" xr:uid="{00000000-0005-0000-0000-00004A000000}"/>
    <cellStyle name="60% - 强调文字颜色 2 2 2 5" xfId="27" xr:uid="{00000000-0005-0000-0000-00004B000000}"/>
    <cellStyle name="60% - 强调文字颜色 2 2 2 6" xfId="28" xr:uid="{00000000-0005-0000-0000-00004C000000}"/>
    <cellStyle name="60% - 强调文字颜色 2 3" xfId="29" xr:uid="{00000000-0005-0000-0000-00004D000000}"/>
    <cellStyle name="60% - 强调文字颜色 3 2" xfId="30" xr:uid="{00000000-0005-0000-0000-00004E000000}"/>
    <cellStyle name="60% - 强调文字颜色 3 2 21" xfId="31" xr:uid="{00000000-0005-0000-0000-00004F000000}"/>
    <cellStyle name="60% - 强调文字颜色 3 20 2" xfId="32" xr:uid="{00000000-0005-0000-0000-000050000000}"/>
    <cellStyle name="60% - 强调文字颜色 3 23" xfId="33" xr:uid="{00000000-0005-0000-0000-000051000000}"/>
    <cellStyle name="60% - 强调文字颜色 4 18 2" xfId="34" xr:uid="{00000000-0005-0000-0000-000052000000}"/>
    <cellStyle name="60% - 强调文字颜色 4 2 20" xfId="35" xr:uid="{00000000-0005-0000-0000-000053000000}"/>
    <cellStyle name="60% - 强调文字颜色 4 2 21" xfId="36" xr:uid="{00000000-0005-0000-0000-000054000000}"/>
    <cellStyle name="60% - 强调文字颜色 4 23 2" xfId="37" xr:uid="{00000000-0005-0000-0000-000055000000}"/>
    <cellStyle name="60% - 强调文字颜色 5 13 2 2" xfId="38" xr:uid="{00000000-0005-0000-0000-000056000000}"/>
    <cellStyle name="60% - 强调文字颜色 5 2 2 5" xfId="39" xr:uid="{00000000-0005-0000-0000-000057000000}"/>
    <cellStyle name="60% - 强调文字颜色 5 2 21" xfId="40" xr:uid="{00000000-0005-0000-0000-000058000000}"/>
    <cellStyle name="60% - 强调文字颜色 6 18" xfId="41" xr:uid="{00000000-0005-0000-0000-000059000000}"/>
    <cellStyle name="60% - 强调文字颜色 6 2 20" xfId="42" xr:uid="{00000000-0005-0000-0000-00005A000000}"/>
    <cellStyle name="60% - 强调文字颜色 6 2 21" xfId="43" xr:uid="{00000000-0005-0000-0000-00005B000000}"/>
    <cellStyle name="60% - 强调文字颜色 6 23" xfId="44" xr:uid="{00000000-0005-0000-0000-00005C000000}"/>
    <cellStyle name="Normal 2" xfId="45" xr:uid="{00000000-0005-0000-0000-00005D000000}"/>
    <cellStyle name="标题 1 2" xfId="46" xr:uid="{00000000-0005-0000-0000-00005E000000}"/>
    <cellStyle name="标题 1 2 2 4" xfId="47" xr:uid="{00000000-0005-0000-0000-00005F000000}"/>
    <cellStyle name="标题 1 23 2" xfId="48" xr:uid="{00000000-0005-0000-0000-000060000000}"/>
    <cellStyle name="标题 2 2 16" xfId="49" xr:uid="{00000000-0005-0000-0000-000061000000}"/>
    <cellStyle name="标题 2 2 20" xfId="50" xr:uid="{00000000-0005-0000-0000-000062000000}"/>
    <cellStyle name="标题 2 23 2" xfId="51" xr:uid="{00000000-0005-0000-0000-000063000000}"/>
    <cellStyle name="标题 26" xfId="52" xr:uid="{00000000-0005-0000-0000-000064000000}"/>
    <cellStyle name="标题 3 2" xfId="53" xr:uid="{00000000-0005-0000-0000-000065000000}"/>
    <cellStyle name="标题 3 2 2 6" xfId="54" xr:uid="{00000000-0005-0000-0000-000066000000}"/>
    <cellStyle name="标题 3 23" xfId="55" xr:uid="{00000000-0005-0000-0000-000067000000}"/>
    <cellStyle name="标题 3 3 2 2 2" xfId="56" xr:uid="{00000000-0005-0000-0000-000068000000}"/>
    <cellStyle name="标题 4 2 16" xfId="57" xr:uid="{00000000-0005-0000-0000-000069000000}"/>
    <cellStyle name="标题 4 23" xfId="58" xr:uid="{00000000-0005-0000-0000-00006A000000}"/>
    <cellStyle name="标题 5 2" xfId="59" xr:uid="{00000000-0005-0000-0000-00006B000000}"/>
    <cellStyle name="标题 5 3 3" xfId="60" xr:uid="{00000000-0005-0000-0000-00006C000000}"/>
    <cellStyle name="差 2 20" xfId="61" xr:uid="{00000000-0005-0000-0000-00006D000000}"/>
    <cellStyle name="差 23" xfId="62" xr:uid="{00000000-0005-0000-0000-00006E000000}"/>
    <cellStyle name="差 3 3 2" xfId="63" xr:uid="{00000000-0005-0000-0000-00006F000000}"/>
    <cellStyle name="常规" xfId="0" builtinId="0"/>
    <cellStyle name="常规 10" xfId="64" xr:uid="{00000000-0005-0000-0000-000070000000}"/>
    <cellStyle name="常规 10 10 2 2 2 2" xfId="65" xr:uid="{00000000-0005-0000-0000-000071000000}"/>
    <cellStyle name="常规 10 16" xfId="66" xr:uid="{00000000-0005-0000-0000-000072000000}"/>
    <cellStyle name="常规 10 3 3" xfId="67" xr:uid="{00000000-0005-0000-0000-000073000000}"/>
    <cellStyle name="常规 2 2 2 5 3 2" xfId="68" xr:uid="{00000000-0005-0000-0000-000074000000}"/>
    <cellStyle name="常规 2 2 4 2 6" xfId="69" xr:uid="{00000000-0005-0000-0000-000075000000}"/>
    <cellStyle name="常规 2 21 3" xfId="70" xr:uid="{00000000-0005-0000-0000-000076000000}"/>
    <cellStyle name="常规 2 25" xfId="71" xr:uid="{00000000-0005-0000-0000-000077000000}"/>
    <cellStyle name="常规 21 6" xfId="72" xr:uid="{00000000-0005-0000-0000-000078000000}"/>
    <cellStyle name="常规 23" xfId="73" xr:uid="{00000000-0005-0000-0000-000079000000}"/>
    <cellStyle name="常规 26" xfId="74" xr:uid="{00000000-0005-0000-0000-00007A000000}"/>
    <cellStyle name="常规 3 27" xfId="75" xr:uid="{00000000-0005-0000-0000-00007B000000}"/>
    <cellStyle name="常规 3 34" xfId="76" xr:uid="{00000000-0005-0000-0000-00007C000000}"/>
    <cellStyle name="常规 4 4 3 9" xfId="77" xr:uid="{00000000-0005-0000-0000-00007D000000}"/>
    <cellStyle name="常规 5 5 2 2 2 3 5" xfId="78" xr:uid="{00000000-0005-0000-0000-00007E000000}"/>
    <cellStyle name="常规_Sheet1" xfId="79" xr:uid="{00000000-0005-0000-0000-00007F000000}"/>
    <cellStyle name="超链接 4 2 6 2 2" xfId="80" xr:uid="{00000000-0005-0000-0000-000080000000}"/>
    <cellStyle name="超链接 4 2 6 2 3" xfId="81" xr:uid="{00000000-0005-0000-0000-000081000000}"/>
    <cellStyle name="超链接 7" xfId="82" xr:uid="{00000000-0005-0000-0000-000082000000}"/>
    <cellStyle name="好 2" xfId="83" xr:uid="{00000000-0005-0000-0000-000083000000}"/>
    <cellStyle name="好 2 7 2" xfId="84" xr:uid="{00000000-0005-0000-0000-000084000000}"/>
    <cellStyle name="汇总 2" xfId="85" xr:uid="{00000000-0005-0000-0000-000085000000}"/>
    <cellStyle name="汇总 2 4" xfId="86" xr:uid="{00000000-0005-0000-0000-000086000000}"/>
    <cellStyle name="汇总 23" xfId="87" xr:uid="{00000000-0005-0000-0000-000087000000}"/>
    <cellStyle name="计算 2 19" xfId="88" xr:uid="{00000000-0005-0000-0000-000088000000}"/>
    <cellStyle name="计算 2 20" xfId="89" xr:uid="{00000000-0005-0000-0000-000089000000}"/>
    <cellStyle name="计算 23" xfId="90" xr:uid="{00000000-0005-0000-0000-00008A000000}"/>
    <cellStyle name="检查单元格 2 20" xfId="91" xr:uid="{00000000-0005-0000-0000-00008B000000}"/>
    <cellStyle name="检查单元格 2 7" xfId="92" xr:uid="{00000000-0005-0000-0000-00008C000000}"/>
    <cellStyle name="解释性文本 2 15" xfId="93" xr:uid="{00000000-0005-0000-0000-00008D000000}"/>
    <cellStyle name="解释性文本 2 20" xfId="94" xr:uid="{00000000-0005-0000-0000-00008E000000}"/>
    <cellStyle name="警告文本 2 2" xfId="95" xr:uid="{00000000-0005-0000-0000-00008F000000}"/>
    <cellStyle name="警告文本 2 5 2" xfId="96" xr:uid="{00000000-0005-0000-0000-000090000000}"/>
    <cellStyle name="链接单元格 11" xfId="97" xr:uid="{00000000-0005-0000-0000-000091000000}"/>
    <cellStyle name="链接单元格 2 2 5" xfId="98" xr:uid="{00000000-0005-0000-0000-000092000000}"/>
    <cellStyle name="强调文字颜色 1 2" xfId="99" xr:uid="{00000000-0005-0000-0000-000093000000}"/>
    <cellStyle name="强调文字颜色 1 21" xfId="100" xr:uid="{00000000-0005-0000-0000-000094000000}"/>
    <cellStyle name="强调文字颜色 2 2 20" xfId="101" xr:uid="{00000000-0005-0000-0000-000095000000}"/>
    <cellStyle name="强调文字颜色 2 2 4 2 2" xfId="102" xr:uid="{00000000-0005-0000-0000-000096000000}"/>
    <cellStyle name="强调文字颜色 3 2" xfId="103" xr:uid="{00000000-0005-0000-0000-000097000000}"/>
    <cellStyle name="强调文字颜色 3 2 13 2" xfId="104" xr:uid="{00000000-0005-0000-0000-000098000000}"/>
    <cellStyle name="强调文字颜色 4 2" xfId="105" xr:uid="{00000000-0005-0000-0000-000099000000}"/>
    <cellStyle name="强调文字颜色 4 23" xfId="106" xr:uid="{00000000-0005-0000-0000-00009A000000}"/>
    <cellStyle name="强调文字颜色 5 2 2" xfId="107" xr:uid="{00000000-0005-0000-0000-00009B000000}"/>
    <cellStyle name="强调文字颜色 6 10" xfId="108" xr:uid="{00000000-0005-0000-0000-00009C000000}"/>
    <cellStyle name="强调文字颜色 6 2 2 5" xfId="109" xr:uid="{00000000-0005-0000-0000-00009D000000}"/>
    <cellStyle name="适中 2 20" xfId="110" xr:uid="{00000000-0005-0000-0000-00009E000000}"/>
    <cellStyle name="适中 2 6 2" xfId="111" xr:uid="{00000000-0005-0000-0000-00009F000000}"/>
    <cellStyle name="输出 2 2 5" xfId="112" xr:uid="{00000000-0005-0000-0000-0000A0000000}"/>
    <cellStyle name="输出 2 8 3" xfId="113" xr:uid="{00000000-0005-0000-0000-0000A1000000}"/>
    <cellStyle name="输出 23" xfId="114" xr:uid="{00000000-0005-0000-0000-0000A2000000}"/>
    <cellStyle name="输入 2" xfId="115" xr:uid="{00000000-0005-0000-0000-0000A3000000}"/>
    <cellStyle name="输入 3 4 2 2" xfId="116" xr:uid="{00000000-0005-0000-0000-0000A4000000}"/>
    <cellStyle name="注释 2" xfId="117" xr:uid="{00000000-0005-0000-0000-0000A5000000}"/>
    <cellStyle name="注释 5" xfId="118" xr:uid="{00000000-0005-0000-0000-0000A6000000}"/>
  </cellStyles>
  <dxfs count="21"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857250</xdr:colOff>
      <xdr:row>66</xdr:row>
      <xdr:rowOff>9525</xdr:rowOff>
    </xdr:from>
    <xdr:to>
      <xdr:col>7</xdr:col>
      <xdr:colOff>209550</xdr:colOff>
      <xdr:row>71</xdr:row>
      <xdr:rowOff>47625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H="1">
          <a:off x="3018790" y="13637260"/>
          <a:ext cx="2858135" cy="11144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396240</xdr:colOff>
      <xdr:row>66</xdr:row>
      <xdr:rowOff>38100</xdr:rowOff>
    </xdr:from>
    <xdr:to>
      <xdr:col>11</xdr:col>
      <xdr:colOff>22860</xdr:colOff>
      <xdr:row>69</xdr:row>
      <xdr:rowOff>99060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063615" y="13665835"/>
          <a:ext cx="2383155" cy="6102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269240</xdr:colOff>
      <xdr:row>7</xdr:row>
      <xdr:rowOff>87630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1631315" cy="127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28575</xdr:colOff>
      <xdr:row>0</xdr:row>
      <xdr:rowOff>635</xdr:rowOff>
    </xdr:from>
    <xdr:to>
      <xdr:col>10</xdr:col>
      <xdr:colOff>107950</xdr:colOff>
      <xdr:row>14</xdr:row>
      <xdr:rowOff>120650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5975" y="635"/>
          <a:ext cx="4879975" cy="252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</xdr:colOff>
      <xdr:row>15</xdr:row>
      <xdr:rowOff>19050</xdr:rowOff>
    </xdr:from>
    <xdr:to>
      <xdr:col>10</xdr:col>
      <xdr:colOff>44450</xdr:colOff>
      <xdr:row>29</xdr:row>
      <xdr:rowOff>139065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76450" y="2590800"/>
          <a:ext cx="4826000" cy="252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657225</xdr:colOff>
      <xdr:row>29</xdr:row>
      <xdr:rowOff>152400</xdr:rowOff>
    </xdr:from>
    <xdr:to>
      <xdr:col>10</xdr:col>
      <xdr:colOff>35560</xdr:colOff>
      <xdr:row>44</xdr:row>
      <xdr:rowOff>100965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28825" y="5124450"/>
          <a:ext cx="4864735" cy="252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10</xdr:col>
      <xdr:colOff>68580</xdr:colOff>
      <xdr:row>59</xdr:row>
      <xdr:rowOff>120015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7400" y="7715250"/>
          <a:ext cx="4869180" cy="252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0</xdr:row>
      <xdr:rowOff>1270</xdr:rowOff>
    </xdr:from>
    <xdr:to>
      <xdr:col>18</xdr:col>
      <xdr:colOff>95885</xdr:colOff>
      <xdr:row>14</xdr:row>
      <xdr:rowOff>121285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43800" y="1270"/>
          <a:ext cx="4896485" cy="252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18</xdr:col>
      <xdr:colOff>47625</xdr:colOff>
      <xdr:row>29</xdr:row>
      <xdr:rowOff>120015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43800" y="2571750"/>
          <a:ext cx="4848225" cy="252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18</xdr:col>
      <xdr:colOff>74295</xdr:colOff>
      <xdr:row>44</xdr:row>
      <xdr:rowOff>120015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43800" y="5143500"/>
          <a:ext cx="4874895" cy="252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18</xdr:col>
      <xdr:colOff>97155</xdr:colOff>
      <xdr:row>59</xdr:row>
      <xdr:rowOff>120015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543800" y="7715250"/>
          <a:ext cx="4897755" cy="2520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</xdr:colOff>
      <xdr:row>0</xdr:row>
      <xdr:rowOff>1270</xdr:rowOff>
    </xdr:from>
    <xdr:to>
      <xdr:col>7</xdr:col>
      <xdr:colOff>70485</xdr:colOff>
      <xdr:row>14</xdr:row>
      <xdr:rowOff>121285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" y="1270"/>
          <a:ext cx="4869815" cy="252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15</xdr:row>
      <xdr:rowOff>0</xdr:rowOff>
    </xdr:from>
    <xdr:to>
      <xdr:col>7</xdr:col>
      <xdr:colOff>55245</xdr:colOff>
      <xdr:row>29</xdr:row>
      <xdr:rowOff>120015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" y="2571750"/>
          <a:ext cx="4854575" cy="252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30</xdr:row>
      <xdr:rowOff>0</xdr:rowOff>
    </xdr:from>
    <xdr:to>
      <xdr:col>7</xdr:col>
      <xdr:colOff>69850</xdr:colOff>
      <xdr:row>44</xdr:row>
      <xdr:rowOff>120015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" y="5143500"/>
          <a:ext cx="4869180" cy="252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45</xdr:row>
      <xdr:rowOff>0</xdr:rowOff>
    </xdr:from>
    <xdr:to>
      <xdr:col>7</xdr:col>
      <xdr:colOff>27940</xdr:colOff>
      <xdr:row>59</xdr:row>
      <xdr:rowOff>120015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0" y="7715250"/>
          <a:ext cx="4827270" cy="252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0</xdr:row>
      <xdr:rowOff>1270</xdr:rowOff>
    </xdr:from>
    <xdr:to>
      <xdr:col>15</xdr:col>
      <xdr:colOff>110490</xdr:colOff>
      <xdr:row>14</xdr:row>
      <xdr:rowOff>121285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1270"/>
          <a:ext cx="4911090" cy="252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15</xdr:col>
      <xdr:colOff>131445</xdr:colOff>
      <xdr:row>29</xdr:row>
      <xdr:rowOff>120015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2571750"/>
          <a:ext cx="4932045" cy="252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15</xdr:col>
      <xdr:colOff>59690</xdr:colOff>
      <xdr:row>44</xdr:row>
      <xdr:rowOff>120015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86400" y="5143500"/>
          <a:ext cx="4860290" cy="252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15</xdr:col>
      <xdr:colOff>73660</xdr:colOff>
      <xdr:row>59</xdr:row>
      <xdr:rowOff>120015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86400" y="7715250"/>
          <a:ext cx="4874260" cy="2520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hare/&#20844;&#21496;&#20849;&#20139;&#25991;&#20214;/&#23454;&#39564;&#23460;&#35760;&#24405;/2.&#23454;&#39564;&#23460;&#27969;&#31243;&#34920;/1.Ultra%20Dual&#27969;&#31243;&#21333;/2024&#24180;/11&#26376;/&#27969;&#31243;&#21333;&#25286;&#20998;-%20Ultra%20Dual%202024xxxx-&#24191;&#24030;G99&#24179;&#21488;-Ultra%202.0.xlsm" TargetMode="External"/><Relationship Id="rId1" Type="http://schemas.openxmlformats.org/officeDocument/2006/relationships/externalLinkPath" Target="/share/&#20844;&#21496;&#20849;&#20139;&#25991;&#20214;/&#23454;&#39564;&#23460;&#35760;&#24405;/2.&#23454;&#39564;&#23460;&#27969;&#31243;&#34920;/1.Ultra%20Dual&#27969;&#31243;&#21333;/2024&#24180;/11&#26376;/&#27969;&#31243;&#21333;&#25286;&#20998;-%20Ultra%20Dual%202024xxxx-&#24191;&#24030;G99&#24179;&#21488;-Ultra%202.0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hare/share/&#20844;&#21496;&#20849;&#20139;&#25991;&#20214;/&#23454;&#39564;&#23460;&#35760;&#24405;/2.&#23454;&#39564;&#23460;&#27969;&#31243;&#34920;/1.Ultra%20Dual&#27969;&#31243;&#21333;/2024&#24180;/11&#26376;/&#27969;&#31243;&#21333;&#25286;&#20998;-%20Ultra%20Dual%202024xxxx-&#24191;&#24030;G99&#24179;&#21488;-Ultra%202.0.xlsm" TargetMode="External"/><Relationship Id="rId1" Type="http://schemas.openxmlformats.org/officeDocument/2006/relationships/externalLinkPath" Target="/share/share/&#20844;&#21496;&#20849;&#20139;&#25991;&#20214;/&#23454;&#39564;&#23460;&#35760;&#24405;/2.&#23454;&#39564;&#23460;&#27969;&#31243;&#34920;/1.Ultra%20Dual&#27969;&#31243;&#21333;/2024&#24180;/11&#26376;/&#27969;&#31243;&#21333;&#25286;&#20998;-%20Ultra%20Dual%202024xxxx-&#24191;&#24030;G99&#24179;&#21488;-Ultra%202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出库单"/>
      <sheetName val="血液建库 "/>
      <sheetName val="非血建库"/>
      <sheetName val="排版上样"/>
      <sheetName val="pool信息表"/>
      <sheetName val="捕获详情"/>
      <sheetName val="酶标仪浓度"/>
      <sheetName val="预警"/>
      <sheetName val="液化"/>
      <sheetName val="非血自动化提取及建库流程单"/>
      <sheetName val="血液样本提取流程单"/>
      <sheetName val="杂交捕获流程单"/>
      <sheetName val="UMSI及index"/>
      <sheetName val="流程单拆分- Ultra Dual 2024xxxx-广州G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出库单"/>
      <sheetName val="血液建库 "/>
      <sheetName val="非血建库"/>
      <sheetName val="排版上样"/>
      <sheetName val="pool信息表"/>
      <sheetName val="捕获详情"/>
      <sheetName val="酶标仪浓度"/>
      <sheetName val="预警"/>
      <sheetName val="液化"/>
      <sheetName val="非血自动化提取及建库流程单"/>
      <sheetName val="血液样本提取流程单"/>
      <sheetName val="杂交捕获流程单"/>
      <sheetName val="UMSI及index"/>
      <sheetName val="流程单拆分- Ultra Dual 2024xxxx-广州G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</sheetPr>
  <dimension ref="A1:Y69"/>
  <sheetViews>
    <sheetView tabSelected="1" topLeftCell="B1" zoomScale="120" zoomScaleNormal="120" workbookViewId="0">
      <selection activeCell="D5" sqref="D5:E7"/>
    </sheetView>
  </sheetViews>
  <sheetFormatPr defaultColWidth="9" defaultRowHeight="16.5"/>
  <cols>
    <col min="1" max="1" width="11.6328125" style="109" customWidth="1"/>
    <col min="2" max="2" width="14.90625" style="109" customWidth="1"/>
    <col min="3" max="4" width="9" style="109"/>
    <col min="5" max="5" width="10.36328125" style="109" customWidth="1"/>
    <col min="6" max="7" width="9" style="109"/>
    <col min="8" max="8" width="24.26953125" style="109" customWidth="1"/>
    <col min="9" max="10" width="12.90625" style="109" customWidth="1"/>
    <col min="11" max="11" width="18.6328125" style="109" customWidth="1"/>
    <col min="12" max="15" width="9" style="109"/>
    <col min="16" max="16" width="9.6328125" style="109" customWidth="1"/>
    <col min="17" max="17" width="13.36328125" style="109" customWidth="1"/>
    <col min="18" max="18" width="12.26953125" style="109" customWidth="1"/>
    <col min="19" max="19" width="4.6328125" style="109" customWidth="1"/>
    <col min="20" max="16384" width="9" style="109"/>
  </cols>
  <sheetData>
    <row r="1" spans="1:25" ht="49.5">
      <c r="A1" s="110" t="s">
        <v>0</v>
      </c>
      <c r="B1" s="111" t="s">
        <v>1</v>
      </c>
      <c r="C1" s="112" t="s">
        <v>2</v>
      </c>
      <c r="D1" s="113" t="s">
        <v>3</v>
      </c>
      <c r="E1" s="112" t="s">
        <v>4</v>
      </c>
      <c r="F1" s="112" t="s">
        <v>5</v>
      </c>
      <c r="G1" s="114" t="s">
        <v>6</v>
      </c>
      <c r="H1" s="112" t="s">
        <v>7</v>
      </c>
      <c r="I1" s="115" t="s">
        <v>8</v>
      </c>
      <c r="J1" s="116" t="s">
        <v>9</v>
      </c>
      <c r="K1" s="113" t="s">
        <v>10</v>
      </c>
      <c r="L1" s="113" t="s">
        <v>11</v>
      </c>
      <c r="M1" s="117" t="s">
        <v>12</v>
      </c>
      <c r="N1" s="118" t="s">
        <v>13</v>
      </c>
      <c r="O1" s="112" t="s">
        <v>14</v>
      </c>
      <c r="P1" s="112" t="s">
        <v>15</v>
      </c>
      <c r="Q1" s="119" t="s">
        <v>16</v>
      </c>
      <c r="R1" s="120" t="s">
        <v>17</v>
      </c>
      <c r="S1" s="121" t="s">
        <v>18</v>
      </c>
      <c r="T1" s="122" t="s">
        <v>19</v>
      </c>
      <c r="U1" s="112" t="s">
        <v>20</v>
      </c>
      <c r="V1" s="123" t="s">
        <v>21</v>
      </c>
      <c r="W1" s="123" t="s">
        <v>22</v>
      </c>
      <c r="X1" s="112" t="s">
        <v>23</v>
      </c>
      <c r="Y1" s="124" t="s">
        <v>24</v>
      </c>
    </row>
    <row r="2" spans="1:25" customFormat="1" ht="14">
      <c r="A2" s="125" t="s">
        <v>25</v>
      </c>
      <c r="B2" s="59" t="s">
        <v>26</v>
      </c>
      <c r="C2" s="126" t="s">
        <v>27</v>
      </c>
      <c r="D2" s="127" t="s">
        <v>28</v>
      </c>
      <c r="E2" s="127" t="s">
        <v>29</v>
      </c>
      <c r="F2" s="59" t="s">
        <v>30</v>
      </c>
      <c r="G2" s="128" t="s">
        <v>31</v>
      </c>
      <c r="H2" s="129" t="s">
        <v>32</v>
      </c>
      <c r="I2" s="59">
        <v>0.56200000000000006</v>
      </c>
      <c r="J2" s="130"/>
      <c r="K2" s="59" t="str">
        <f>C2&amp;"-"&amp;S2&amp;"-"&amp;L2&amp;"D"</f>
        <v>KY14538-1-T224D</v>
      </c>
      <c r="L2" s="59" t="s">
        <v>33</v>
      </c>
      <c r="M2" s="59"/>
      <c r="N2" s="59">
        <v>13.6</v>
      </c>
      <c r="O2" s="59">
        <v>20</v>
      </c>
      <c r="P2" s="131"/>
      <c r="Q2" s="59" t="s">
        <v>34</v>
      </c>
      <c r="R2" s="59" t="s">
        <v>35</v>
      </c>
      <c r="S2" s="59">
        <v>1</v>
      </c>
      <c r="T2" s="59"/>
      <c r="U2" s="59"/>
      <c r="V2" s="18"/>
      <c r="W2" s="18"/>
      <c r="X2" s="18"/>
      <c r="Y2" s="18"/>
    </row>
    <row r="3" spans="1:25" customFormat="1" ht="14">
      <c r="A3" s="125" t="s">
        <v>25</v>
      </c>
      <c r="B3" s="59" t="s">
        <v>36</v>
      </c>
      <c r="C3" s="126" t="s">
        <v>37</v>
      </c>
      <c r="D3" s="127" t="s">
        <v>28</v>
      </c>
      <c r="E3" s="127" t="s">
        <v>29</v>
      </c>
      <c r="F3" s="59" t="s">
        <v>30</v>
      </c>
      <c r="G3" s="128" t="s">
        <v>31</v>
      </c>
      <c r="H3" s="129" t="s">
        <v>32</v>
      </c>
      <c r="I3" s="59">
        <v>0.29199999999999998</v>
      </c>
      <c r="J3" s="130"/>
      <c r="K3" s="59" t="str">
        <f t="shared" ref="K3:K7" si="0">C3&amp;"-"&amp;S3&amp;"-"&amp;L3&amp;"D"</f>
        <v>KY14539-1-T225D</v>
      </c>
      <c r="L3" s="59" t="s">
        <v>38</v>
      </c>
      <c r="M3" s="59"/>
      <c r="N3" s="59">
        <v>19.2</v>
      </c>
      <c r="O3" s="59">
        <v>20</v>
      </c>
      <c r="P3" s="131"/>
      <c r="Q3" s="59" t="s">
        <v>34</v>
      </c>
      <c r="R3" s="59" t="s">
        <v>35</v>
      </c>
      <c r="S3" s="59">
        <v>1</v>
      </c>
      <c r="T3" s="59"/>
      <c r="U3" s="59"/>
      <c r="V3" s="18"/>
      <c r="W3" s="18"/>
      <c r="X3" s="18"/>
      <c r="Y3" s="18"/>
    </row>
    <row r="4" spans="1:25" customFormat="1" ht="14">
      <c r="A4" s="125" t="s">
        <v>25</v>
      </c>
      <c r="B4" s="59" t="s">
        <v>39</v>
      </c>
      <c r="C4" s="126" t="s">
        <v>40</v>
      </c>
      <c r="D4" s="127" t="s">
        <v>28</v>
      </c>
      <c r="E4" s="127" t="s">
        <v>29</v>
      </c>
      <c r="F4" s="59" t="s">
        <v>30</v>
      </c>
      <c r="G4" s="128" t="s">
        <v>31</v>
      </c>
      <c r="H4" s="129" t="s">
        <v>32</v>
      </c>
      <c r="I4" s="59">
        <v>0.72199999999999998</v>
      </c>
      <c r="J4" s="130"/>
      <c r="K4" s="59" t="str">
        <f t="shared" si="0"/>
        <v>KY14540-1-T226D</v>
      </c>
      <c r="L4" s="59" t="s">
        <v>41</v>
      </c>
      <c r="M4" s="59"/>
      <c r="N4" s="59">
        <v>17.3</v>
      </c>
      <c r="O4" s="59">
        <v>20</v>
      </c>
      <c r="P4" s="131"/>
      <c r="Q4" s="59" t="s">
        <v>34</v>
      </c>
      <c r="R4" s="59" t="s">
        <v>35</v>
      </c>
      <c r="S4" s="59">
        <v>1</v>
      </c>
      <c r="T4" s="59"/>
      <c r="U4" s="59"/>
      <c r="V4" s="18"/>
      <c r="W4" s="18"/>
      <c r="X4" s="18"/>
      <c r="Y4" s="18"/>
    </row>
    <row r="5" spans="1:25" customFormat="1" ht="14">
      <c r="A5" s="125" t="s">
        <v>25</v>
      </c>
      <c r="B5" s="59" t="s">
        <v>42</v>
      </c>
      <c r="C5" s="126" t="s">
        <v>43</v>
      </c>
      <c r="D5" s="127" t="s">
        <v>28</v>
      </c>
      <c r="E5" s="127" t="s">
        <v>29</v>
      </c>
      <c r="F5" s="59" t="s">
        <v>30</v>
      </c>
      <c r="G5" s="128" t="s">
        <v>31</v>
      </c>
      <c r="H5" s="129" t="s">
        <v>32</v>
      </c>
      <c r="I5" s="59">
        <v>0.51200000000000001</v>
      </c>
      <c r="J5" s="130"/>
      <c r="K5" s="59" t="str">
        <f t="shared" si="0"/>
        <v>KY14541-1-T227D</v>
      </c>
      <c r="L5" s="59" t="s">
        <v>44</v>
      </c>
      <c r="M5" s="59"/>
      <c r="N5" s="59">
        <v>17.899999999999999</v>
      </c>
      <c r="O5" s="59">
        <v>20</v>
      </c>
      <c r="P5" s="131"/>
      <c r="Q5" s="59" t="s">
        <v>34</v>
      </c>
      <c r="R5" s="59" t="s">
        <v>35</v>
      </c>
      <c r="S5" s="59">
        <v>1</v>
      </c>
      <c r="T5" s="59"/>
      <c r="U5" s="59"/>
      <c r="V5" s="18"/>
      <c r="W5" s="18"/>
      <c r="X5" s="18"/>
      <c r="Y5" s="18"/>
    </row>
    <row r="6" spans="1:25" customFormat="1" ht="14">
      <c r="A6" s="125" t="s">
        <v>25</v>
      </c>
      <c r="B6" s="59" t="s">
        <v>45</v>
      </c>
      <c r="C6" s="126" t="s">
        <v>46</v>
      </c>
      <c r="D6" s="127" t="s">
        <v>28</v>
      </c>
      <c r="E6" s="127" t="s">
        <v>29</v>
      </c>
      <c r="F6" s="59" t="s">
        <v>30</v>
      </c>
      <c r="G6" s="128" t="s">
        <v>31</v>
      </c>
      <c r="H6" s="129" t="s">
        <v>32</v>
      </c>
      <c r="I6" s="59">
        <v>0.45200000000000001</v>
      </c>
      <c r="J6" s="130"/>
      <c r="K6" s="59" t="str">
        <f t="shared" si="0"/>
        <v>KY14542-1-T230D</v>
      </c>
      <c r="L6" s="59" t="s">
        <v>47</v>
      </c>
      <c r="M6" s="59"/>
      <c r="N6" s="59">
        <v>14.4</v>
      </c>
      <c r="O6" s="59">
        <v>20</v>
      </c>
      <c r="P6" s="131"/>
      <c r="Q6" s="59" t="s">
        <v>34</v>
      </c>
      <c r="R6" s="59" t="s">
        <v>35</v>
      </c>
      <c r="S6" s="59">
        <v>1</v>
      </c>
      <c r="T6" s="59"/>
      <c r="U6" s="59"/>
      <c r="V6" s="18"/>
      <c r="W6" s="18"/>
      <c r="X6" s="18"/>
      <c r="Y6" s="18"/>
    </row>
    <row r="7" spans="1:25">
      <c r="A7" s="125" t="s">
        <v>25</v>
      </c>
      <c r="B7" s="132" t="s">
        <v>48</v>
      </c>
      <c r="C7" s="126" t="s">
        <v>49</v>
      </c>
      <c r="D7" s="127" t="s">
        <v>28</v>
      </c>
      <c r="E7" s="127" t="s">
        <v>29</v>
      </c>
      <c r="F7" s="59" t="s">
        <v>30</v>
      </c>
      <c r="G7" s="128" t="s">
        <v>31</v>
      </c>
      <c r="H7" s="129" t="s">
        <v>32</v>
      </c>
      <c r="I7" s="59">
        <v>0.86799999999999999</v>
      </c>
      <c r="J7" s="130"/>
      <c r="K7" s="59" t="str">
        <f t="shared" si="0"/>
        <v>KY14543-1-T229D</v>
      </c>
      <c r="L7" s="59" t="s">
        <v>50</v>
      </c>
      <c r="M7" s="59"/>
      <c r="N7" s="59">
        <v>15.1</v>
      </c>
      <c r="O7" s="59">
        <v>20</v>
      </c>
      <c r="P7" s="131"/>
      <c r="Q7" s="59" t="s">
        <v>34</v>
      </c>
      <c r="R7" s="59" t="s">
        <v>35</v>
      </c>
      <c r="S7" s="59">
        <v>1</v>
      </c>
      <c r="T7" s="133"/>
      <c r="U7" s="133"/>
      <c r="V7" s="134"/>
      <c r="W7" s="134"/>
      <c r="X7" s="134"/>
      <c r="Y7" s="134"/>
    </row>
    <row r="8" spans="1:25">
      <c r="A8" s="125"/>
      <c r="B8" s="132"/>
      <c r="C8" s="126"/>
      <c r="D8" s="127"/>
      <c r="E8" s="127"/>
      <c r="F8" s="59"/>
      <c r="G8" s="128"/>
      <c r="H8" s="129"/>
      <c r="I8" s="59"/>
      <c r="J8" s="130"/>
      <c r="K8" s="59"/>
      <c r="L8" s="59"/>
      <c r="M8" s="59"/>
      <c r="N8" s="59"/>
      <c r="O8" s="59"/>
      <c r="P8" s="131"/>
      <c r="Q8" s="59"/>
      <c r="R8" s="59"/>
      <c r="S8" s="59"/>
      <c r="T8" s="133"/>
      <c r="U8" s="133"/>
      <c r="V8" s="134"/>
      <c r="W8" s="134"/>
      <c r="X8" s="134"/>
      <c r="Y8" s="134"/>
    </row>
    <row r="9" spans="1:25">
      <c r="A9" s="125"/>
      <c r="B9" s="132"/>
      <c r="C9" s="126"/>
      <c r="D9" s="127"/>
      <c r="E9" s="127"/>
      <c r="F9" s="59"/>
      <c r="G9" s="128"/>
      <c r="H9" s="129"/>
      <c r="I9" s="59"/>
      <c r="J9" s="130"/>
      <c r="K9" s="59"/>
      <c r="L9" s="59"/>
      <c r="M9" s="59"/>
      <c r="N9" s="59"/>
      <c r="O9" s="59"/>
      <c r="P9" s="131"/>
      <c r="Q9" s="59"/>
      <c r="R9" s="59"/>
      <c r="S9" s="59"/>
      <c r="T9" s="133"/>
      <c r="U9" s="133"/>
      <c r="V9" s="134"/>
      <c r="W9" s="134"/>
      <c r="X9" s="134"/>
      <c r="Y9" s="134"/>
    </row>
    <row r="10" spans="1:25">
      <c r="A10" s="125"/>
      <c r="B10" s="132"/>
      <c r="C10" s="126"/>
      <c r="D10" s="127"/>
      <c r="E10" s="127"/>
      <c r="F10" s="59"/>
      <c r="G10" s="128"/>
      <c r="H10" s="129"/>
      <c r="I10" s="59"/>
      <c r="J10" s="130"/>
      <c r="K10" s="59"/>
      <c r="L10" s="59"/>
      <c r="M10" s="59"/>
      <c r="N10" s="59"/>
      <c r="O10" s="59"/>
      <c r="P10" s="59"/>
      <c r="Q10" s="59"/>
      <c r="R10" s="59"/>
      <c r="S10" s="59"/>
      <c r="T10" s="133"/>
      <c r="U10" s="133"/>
      <c r="V10" s="134"/>
      <c r="W10" s="134"/>
      <c r="X10" s="134"/>
      <c r="Y10" s="134"/>
    </row>
    <row r="11" spans="1:25">
      <c r="A11" s="125"/>
      <c r="B11" s="132"/>
      <c r="C11" s="126"/>
      <c r="D11" s="127"/>
      <c r="E11" s="127"/>
      <c r="F11" s="59"/>
      <c r="G11" s="128"/>
      <c r="H11" s="129"/>
      <c r="I11" s="59"/>
      <c r="J11" s="130"/>
      <c r="K11" s="59"/>
      <c r="L11" s="59"/>
      <c r="M11" s="59"/>
      <c r="N11" s="59"/>
      <c r="O11" s="59"/>
      <c r="P11" s="59"/>
      <c r="Q11" s="59"/>
      <c r="R11" s="59"/>
      <c r="S11" s="59"/>
      <c r="T11" s="133"/>
      <c r="U11" s="133"/>
      <c r="V11" s="134"/>
      <c r="W11" s="134"/>
      <c r="X11" s="134"/>
      <c r="Y11" s="134"/>
    </row>
    <row r="12" spans="1:25">
      <c r="A12" s="125"/>
      <c r="B12" s="132"/>
      <c r="C12" s="126"/>
      <c r="D12" s="135"/>
      <c r="E12" s="127"/>
      <c r="F12" s="59"/>
      <c r="G12" s="128"/>
      <c r="H12" s="129"/>
      <c r="I12" s="59"/>
      <c r="J12" s="130"/>
      <c r="K12" s="59"/>
      <c r="L12" s="59"/>
      <c r="M12" s="59"/>
      <c r="N12" s="59"/>
      <c r="O12" s="59"/>
      <c r="P12" s="59"/>
      <c r="Q12" s="59"/>
      <c r="R12" s="59"/>
      <c r="S12" s="59"/>
      <c r="T12" s="133"/>
      <c r="U12" s="133"/>
      <c r="V12" s="134"/>
      <c r="W12" s="134"/>
      <c r="X12" s="134"/>
      <c r="Y12" s="134"/>
    </row>
    <row r="13" spans="1:25">
      <c r="A13" s="125"/>
      <c r="B13" s="132"/>
      <c r="C13" s="126"/>
      <c r="D13" s="135"/>
      <c r="E13" s="127"/>
      <c r="F13" s="59"/>
      <c r="G13" s="128"/>
      <c r="H13" s="129"/>
      <c r="I13" s="59"/>
      <c r="J13" s="130"/>
      <c r="K13" s="59"/>
      <c r="L13" s="59"/>
      <c r="M13" s="59"/>
      <c r="N13" s="59"/>
      <c r="O13" s="59"/>
      <c r="P13" s="59"/>
      <c r="Q13" s="59"/>
      <c r="R13" s="59"/>
      <c r="S13" s="59"/>
      <c r="T13" s="133"/>
      <c r="U13" s="133"/>
      <c r="V13" s="134"/>
      <c r="W13" s="134"/>
      <c r="X13" s="134"/>
      <c r="Y13" s="134"/>
    </row>
    <row r="14" spans="1:25">
      <c r="A14" s="125"/>
      <c r="B14" s="132"/>
      <c r="C14" s="126"/>
      <c r="D14" s="135"/>
      <c r="E14" s="127"/>
      <c r="F14" s="59"/>
      <c r="G14" s="128"/>
      <c r="H14" s="126"/>
      <c r="I14" s="59"/>
      <c r="J14" s="130"/>
      <c r="K14" s="59"/>
      <c r="L14" s="59"/>
      <c r="M14" s="59"/>
      <c r="N14" s="59"/>
      <c r="O14" s="59"/>
      <c r="P14" s="59"/>
      <c r="Q14" s="59"/>
      <c r="R14" s="59"/>
      <c r="S14" s="59"/>
      <c r="T14" s="133"/>
      <c r="U14" s="133"/>
      <c r="V14" s="134"/>
      <c r="W14" s="134"/>
      <c r="X14" s="134"/>
      <c r="Y14" s="134"/>
    </row>
    <row r="15" spans="1:25">
      <c r="A15" s="125"/>
      <c r="B15" s="132"/>
      <c r="C15" s="126"/>
      <c r="D15" s="135"/>
      <c r="E15" s="127"/>
      <c r="F15" s="59"/>
      <c r="G15" s="128"/>
      <c r="H15" s="129"/>
      <c r="I15" s="59"/>
      <c r="J15" s="130"/>
      <c r="K15" s="59"/>
      <c r="L15" s="59"/>
      <c r="M15" s="59"/>
      <c r="N15" s="59"/>
      <c r="O15" s="59"/>
      <c r="P15" s="59"/>
      <c r="Q15" s="59"/>
      <c r="R15" s="59"/>
      <c r="S15" s="59"/>
      <c r="T15" s="133"/>
      <c r="U15" s="133"/>
      <c r="V15" s="134"/>
      <c r="W15" s="134"/>
      <c r="X15" s="134"/>
      <c r="Y15" s="134"/>
    </row>
    <row r="16" spans="1:25">
      <c r="A16" s="125"/>
      <c r="B16" s="132"/>
      <c r="C16" s="126"/>
      <c r="D16" s="135"/>
      <c r="E16" s="127"/>
      <c r="F16" s="59"/>
      <c r="G16" s="128"/>
      <c r="H16" s="129"/>
      <c r="I16" s="59"/>
      <c r="J16" s="130"/>
      <c r="K16" s="59"/>
      <c r="L16" s="59"/>
      <c r="M16" s="133"/>
      <c r="N16" s="59"/>
      <c r="O16" s="59"/>
      <c r="P16" s="133"/>
      <c r="Q16" s="133"/>
      <c r="R16" s="59"/>
      <c r="S16" s="59"/>
      <c r="T16" s="133"/>
      <c r="U16" s="133"/>
      <c r="V16" s="134"/>
      <c r="W16" s="134"/>
      <c r="X16" s="134"/>
      <c r="Y16" s="134"/>
    </row>
    <row r="17" spans="1:25">
      <c r="A17" s="125"/>
      <c r="B17" s="132"/>
      <c r="C17" s="126"/>
      <c r="D17" s="135"/>
      <c r="E17" s="127"/>
      <c r="F17" s="59"/>
      <c r="G17" s="128"/>
      <c r="H17" s="129"/>
      <c r="I17" s="59"/>
      <c r="J17" s="130"/>
      <c r="K17" s="59"/>
      <c r="L17" s="59"/>
      <c r="M17" s="133"/>
      <c r="N17" s="59"/>
      <c r="O17" s="59"/>
      <c r="P17" s="133"/>
      <c r="Q17" s="133"/>
      <c r="R17" s="59"/>
      <c r="S17" s="59"/>
      <c r="T17" s="133"/>
      <c r="U17" s="133"/>
      <c r="V17" s="134"/>
      <c r="W17" s="134"/>
      <c r="X17" s="134"/>
      <c r="Y17" s="134"/>
    </row>
    <row r="18" spans="1:25">
      <c r="A18" s="136"/>
      <c r="B18" s="132"/>
      <c r="C18" s="132"/>
      <c r="D18" s="133"/>
      <c r="E18" s="133"/>
      <c r="F18" s="133"/>
      <c r="G18" s="133"/>
      <c r="H18" s="133"/>
      <c r="I18" s="137"/>
      <c r="J18" s="137"/>
      <c r="K18" s="59"/>
      <c r="L18" s="133"/>
      <c r="M18" s="133"/>
      <c r="N18" s="133"/>
      <c r="O18" s="59"/>
      <c r="P18" s="133"/>
      <c r="Q18" s="133"/>
      <c r="R18" s="133"/>
      <c r="S18" s="59"/>
      <c r="T18" s="133"/>
      <c r="U18" s="133"/>
      <c r="V18" s="134"/>
      <c r="W18" s="134"/>
      <c r="X18" s="134"/>
      <c r="Y18" s="134"/>
    </row>
    <row r="19" spans="1:25">
      <c r="A19" s="136"/>
      <c r="B19" s="132"/>
      <c r="C19" s="132"/>
      <c r="D19" s="133"/>
      <c r="E19" s="133"/>
      <c r="F19" s="133"/>
      <c r="G19" s="133"/>
      <c r="H19" s="133"/>
      <c r="I19" s="137"/>
      <c r="J19" s="137"/>
      <c r="K19" s="59"/>
      <c r="L19" s="133"/>
      <c r="M19" s="133"/>
      <c r="N19" s="133"/>
      <c r="O19" s="59"/>
      <c r="P19" s="133"/>
      <c r="Q19" s="133"/>
      <c r="R19" s="133"/>
      <c r="S19" s="59"/>
      <c r="T19" s="133"/>
      <c r="U19" s="133"/>
      <c r="V19" s="134"/>
      <c r="W19" s="134"/>
      <c r="X19" s="134"/>
      <c r="Y19" s="134"/>
    </row>
    <row r="20" spans="1:25">
      <c r="A20" s="136"/>
      <c r="B20" s="132"/>
      <c r="C20" s="132"/>
      <c r="D20" s="133"/>
      <c r="E20" s="133"/>
      <c r="F20" s="133"/>
      <c r="G20" s="133"/>
      <c r="H20" s="133"/>
      <c r="I20" s="137"/>
      <c r="J20" s="137"/>
      <c r="K20" s="59"/>
      <c r="L20" s="133"/>
      <c r="M20" s="133"/>
      <c r="N20" s="133"/>
      <c r="O20" s="59"/>
      <c r="P20" s="133"/>
      <c r="Q20" s="133"/>
      <c r="R20" s="133"/>
      <c r="S20" s="59"/>
      <c r="T20" s="133"/>
      <c r="U20" s="133"/>
      <c r="V20" s="134"/>
      <c r="W20" s="134"/>
      <c r="X20" s="134"/>
      <c r="Y20" s="134"/>
    </row>
    <row r="21" spans="1:25">
      <c r="A21" s="136"/>
      <c r="B21" s="132"/>
      <c r="C21" s="132"/>
      <c r="D21" s="133"/>
      <c r="E21" s="133"/>
      <c r="F21" s="133"/>
      <c r="G21" s="133"/>
      <c r="H21" s="133"/>
      <c r="I21" s="137"/>
      <c r="J21" s="137"/>
      <c r="K21" s="59"/>
      <c r="L21" s="133"/>
      <c r="M21" s="133"/>
      <c r="N21" s="133"/>
      <c r="O21" s="59"/>
      <c r="P21" s="133"/>
      <c r="Q21" s="133"/>
      <c r="R21" s="133"/>
      <c r="S21" s="59"/>
      <c r="T21" s="133"/>
      <c r="U21" s="133"/>
      <c r="V21" s="134"/>
      <c r="W21" s="134"/>
      <c r="X21" s="134"/>
      <c r="Y21" s="134"/>
    </row>
    <row r="22" spans="1:25">
      <c r="A22" s="136"/>
      <c r="B22" s="138"/>
      <c r="C22" s="138"/>
      <c r="D22" s="133"/>
      <c r="E22" s="133"/>
      <c r="F22" s="133"/>
      <c r="G22" s="133"/>
      <c r="H22" s="133"/>
      <c r="I22" s="137"/>
      <c r="J22" s="137"/>
      <c r="K22" s="59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4"/>
      <c r="W22" s="134"/>
      <c r="X22" s="134"/>
      <c r="Y22" s="134"/>
    </row>
    <row r="23" spans="1:25">
      <c r="A23" s="136"/>
      <c r="B23" s="138"/>
      <c r="C23" s="138"/>
      <c r="D23" s="133"/>
      <c r="E23" s="133"/>
      <c r="F23" s="133"/>
      <c r="G23" s="133"/>
      <c r="H23" s="133"/>
      <c r="I23" s="137"/>
      <c r="J23" s="137"/>
      <c r="K23" s="59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4"/>
      <c r="W23" s="134"/>
      <c r="X23" s="134"/>
      <c r="Y23" s="134"/>
    </row>
    <row r="24" spans="1:25">
      <c r="A24" s="136"/>
      <c r="B24" s="138"/>
      <c r="C24" s="138"/>
      <c r="D24" s="133"/>
      <c r="E24" s="133"/>
      <c r="F24" s="133"/>
      <c r="G24" s="133"/>
      <c r="H24" s="133"/>
      <c r="I24" s="137"/>
      <c r="J24" s="137"/>
      <c r="K24" s="59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4"/>
      <c r="W24" s="134"/>
      <c r="X24" s="134"/>
      <c r="Y24" s="134"/>
    </row>
    <row r="25" spans="1:25">
      <c r="A25" s="136"/>
      <c r="B25" s="138"/>
      <c r="C25" s="138"/>
      <c r="D25" s="133"/>
      <c r="E25" s="133"/>
      <c r="F25" s="133"/>
      <c r="G25" s="133"/>
      <c r="H25" s="133"/>
      <c r="I25" s="137"/>
      <c r="J25" s="137"/>
      <c r="K25" s="59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4"/>
      <c r="W25" s="134"/>
      <c r="X25" s="134"/>
      <c r="Y25" s="134"/>
    </row>
    <row r="26" spans="1:25">
      <c r="A26" s="136"/>
      <c r="B26" s="138"/>
      <c r="C26" s="138"/>
      <c r="D26" s="133"/>
      <c r="E26" s="133"/>
      <c r="F26" s="133"/>
      <c r="G26" s="133"/>
      <c r="H26" s="133"/>
      <c r="I26" s="137"/>
      <c r="J26" s="137"/>
      <c r="K26" s="59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4"/>
      <c r="W26" s="134"/>
      <c r="X26" s="134"/>
      <c r="Y26" s="134"/>
    </row>
    <row r="27" spans="1:25">
      <c r="A27" s="136"/>
      <c r="B27" s="138"/>
      <c r="C27" s="138"/>
      <c r="D27" s="133"/>
      <c r="E27" s="133"/>
      <c r="F27" s="133"/>
      <c r="G27" s="133"/>
      <c r="H27" s="133"/>
      <c r="I27" s="137"/>
      <c r="J27" s="137"/>
      <c r="K27" s="59"/>
      <c r="L27" s="133"/>
      <c r="M27" s="133"/>
      <c r="N27" s="133"/>
      <c r="O27" s="133"/>
      <c r="P27" s="133"/>
      <c r="Q27" s="133"/>
      <c r="R27" s="133"/>
      <c r="S27" s="139"/>
      <c r="T27" s="134"/>
      <c r="U27" s="134"/>
      <c r="V27" s="134"/>
      <c r="W27" s="134"/>
      <c r="X27" s="134"/>
      <c r="Y27" s="134"/>
    </row>
    <row r="28" spans="1:25">
      <c r="A28" s="136"/>
      <c r="B28" s="138"/>
      <c r="C28" s="138"/>
      <c r="D28" s="133"/>
      <c r="E28" s="133"/>
      <c r="F28" s="133"/>
      <c r="G28" s="133"/>
      <c r="H28" s="133"/>
      <c r="I28" s="137"/>
      <c r="J28" s="137"/>
      <c r="K28" s="59"/>
      <c r="L28" s="133"/>
      <c r="M28" s="133"/>
      <c r="N28" s="133"/>
      <c r="O28" s="133"/>
      <c r="P28" s="133"/>
      <c r="Q28" s="133"/>
      <c r="R28" s="133"/>
      <c r="S28" s="139"/>
      <c r="T28" s="134"/>
      <c r="U28" s="134"/>
      <c r="V28" s="134"/>
      <c r="W28" s="134"/>
      <c r="X28" s="134"/>
      <c r="Y28" s="134"/>
    </row>
    <row r="29" spans="1:25">
      <c r="A29" s="136"/>
      <c r="B29" s="138"/>
      <c r="C29" s="138"/>
      <c r="D29" s="133"/>
      <c r="E29" s="133"/>
      <c r="F29" s="133"/>
      <c r="G29" s="133"/>
      <c r="H29" s="133"/>
      <c r="I29" s="137"/>
      <c r="J29" s="137"/>
      <c r="K29" s="59"/>
      <c r="L29" s="133"/>
      <c r="M29" s="133"/>
      <c r="N29" s="133"/>
      <c r="O29" s="133"/>
      <c r="P29" s="133"/>
      <c r="Q29" s="133"/>
      <c r="R29" s="133"/>
      <c r="S29" s="139"/>
      <c r="T29" s="134"/>
      <c r="U29" s="134"/>
      <c r="V29" s="134"/>
      <c r="W29" s="134"/>
      <c r="X29" s="134"/>
      <c r="Y29" s="134"/>
    </row>
    <row r="30" spans="1:25">
      <c r="A30" s="136"/>
      <c r="B30" s="138"/>
      <c r="C30" s="140"/>
      <c r="D30" s="138"/>
      <c r="E30" s="133"/>
      <c r="F30" s="133"/>
      <c r="G30" s="133"/>
      <c r="H30" s="133"/>
      <c r="I30" s="133"/>
      <c r="J30" s="133"/>
      <c r="K30" s="59"/>
      <c r="L30" s="133"/>
      <c r="M30" s="133"/>
      <c r="N30" s="133"/>
      <c r="O30" s="133"/>
      <c r="P30" s="133"/>
      <c r="Q30" s="133"/>
      <c r="R30" s="133"/>
      <c r="S30" s="139"/>
      <c r="T30" s="134"/>
      <c r="U30" s="134"/>
      <c r="V30" s="134"/>
      <c r="W30" s="134"/>
      <c r="X30" s="134"/>
      <c r="Y30" s="134"/>
    </row>
    <row r="31" spans="1:25">
      <c r="A31" s="136"/>
      <c r="B31" s="138"/>
      <c r="C31" s="138"/>
      <c r="D31" s="133"/>
      <c r="E31" s="133"/>
      <c r="F31" s="133"/>
      <c r="G31" s="133"/>
      <c r="H31" s="133"/>
      <c r="I31" s="137"/>
      <c r="J31" s="133"/>
      <c r="K31" s="59"/>
      <c r="L31" s="133"/>
      <c r="M31" s="133"/>
      <c r="N31" s="133"/>
      <c r="O31" s="133"/>
      <c r="P31" s="133"/>
      <c r="Q31" s="133"/>
      <c r="R31" s="133"/>
      <c r="S31" s="139"/>
      <c r="T31" s="134"/>
      <c r="U31" s="134"/>
      <c r="V31" s="134"/>
      <c r="W31" s="134"/>
      <c r="X31" s="134"/>
      <c r="Y31" s="134"/>
    </row>
    <row r="32" spans="1:25">
      <c r="A32" s="136"/>
      <c r="B32" s="138"/>
      <c r="C32" s="138"/>
      <c r="D32" s="133"/>
      <c r="E32" s="133"/>
      <c r="F32" s="133"/>
      <c r="G32" s="133"/>
      <c r="H32" s="133"/>
      <c r="I32" s="137"/>
      <c r="J32" s="133"/>
      <c r="K32" s="59"/>
      <c r="L32" s="133"/>
      <c r="M32" s="133"/>
      <c r="N32" s="133"/>
      <c r="O32" s="133"/>
      <c r="P32" s="133"/>
      <c r="Q32" s="133"/>
      <c r="R32" s="133"/>
      <c r="S32" s="139"/>
      <c r="T32" s="134"/>
      <c r="U32" s="134"/>
      <c r="V32" s="134"/>
      <c r="W32" s="134"/>
      <c r="X32" s="134"/>
      <c r="Y32" s="134"/>
    </row>
    <row r="33" spans="1:25">
      <c r="A33" s="136"/>
      <c r="B33" s="138"/>
      <c r="C33" s="138"/>
      <c r="D33" s="133"/>
      <c r="E33" s="133"/>
      <c r="F33" s="133"/>
      <c r="G33" s="133"/>
      <c r="H33" s="133"/>
      <c r="I33" s="137"/>
      <c r="J33" s="133"/>
      <c r="K33" s="133"/>
      <c r="L33" s="133"/>
      <c r="M33" s="133"/>
      <c r="N33" s="133"/>
      <c r="O33" s="133"/>
      <c r="P33" s="133"/>
      <c r="Q33" s="133"/>
      <c r="R33" s="133"/>
      <c r="S33" s="139"/>
      <c r="T33" s="134"/>
      <c r="U33" s="134"/>
      <c r="V33" s="134"/>
      <c r="W33" s="134"/>
      <c r="X33" s="134"/>
      <c r="Y33" s="134"/>
    </row>
    <row r="34" spans="1:25">
      <c r="A34" s="136"/>
      <c r="B34" s="138"/>
      <c r="C34" s="138"/>
      <c r="D34" s="133"/>
      <c r="E34" s="133"/>
      <c r="F34" s="133"/>
      <c r="G34" s="133"/>
      <c r="H34" s="133"/>
      <c r="I34" s="137"/>
      <c r="J34" s="133"/>
      <c r="K34" s="133"/>
      <c r="L34" s="133"/>
      <c r="M34" s="133"/>
      <c r="N34" s="133"/>
      <c r="O34" s="133"/>
      <c r="P34" s="133"/>
      <c r="Q34" s="133"/>
      <c r="R34" s="133"/>
      <c r="S34" s="139"/>
      <c r="T34" s="134"/>
      <c r="U34" s="134"/>
      <c r="V34" s="134"/>
      <c r="W34" s="134"/>
      <c r="X34" s="134"/>
      <c r="Y34" s="134"/>
    </row>
    <row r="35" spans="1:25">
      <c r="A35" s="136"/>
      <c r="B35" s="138"/>
      <c r="C35" s="138"/>
      <c r="D35" s="133"/>
      <c r="E35" s="133"/>
      <c r="F35" s="133"/>
      <c r="G35" s="133"/>
      <c r="H35" s="133"/>
      <c r="I35" s="137"/>
      <c r="J35" s="133"/>
      <c r="K35" s="133"/>
      <c r="L35" s="133"/>
      <c r="M35" s="133"/>
      <c r="N35" s="133"/>
      <c r="O35" s="133"/>
      <c r="P35" s="133"/>
      <c r="Q35" s="133"/>
      <c r="R35" s="133"/>
      <c r="S35" s="139"/>
      <c r="T35" s="134"/>
      <c r="U35" s="134"/>
      <c r="V35" s="134"/>
      <c r="W35" s="134"/>
      <c r="X35" s="134"/>
      <c r="Y35" s="134"/>
    </row>
    <row r="36" spans="1:25">
      <c r="A36" s="136"/>
      <c r="B36" s="138"/>
      <c r="C36" s="138"/>
      <c r="D36" s="133"/>
      <c r="E36" s="133"/>
      <c r="F36" s="133"/>
      <c r="G36" s="133"/>
      <c r="H36" s="133"/>
      <c r="I36" s="137"/>
      <c r="J36" s="133"/>
      <c r="K36" s="133"/>
      <c r="L36" s="133"/>
      <c r="M36" s="133"/>
      <c r="N36" s="133"/>
      <c r="O36" s="133"/>
      <c r="P36" s="133"/>
      <c r="Q36" s="133"/>
      <c r="R36" s="133"/>
      <c r="S36" s="139"/>
      <c r="T36" s="134"/>
      <c r="U36" s="134"/>
      <c r="V36" s="134"/>
      <c r="W36" s="134"/>
      <c r="X36" s="134"/>
      <c r="Y36" s="134"/>
    </row>
    <row r="37" spans="1:25">
      <c r="A37" s="136"/>
      <c r="B37" s="138"/>
      <c r="C37" s="138"/>
      <c r="D37" s="133"/>
      <c r="E37" s="133"/>
      <c r="F37" s="133"/>
      <c r="G37" s="133"/>
      <c r="H37" s="133"/>
      <c r="I37" s="137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4"/>
      <c r="U37" s="134"/>
    </row>
    <row r="38" spans="1:25">
      <c r="A38" s="136"/>
      <c r="B38" s="138"/>
      <c r="C38" s="133"/>
      <c r="D38" s="133"/>
      <c r="E38" s="133"/>
      <c r="F38" s="133"/>
      <c r="G38" s="141"/>
      <c r="H38" s="141"/>
      <c r="I38" s="137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4"/>
      <c r="U38" s="134"/>
    </row>
    <row r="39" spans="1:25">
      <c r="A39" s="136"/>
      <c r="B39" s="138"/>
      <c r="C39" s="133"/>
      <c r="D39" s="133"/>
      <c r="E39" s="133"/>
      <c r="F39" s="133"/>
      <c r="G39" s="141"/>
      <c r="H39" s="141"/>
      <c r="I39" s="137"/>
      <c r="J39" s="133"/>
      <c r="K39" s="133"/>
      <c r="L39" s="133"/>
      <c r="M39" s="133"/>
      <c r="N39" s="133"/>
      <c r="O39" s="133"/>
      <c r="P39" s="133"/>
      <c r="Q39" s="133"/>
      <c r="R39" s="133"/>
      <c r="S39" s="133"/>
    </row>
    <row r="40" spans="1:25">
      <c r="A40" s="142"/>
      <c r="B40" s="138"/>
      <c r="C40" s="133"/>
      <c r="D40" s="133"/>
      <c r="E40" s="133"/>
      <c r="F40" s="133"/>
      <c r="G40" s="143"/>
      <c r="H40" s="143"/>
      <c r="I40" s="137"/>
      <c r="J40" s="133"/>
      <c r="K40" s="133"/>
      <c r="L40" s="133"/>
      <c r="M40" s="133"/>
      <c r="N40" s="133"/>
      <c r="O40" s="133"/>
      <c r="P40" s="133"/>
      <c r="Q40" s="133"/>
      <c r="R40" s="133"/>
      <c r="S40" s="133"/>
    </row>
    <row r="41" spans="1:25">
      <c r="A41" s="136"/>
      <c r="B41" s="138"/>
      <c r="C41" s="133"/>
      <c r="D41" s="133"/>
      <c r="E41" s="133"/>
      <c r="F41" s="133"/>
      <c r="G41" s="143"/>
      <c r="H41" s="133"/>
      <c r="I41" s="137"/>
      <c r="J41" s="133"/>
      <c r="K41" s="133"/>
      <c r="L41" s="133"/>
      <c r="M41" s="133"/>
      <c r="N41" s="133"/>
      <c r="O41" s="133"/>
      <c r="P41" s="133"/>
      <c r="Q41" s="133"/>
      <c r="R41" s="133"/>
      <c r="S41" s="133"/>
    </row>
    <row r="42" spans="1:25">
      <c r="A42" s="136"/>
      <c r="B42" s="138"/>
      <c r="C42" s="133"/>
      <c r="D42" s="133"/>
      <c r="E42" s="133"/>
      <c r="F42" s="133"/>
      <c r="G42" s="143"/>
      <c r="H42" s="133"/>
      <c r="I42" s="137"/>
      <c r="J42" s="133"/>
      <c r="K42" s="133"/>
      <c r="L42" s="133"/>
      <c r="M42" s="133"/>
      <c r="N42" s="133"/>
      <c r="O42" s="133"/>
      <c r="P42" s="133"/>
      <c r="Q42" s="133"/>
      <c r="R42" s="133"/>
      <c r="S42" s="133"/>
    </row>
    <row r="43" spans="1:25">
      <c r="A43" s="136"/>
      <c r="B43" s="138"/>
      <c r="C43" s="133"/>
      <c r="D43" s="133"/>
      <c r="E43" s="133"/>
      <c r="F43" s="133"/>
      <c r="G43" s="143"/>
      <c r="H43" s="143"/>
      <c r="I43" s="137"/>
      <c r="J43" s="133"/>
      <c r="K43" s="133"/>
      <c r="L43" s="133"/>
      <c r="M43" s="133"/>
      <c r="N43" s="133"/>
      <c r="O43" s="133"/>
      <c r="P43" s="133"/>
      <c r="Q43" s="133"/>
      <c r="R43" s="133"/>
      <c r="S43" s="133"/>
    </row>
    <row r="44" spans="1:25">
      <c r="A44" s="136"/>
      <c r="B44" s="138"/>
      <c r="C44" s="133"/>
      <c r="D44" s="133"/>
      <c r="E44" s="133"/>
      <c r="F44" s="133"/>
      <c r="G44" s="143"/>
      <c r="H44" s="143"/>
      <c r="I44" s="137"/>
      <c r="J44" s="133"/>
      <c r="K44" s="133"/>
      <c r="L44" s="133"/>
      <c r="M44" s="133"/>
      <c r="N44" s="133"/>
      <c r="O44" s="133"/>
      <c r="P44" s="133"/>
      <c r="Q44" s="133"/>
      <c r="R44" s="133"/>
      <c r="S44" s="133"/>
    </row>
    <row r="45" spans="1:25">
      <c r="A45" s="136"/>
      <c r="B45" s="138"/>
      <c r="C45" s="133"/>
      <c r="D45" s="133"/>
      <c r="E45" s="133"/>
      <c r="F45" s="133"/>
      <c r="G45" s="143"/>
      <c r="H45" s="143"/>
      <c r="I45" s="137"/>
      <c r="J45" s="133"/>
      <c r="K45" s="133"/>
      <c r="L45" s="133"/>
      <c r="M45" s="133"/>
      <c r="N45" s="133"/>
      <c r="O45" s="133"/>
      <c r="P45" s="133"/>
      <c r="Q45" s="133"/>
      <c r="R45" s="133"/>
      <c r="S45" s="133"/>
    </row>
    <row r="46" spans="1:25">
      <c r="A46" s="136"/>
      <c r="B46" s="138"/>
      <c r="C46" s="133"/>
      <c r="D46" s="133"/>
      <c r="E46" s="133"/>
      <c r="F46" s="133"/>
      <c r="G46" s="143"/>
      <c r="H46" s="143"/>
      <c r="I46" s="137"/>
      <c r="J46" s="133"/>
      <c r="K46" s="133"/>
      <c r="L46" s="133"/>
      <c r="M46" s="133"/>
      <c r="N46" s="133"/>
      <c r="O46" s="133"/>
      <c r="P46" s="133"/>
      <c r="Q46" s="133"/>
      <c r="R46" s="133"/>
      <c r="S46" s="133"/>
    </row>
    <row r="47" spans="1:25">
      <c r="A47" s="142"/>
      <c r="B47" s="138"/>
      <c r="C47" s="133"/>
      <c r="D47" s="133"/>
      <c r="E47" s="133"/>
      <c r="F47" s="133"/>
      <c r="G47" s="143"/>
      <c r="H47" s="143"/>
      <c r="I47" s="137"/>
      <c r="J47" s="133"/>
      <c r="K47" s="133"/>
      <c r="L47" s="133"/>
      <c r="M47" s="133"/>
      <c r="N47" s="133"/>
      <c r="O47" s="133"/>
      <c r="P47" s="133"/>
      <c r="Q47" s="133"/>
      <c r="R47" s="133"/>
      <c r="S47" s="133"/>
    </row>
    <row r="48" spans="1:25">
      <c r="A48" s="136"/>
      <c r="B48" s="138"/>
      <c r="C48" s="133"/>
      <c r="D48" s="133"/>
      <c r="E48" s="133"/>
      <c r="F48" s="133"/>
      <c r="G48" s="133"/>
      <c r="H48" s="138"/>
      <c r="I48" s="137"/>
      <c r="J48" s="144"/>
      <c r="K48" s="133"/>
      <c r="L48" s="133"/>
      <c r="M48" s="133"/>
      <c r="N48" s="133"/>
      <c r="O48" s="133"/>
      <c r="P48" s="133"/>
      <c r="Q48" s="133"/>
      <c r="R48" s="133"/>
      <c r="S48" s="133"/>
    </row>
    <row r="49" spans="1:19">
      <c r="A49" s="136"/>
      <c r="B49" s="138"/>
      <c r="C49" s="133"/>
      <c r="D49" s="133"/>
      <c r="E49" s="133"/>
      <c r="F49" s="133"/>
      <c r="G49" s="143"/>
      <c r="H49" s="133"/>
      <c r="I49" s="137"/>
      <c r="J49" s="133"/>
      <c r="K49" s="133"/>
      <c r="L49" s="133"/>
      <c r="M49" s="133"/>
      <c r="N49" s="133"/>
      <c r="O49" s="133"/>
      <c r="P49" s="133"/>
      <c r="Q49" s="133"/>
      <c r="R49" s="133"/>
      <c r="S49" s="133"/>
    </row>
    <row r="50" spans="1:19">
      <c r="A50" s="136"/>
      <c r="B50" s="138"/>
      <c r="C50" s="133"/>
      <c r="D50" s="133"/>
      <c r="E50" s="133"/>
      <c r="F50" s="133"/>
      <c r="G50" s="143"/>
      <c r="H50" s="133"/>
      <c r="I50" s="137"/>
      <c r="J50" s="133"/>
      <c r="K50" s="133"/>
      <c r="L50" s="133"/>
      <c r="M50" s="133"/>
      <c r="N50" s="133"/>
      <c r="O50" s="133"/>
      <c r="P50" s="133"/>
      <c r="Q50" s="133"/>
      <c r="R50" s="133"/>
    </row>
    <row r="51" spans="1:19">
      <c r="A51" s="136"/>
      <c r="B51" s="138"/>
      <c r="C51" s="133"/>
      <c r="D51" s="133"/>
      <c r="E51" s="133"/>
      <c r="F51" s="133"/>
      <c r="G51" s="143"/>
      <c r="H51" s="143"/>
      <c r="I51" s="137"/>
      <c r="J51" s="133"/>
      <c r="K51" s="133"/>
      <c r="L51" s="133"/>
      <c r="M51" s="133"/>
      <c r="N51" s="133"/>
      <c r="O51" s="133"/>
      <c r="P51" s="133"/>
      <c r="Q51" s="133"/>
      <c r="R51" s="133"/>
    </row>
    <row r="52" spans="1:19">
      <c r="A52" s="136"/>
      <c r="B52" s="138"/>
      <c r="C52" s="133"/>
      <c r="D52" s="133"/>
      <c r="E52" s="133"/>
      <c r="F52" s="133"/>
      <c r="G52" s="143"/>
      <c r="H52" s="143"/>
      <c r="I52" s="137"/>
      <c r="J52" s="133"/>
      <c r="K52" s="133"/>
      <c r="L52" s="133"/>
      <c r="M52" s="133"/>
      <c r="N52" s="133"/>
      <c r="O52" s="133"/>
      <c r="P52" s="133"/>
      <c r="Q52" s="133"/>
      <c r="R52" s="133"/>
    </row>
    <row r="53" spans="1:19">
      <c r="A53" s="136"/>
      <c r="B53" s="138"/>
      <c r="C53" s="133"/>
      <c r="D53" s="133"/>
      <c r="E53" s="133"/>
      <c r="F53" s="133"/>
      <c r="G53" s="143"/>
      <c r="H53" s="143"/>
      <c r="I53" s="137"/>
      <c r="J53" s="133"/>
      <c r="K53" s="133"/>
      <c r="L53" s="133"/>
      <c r="M53" s="133"/>
      <c r="N53" s="144"/>
      <c r="O53" s="133"/>
      <c r="P53" s="133"/>
      <c r="Q53" s="133"/>
      <c r="R53" s="133"/>
    </row>
    <row r="54" spans="1:19">
      <c r="A54" s="136"/>
      <c r="B54" s="138"/>
      <c r="C54" s="133"/>
      <c r="D54" s="133"/>
      <c r="E54" s="133"/>
      <c r="F54" s="133"/>
      <c r="G54" s="143"/>
      <c r="H54" s="143"/>
      <c r="I54" s="137"/>
      <c r="J54" s="133"/>
      <c r="K54" s="133"/>
      <c r="L54" s="133"/>
      <c r="M54" s="133"/>
      <c r="N54" s="144"/>
      <c r="O54" s="133"/>
      <c r="P54" s="133"/>
      <c r="Q54" s="133"/>
      <c r="R54" s="133"/>
    </row>
    <row r="55" spans="1:19">
      <c r="A55" s="142"/>
      <c r="B55" s="138"/>
      <c r="C55" s="133"/>
      <c r="D55" s="133"/>
      <c r="E55" s="133"/>
      <c r="F55" s="133"/>
      <c r="G55" s="143"/>
      <c r="H55" s="143"/>
      <c r="I55" s="137"/>
      <c r="J55" s="133"/>
      <c r="K55" s="133"/>
      <c r="L55" s="133"/>
      <c r="M55" s="133"/>
      <c r="N55" s="144"/>
      <c r="O55" s="133"/>
      <c r="P55" s="133"/>
      <c r="Q55" s="133"/>
      <c r="R55" s="133"/>
    </row>
    <row r="56" spans="1:19">
      <c r="A56" s="136"/>
      <c r="B56" s="138"/>
      <c r="C56" s="133"/>
      <c r="D56" s="133"/>
      <c r="E56" s="133"/>
      <c r="F56" s="133"/>
      <c r="G56" s="143"/>
      <c r="H56" s="143"/>
      <c r="I56" s="137"/>
      <c r="J56" s="133"/>
      <c r="K56" s="133"/>
      <c r="L56" s="133"/>
      <c r="M56" s="133"/>
      <c r="N56" s="144"/>
      <c r="O56" s="133"/>
      <c r="P56" s="133"/>
      <c r="Q56" s="133"/>
      <c r="R56" s="133"/>
    </row>
    <row r="57" spans="1:19">
      <c r="A57" s="136"/>
      <c r="B57" s="138"/>
      <c r="C57" s="133"/>
      <c r="D57" s="133"/>
      <c r="E57" s="133"/>
      <c r="F57" s="133"/>
      <c r="G57" s="143"/>
      <c r="H57" s="143"/>
      <c r="I57" s="137"/>
      <c r="J57" s="133"/>
      <c r="K57" s="133"/>
      <c r="L57" s="133"/>
      <c r="M57" s="133"/>
      <c r="N57" s="144"/>
      <c r="O57" s="133"/>
      <c r="P57" s="133"/>
      <c r="Q57" s="133"/>
      <c r="R57" s="133"/>
    </row>
    <row r="58" spans="1:19">
      <c r="A58" s="136"/>
      <c r="B58" s="138"/>
      <c r="C58" s="133"/>
      <c r="D58" s="133"/>
      <c r="E58" s="133"/>
      <c r="F58" s="133"/>
      <c r="G58" s="143"/>
      <c r="H58" s="143"/>
      <c r="I58" s="137"/>
      <c r="J58" s="133"/>
      <c r="K58" s="133"/>
      <c r="L58" s="133"/>
      <c r="M58" s="133"/>
      <c r="N58" s="144"/>
      <c r="O58" s="133"/>
      <c r="P58" s="133"/>
      <c r="Q58" s="133"/>
      <c r="R58" s="133"/>
    </row>
    <row r="59" spans="1:19">
      <c r="A59" s="136"/>
      <c r="B59" s="138"/>
      <c r="C59" s="133"/>
      <c r="D59" s="133"/>
      <c r="E59" s="133"/>
      <c r="F59" s="133"/>
      <c r="G59" s="143"/>
      <c r="H59" s="143"/>
      <c r="I59" s="137"/>
      <c r="J59" s="133"/>
      <c r="K59" s="133"/>
      <c r="L59" s="133"/>
      <c r="M59" s="133"/>
      <c r="N59" s="144"/>
      <c r="O59" s="133"/>
      <c r="P59" s="133"/>
      <c r="Q59" s="133"/>
      <c r="R59" s="133"/>
    </row>
    <row r="60" spans="1:19">
      <c r="A60" s="142"/>
      <c r="B60" s="138"/>
      <c r="C60" s="133"/>
      <c r="D60" s="133"/>
      <c r="E60" s="133"/>
      <c r="F60" s="133"/>
      <c r="G60" s="143"/>
      <c r="H60" s="143"/>
      <c r="I60" s="137"/>
      <c r="J60" s="133"/>
      <c r="K60" s="133"/>
      <c r="L60" s="133"/>
      <c r="M60" s="133"/>
      <c r="N60" s="144"/>
      <c r="O60" s="133"/>
      <c r="P60" s="133"/>
      <c r="Q60" s="133"/>
      <c r="R60" s="133"/>
    </row>
    <row r="61" spans="1:19">
      <c r="A61" s="136"/>
      <c r="B61" s="138"/>
      <c r="C61" s="133"/>
      <c r="D61" s="133"/>
      <c r="E61" s="133"/>
      <c r="F61" s="133"/>
      <c r="G61" s="143"/>
      <c r="H61" s="143"/>
      <c r="I61" s="137"/>
      <c r="J61" s="133"/>
      <c r="K61" s="133"/>
      <c r="L61" s="133"/>
      <c r="M61" s="144"/>
      <c r="N61" s="144"/>
      <c r="O61" s="133"/>
      <c r="P61" s="133"/>
      <c r="Q61" s="133"/>
      <c r="R61" s="133"/>
    </row>
    <row r="62" spans="1:19">
      <c r="A62" s="145"/>
      <c r="B62" s="146"/>
      <c r="C62" s="147"/>
      <c r="D62" s="147"/>
      <c r="E62" s="147"/>
      <c r="F62" s="147"/>
      <c r="G62" s="148"/>
      <c r="H62" s="148"/>
      <c r="I62" s="149"/>
      <c r="J62" s="147"/>
      <c r="K62" s="147"/>
      <c r="L62" s="133"/>
      <c r="M62" s="150"/>
      <c r="N62" s="150"/>
      <c r="O62" s="147"/>
      <c r="P62" s="147"/>
      <c r="Q62" s="147"/>
      <c r="R62" s="147"/>
    </row>
    <row r="63" spans="1:19">
      <c r="A63" s="151"/>
    </row>
    <row r="64" spans="1:19">
      <c r="A64" s="151"/>
    </row>
    <row r="65" spans="1:1">
      <c r="A65" s="151"/>
    </row>
    <row r="66" spans="1:1">
      <c r="A66" s="151"/>
    </row>
    <row r="67" spans="1:1">
      <c r="A67" s="151"/>
    </row>
    <row r="68" spans="1:1">
      <c r="A68" s="151"/>
    </row>
    <row r="69" spans="1:1">
      <c r="A69" s="151"/>
    </row>
  </sheetData>
  <phoneticPr fontId="98" type="noConversion"/>
  <conditionalFormatting sqref="A2:I17">
    <cfRule type="expression" dxfId="20" priority="1">
      <formula>A2&lt;&gt;""</formula>
    </cfRule>
  </conditionalFormatting>
  <conditionalFormatting sqref="K2:K96">
    <cfRule type="expression" dxfId="19" priority="19">
      <formula>IFERROR(FIND($L2,RIGHT($K2,5)),2)=2</formula>
    </cfRule>
  </conditionalFormatting>
  <conditionalFormatting sqref="L1 L18:L1048576">
    <cfRule type="duplicateValues" dxfId="18" priority="43"/>
  </conditionalFormatting>
  <conditionalFormatting sqref="L2:L17">
    <cfRule type="duplicateValues" dxfId="17" priority="18"/>
    <cfRule type="duplicateValues" dxfId="16" priority="20"/>
  </conditionalFormatting>
  <conditionalFormatting sqref="M1 M45:M1048576">
    <cfRule type="duplicateValues" dxfId="15" priority="44"/>
  </conditionalFormatting>
  <conditionalFormatting sqref="M2:M5">
    <cfRule type="duplicateValues" dxfId="14" priority="21"/>
  </conditionalFormatting>
  <conditionalFormatting sqref="M6">
    <cfRule type="duplicateValues" dxfId="13" priority="23"/>
  </conditionalFormatting>
  <conditionalFormatting sqref="M7:M15">
    <cfRule type="duplicateValues" dxfId="12" priority="31"/>
  </conditionalFormatting>
  <conditionalFormatting sqref="M16:M44">
    <cfRule type="duplicateValues" dxfId="11" priority="45"/>
  </conditionalFormatting>
  <conditionalFormatting sqref="P2:P9">
    <cfRule type="expression" dxfId="10" priority="9">
      <formula>P2&lt;&gt;""</formula>
    </cfRule>
  </conditionalFormatting>
  <dataValidations count="1">
    <dataValidation type="list" allowBlank="1" showInputMessage="1" showErrorMessage="1" sqref="U2:U13" xr:uid="{00000000-0002-0000-0000-000000000000}">
      <formula1>"全流程,部分流程"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0" tint="-0.499984740745262"/>
    <pageSetUpPr fitToPage="1"/>
  </sheetPr>
  <dimension ref="A1:AE81"/>
  <sheetViews>
    <sheetView zoomScale="130" zoomScaleNormal="130" workbookViewId="0">
      <selection activeCell="L11" sqref="L11"/>
    </sheetView>
  </sheetViews>
  <sheetFormatPr defaultColWidth="9" defaultRowHeight="14"/>
  <cols>
    <col min="1" max="1" width="10.26953125" customWidth="1"/>
    <col min="2" max="2" width="18.08984375" customWidth="1"/>
    <col min="3" max="3" width="11.453125" customWidth="1"/>
    <col min="4" max="4" width="6.36328125" customWidth="1"/>
    <col min="5" max="5" width="8.36328125" customWidth="1"/>
    <col min="6" max="7" width="9.90625" customWidth="1"/>
    <col min="8" max="8" width="8.90625" customWidth="1"/>
    <col min="9" max="9" width="10" customWidth="1"/>
    <col min="10" max="11" width="8.6328125" customWidth="1"/>
    <col min="12" max="12" width="8" customWidth="1"/>
    <col min="13" max="13" width="8.36328125" customWidth="1"/>
    <col min="14" max="15" width="9.453125" customWidth="1"/>
    <col min="16" max="16" width="10.453125" customWidth="1"/>
    <col min="17" max="17" width="11.453125" customWidth="1"/>
  </cols>
  <sheetData>
    <row r="1" spans="1:31" ht="21">
      <c r="A1" s="152" t="s">
        <v>51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4"/>
    </row>
    <row r="2" spans="1:31" ht="56">
      <c r="A2" s="47" t="s">
        <v>52</v>
      </c>
      <c r="B2" s="48" t="s">
        <v>2</v>
      </c>
      <c r="C2" s="48" t="s">
        <v>53</v>
      </c>
      <c r="D2" s="155" t="s">
        <v>54</v>
      </c>
      <c r="E2" s="156"/>
      <c r="F2" s="48" t="s">
        <v>55</v>
      </c>
      <c r="G2" s="49" t="s">
        <v>56</v>
      </c>
      <c r="H2" s="50" t="s">
        <v>57</v>
      </c>
      <c r="I2" s="50" t="s">
        <v>58</v>
      </c>
      <c r="J2" s="50" t="s">
        <v>59</v>
      </c>
      <c r="K2" s="50" t="s">
        <v>60</v>
      </c>
      <c r="L2" s="51" t="s">
        <v>61</v>
      </c>
      <c r="M2" s="52" t="s">
        <v>62</v>
      </c>
      <c r="N2" s="53" t="s">
        <v>63</v>
      </c>
      <c r="O2" s="54" t="str">
        <f>IF(_xlfn.IFNA(VLOOKUP("NC*",B3:B62,1,0),"注意！无NC")&lt;&gt;"注意！无NC","好棒！已加NC","注意！无NC")</f>
        <v>注意！无NC</v>
      </c>
      <c r="P2" s="54" t="str">
        <f>IF(COUNT($I$3:$I$62)&lt;&gt;COUNTIF($AB$3:$AB$62,"填写正确"),"实验室编号/接头与文库编号不一致",IF(COUNT($I$3:$I$62)&lt;&gt;COUNTIF($AC$3:$AC$62,"填写正确"),"子文库编号错误",IF(COUNT($I$3:$I$62)&lt;&gt;COUNTIF($AD$3:$AD$62,"填写正确"),"UMSI格式错误","好棒！pooling表填写正确")))</f>
        <v>实验室编号/接头与文库编号不一致</v>
      </c>
      <c r="Q2" s="54" t="str">
        <f>IF(COUNTIF($AE$3:$AE$62,"重复")&gt;0,"请注意，接头有重复！","好棒！接头没有重复")</f>
        <v>好棒！接头没有重复</v>
      </c>
      <c r="R2" s="54" t="str">
        <f>IF(I66&gt;545,"总数据量为"&amp;I66&amp;"M,超载了!","总数据量为"&amp;I66&amp;"M,满足上机要求")</f>
        <v>总数据量为120M,满足上机要求</v>
      </c>
      <c r="AA2" s="50" t="s">
        <v>59</v>
      </c>
      <c r="AB2" s="48" t="s">
        <v>64</v>
      </c>
      <c r="AC2" s="50" t="s">
        <v>65</v>
      </c>
      <c r="AD2" s="55" t="s">
        <v>66</v>
      </c>
      <c r="AE2" s="55" t="s">
        <v>67</v>
      </c>
    </row>
    <row r="3" spans="1:31">
      <c r="A3" s="56" t="str">
        <f>IF(上机信息表!A2&lt;&gt;0,上机信息表!A2,"")</f>
        <v>2026.5.20</v>
      </c>
      <c r="B3" s="57" t="str">
        <f>IF(上机信息表!K2&lt;&gt;0,上机信息表!K2,"")</f>
        <v>KY14538-1-T224D</v>
      </c>
      <c r="C3" s="58" t="str">
        <f>IF(上机信息表!E2&lt;&gt;0,上机信息表!E2,"")</f>
        <v>研磨液白蛉</v>
      </c>
      <c r="D3" s="157" t="str">
        <f>IF(上机信息表!L2&lt;&gt;0,上机信息表!L2,"")</f>
        <v>T224</v>
      </c>
      <c r="E3" s="158"/>
      <c r="F3" s="59">
        <f t="shared" ref="F3:F23" si="0">IF(RIGHT(B3)="D",300,IF(RIGHT(B3)="R",450,""))</f>
        <v>300</v>
      </c>
      <c r="G3" s="60">
        <f>IF(上机信息表!N2&lt;&gt;0,VALUE(上机信息表!N2),"")</f>
        <v>13.6</v>
      </c>
      <c r="H3" s="61">
        <f>IF(G3&lt;&gt;"",1000000*G3/(660*F3),"")</f>
        <v>68.686868686868706</v>
      </c>
      <c r="I3" s="59">
        <f>IF(B3="","",VALUE(上机信息表!O2))</f>
        <v>20</v>
      </c>
      <c r="J3" s="59">
        <v>40</v>
      </c>
      <c r="K3" s="61">
        <f t="shared" ref="K3:K22" si="1">IFERROR(H3/J3,"")</f>
        <v>1.71717171717172</v>
      </c>
      <c r="L3" s="59">
        <f>IF(B3="","",IF(H3&lt;J3,0,IF(AND(H3&gt;=J3,I3&lt;=20),2,IF(AND(H3&gt;=J3,I3&gt;20),I3/10))))</f>
        <v>2</v>
      </c>
      <c r="M3" s="62">
        <f>IF(B3="","",IF(H3&gt;J3,L3*K3-L3,0))</f>
        <v>1.43434343434343</v>
      </c>
      <c r="N3" s="63">
        <f>IF(H3="","",IF(AND(COUNTIF(B3,"*Y*")=0,J3*2*I3/H3/20&gt;17),17,IF(H3&gt;J3,I3*2/20,J3*2*I3/H3/20)))</f>
        <v>2</v>
      </c>
      <c r="P3" s="64"/>
      <c r="Q3" s="18"/>
      <c r="R3" s="18"/>
      <c r="S3" s="18"/>
      <c r="T3" s="65"/>
      <c r="U3" s="66"/>
      <c r="V3" s="18"/>
      <c r="W3" s="66"/>
      <c r="X3" s="64"/>
      <c r="Y3" s="18"/>
      <c r="Z3" s="18"/>
      <c r="AA3">
        <f>IF(H3="","",IF(H3&gt;J3,J3,H3))</f>
        <v>40</v>
      </c>
      <c r="AB3" s="18" t="str">
        <f>IF(上机信息表!C2="","",IF(AND(上机信息表!C2=LEFT(上机信息表!K2,FIND("-",上机信息表!K2)-1),ISNUMBER(FIND(上机信息表!L2,上机信息表!K2))),"填写正确","填写错误"))</f>
        <v>填写正确</v>
      </c>
      <c r="AC3" s="66" t="str">
        <f>IF(上机信息表!K2="","",IF(AND(ISNUMBER(FIND("--",上机信息表!K2))=FALSE,LEN(上机信息表!K2)-LEN(SUBSTITUTE(上机信息表!K2,"-",""))=2,OR(RIGHT(上机信息表!K2)="D",RIGHT(上机信息表!K2)="R")),"填写正确","填写错误"))</f>
        <v>填写正确</v>
      </c>
      <c r="AD3" s="18" t="str">
        <f>IF(ISTEXT(上机信息表!M2),"填写正确","")</f>
        <v/>
      </c>
      <c r="AE3" s="66" t="str">
        <f>IF(COUNTIF(上机信息表!$L$2:$L$62,上机信息表!L2)&gt;1,"重复","")</f>
        <v/>
      </c>
    </row>
    <row r="4" spans="1:31">
      <c r="A4" s="56" t="str">
        <f>IF(上机信息表!A3&lt;&gt;0,上机信息表!A3,"")</f>
        <v>2026.5.20</v>
      </c>
      <c r="B4" s="57" t="str">
        <f>IF(上机信息表!K3&lt;&gt;0,上机信息表!K3,"")</f>
        <v>KY14539-1-T225D</v>
      </c>
      <c r="C4" s="58" t="str">
        <f>IF(上机信息表!E3&lt;&gt;0,上机信息表!E3,"")</f>
        <v>研磨液白蛉</v>
      </c>
      <c r="D4" s="157" t="str">
        <f>IF(上机信息表!L3&lt;&gt;0,上机信息表!L3,"")</f>
        <v>T225</v>
      </c>
      <c r="E4" s="158"/>
      <c r="F4" s="59">
        <f t="shared" si="0"/>
        <v>300</v>
      </c>
      <c r="G4" s="60">
        <f>IF(上机信息表!N3&lt;&gt;0,VALUE(上机信息表!N3),"")</f>
        <v>19.2</v>
      </c>
      <c r="H4" s="61">
        <f t="shared" ref="H4:H22" si="2">IF(G4&lt;&gt;"",1000000*G4/(660*F4),"")</f>
        <v>96.969696969696997</v>
      </c>
      <c r="I4" s="59">
        <f>IF(B4="","",VALUE(上机信息表!O3))</f>
        <v>20</v>
      </c>
      <c r="J4" s="59">
        <v>40</v>
      </c>
      <c r="K4" s="61">
        <f t="shared" si="1"/>
        <v>2.4242424242424199</v>
      </c>
      <c r="L4" s="59">
        <f t="shared" ref="L4:L22" si="3">IF(B4="","",IF(H4&lt;J4,0,IF(AND(H4&gt;=J4,I4&lt;=20),2,IF(AND(H4&gt;=J4,I4&gt;20),I4/10))))</f>
        <v>2</v>
      </c>
      <c r="M4" s="62">
        <f t="shared" ref="M4:M22" si="4">IF(B4="","",IF(H4&gt;J4,L4*K4-L4,0))</f>
        <v>2.84848484848485</v>
      </c>
      <c r="N4" s="63">
        <f t="shared" ref="N4:N22" si="5">IF(H4="","",IF(AND(COUNTIF(B4,"*Y*")=0,J4*2*I4/H4/20&gt;17),17,IF(H4&gt;J4,I4*2/20,J4*2*I4/H4/20)))</f>
        <v>2</v>
      </c>
      <c r="P4" s="64"/>
      <c r="Q4" s="18"/>
      <c r="R4" s="18"/>
      <c r="S4" s="18"/>
      <c r="T4" s="65"/>
      <c r="U4" s="66"/>
      <c r="V4" s="18"/>
      <c r="W4" s="66"/>
      <c r="X4" s="64"/>
      <c r="Y4" s="18"/>
      <c r="Z4" s="18"/>
      <c r="AA4">
        <f>IF(H4="","",IF(H4&gt;J4,J4,H4))</f>
        <v>40</v>
      </c>
      <c r="AB4" s="18"/>
      <c r="AC4" s="66"/>
      <c r="AD4" s="18"/>
      <c r="AE4" s="66"/>
    </row>
    <row r="5" spans="1:31" ht="17.149999999999999" customHeight="1">
      <c r="A5" s="56" t="str">
        <f>IF(上机信息表!A4&lt;&gt;0,上机信息表!A4,"")</f>
        <v>2026.5.20</v>
      </c>
      <c r="B5" s="57" t="str">
        <f>IF(上机信息表!K4&lt;&gt;0,上机信息表!K4,"")</f>
        <v>KY14540-1-T226D</v>
      </c>
      <c r="C5" s="58" t="str">
        <f>IF(上机信息表!E4&lt;&gt;0,上机信息表!E4,"")</f>
        <v>研磨液白蛉</v>
      </c>
      <c r="D5" s="157" t="str">
        <f>IF(上机信息表!L4&lt;&gt;0,上机信息表!L4,"")</f>
        <v>T226</v>
      </c>
      <c r="E5" s="158"/>
      <c r="F5" s="59">
        <f t="shared" si="0"/>
        <v>300</v>
      </c>
      <c r="G5" s="60">
        <f>IF(上机信息表!N4&lt;&gt;0,VALUE(上机信息表!N4),"")</f>
        <v>17.3</v>
      </c>
      <c r="H5" s="61">
        <f t="shared" si="2"/>
        <v>87.373737373737399</v>
      </c>
      <c r="I5" s="59">
        <f>IF(B5="","",VALUE(上机信息表!O4))</f>
        <v>20</v>
      </c>
      <c r="J5" s="59">
        <v>40</v>
      </c>
      <c r="K5" s="61">
        <f t="shared" si="1"/>
        <v>2.1843434343434298</v>
      </c>
      <c r="L5" s="59">
        <f t="shared" si="3"/>
        <v>2</v>
      </c>
      <c r="M5" s="62">
        <f t="shared" si="4"/>
        <v>2.3686868686868698</v>
      </c>
      <c r="N5" s="63">
        <f t="shared" si="5"/>
        <v>2</v>
      </c>
      <c r="P5" s="64"/>
      <c r="Q5" s="18"/>
      <c r="R5" s="18"/>
      <c r="S5" s="18"/>
      <c r="T5" s="65"/>
      <c r="U5" s="66"/>
      <c r="V5" s="18"/>
      <c r="W5" s="66"/>
      <c r="X5" s="64"/>
      <c r="Y5" s="18"/>
      <c r="Z5" s="18"/>
      <c r="AB5" s="18"/>
      <c r="AC5" s="66"/>
      <c r="AD5" s="18"/>
      <c r="AE5" s="66"/>
    </row>
    <row r="6" spans="1:31">
      <c r="A6" s="56" t="str">
        <f>IF(上机信息表!A5&lt;&gt;0,上机信息表!A5,"")</f>
        <v>2026.5.20</v>
      </c>
      <c r="B6" s="57" t="str">
        <f>IF(上机信息表!K5&lt;&gt;0,上机信息表!K5,"")</f>
        <v>KY14541-1-T227D</v>
      </c>
      <c r="C6" s="58" t="str">
        <f>IF(上机信息表!E5&lt;&gt;0,上机信息表!E5,"")</f>
        <v>研磨液白蛉</v>
      </c>
      <c r="D6" s="157" t="str">
        <f>IF(上机信息表!L5&lt;&gt;0,上机信息表!L5,"")</f>
        <v>T227</v>
      </c>
      <c r="E6" s="158"/>
      <c r="F6" s="59">
        <f t="shared" si="0"/>
        <v>300</v>
      </c>
      <c r="G6" s="60">
        <f>IF(上机信息表!N5&lt;&gt;0,VALUE(上机信息表!N5),"")</f>
        <v>17.899999999999999</v>
      </c>
      <c r="H6" s="61">
        <f t="shared" si="2"/>
        <v>90.404040404040401</v>
      </c>
      <c r="I6" s="59">
        <f>IF(B6="","",VALUE(上机信息表!O5))</f>
        <v>20</v>
      </c>
      <c r="J6" s="59">
        <v>40</v>
      </c>
      <c r="K6" s="61">
        <f t="shared" si="1"/>
        <v>2.2601010101010099</v>
      </c>
      <c r="L6" s="59">
        <f t="shared" si="3"/>
        <v>2</v>
      </c>
      <c r="M6" s="62">
        <f t="shared" si="4"/>
        <v>2.5202020202020199</v>
      </c>
      <c r="N6" s="63">
        <f t="shared" si="5"/>
        <v>2</v>
      </c>
      <c r="P6" s="64"/>
      <c r="AB6" s="18"/>
      <c r="AC6" s="66"/>
      <c r="AD6" s="18"/>
      <c r="AE6" s="66"/>
    </row>
    <row r="7" spans="1:31">
      <c r="A7" s="56" t="str">
        <f>IF(上机信息表!A6&lt;&gt;0,上机信息表!A6,"")</f>
        <v>2026.5.20</v>
      </c>
      <c r="B7" s="57" t="str">
        <f>IF(上机信息表!K6&lt;&gt;0,上机信息表!K6,"")</f>
        <v>KY14542-1-T230D</v>
      </c>
      <c r="C7" s="58" t="str">
        <f>IF(上机信息表!E6&lt;&gt;0,上机信息表!E6,"")</f>
        <v>研磨液白蛉</v>
      </c>
      <c r="D7" s="157" t="str">
        <f>IF(上机信息表!L6&lt;&gt;0,上机信息表!L6,"")</f>
        <v>T230</v>
      </c>
      <c r="E7" s="158"/>
      <c r="F7" s="59">
        <f t="shared" si="0"/>
        <v>300</v>
      </c>
      <c r="G7" s="60">
        <f>IF(上机信息表!N6&lt;&gt;0,VALUE(上机信息表!N6),"")</f>
        <v>14.4</v>
      </c>
      <c r="H7" s="61">
        <f t="shared" si="2"/>
        <v>72.727272727272705</v>
      </c>
      <c r="I7" s="59">
        <f>IF(B7="","",VALUE(上机信息表!O6))</f>
        <v>20</v>
      </c>
      <c r="J7" s="59">
        <v>40</v>
      </c>
      <c r="K7" s="61">
        <f t="shared" si="1"/>
        <v>1.8181818181818199</v>
      </c>
      <c r="L7" s="59">
        <f t="shared" si="3"/>
        <v>2</v>
      </c>
      <c r="M7" s="62">
        <f t="shared" si="4"/>
        <v>1.63636363636364</v>
      </c>
      <c r="N7" s="63">
        <f t="shared" si="5"/>
        <v>2</v>
      </c>
      <c r="P7" s="64"/>
      <c r="AA7">
        <f t="shared" ref="AA7:AA62" si="6">IF(H7="","",IF(H7&gt;J7,J7,H7))</f>
        <v>40</v>
      </c>
      <c r="AB7" s="18" t="str">
        <f>IF(上机信息表!C6="","",IF(AND(上机信息表!C6=LEFT(上机信息表!K6,FIND("-",上机信息表!K6)-1),ISNUMBER(FIND(上机信息表!L6,上机信息表!K6))),"填写正确","填写错误"))</f>
        <v>填写正确</v>
      </c>
      <c r="AC7" s="66" t="str">
        <f>IF(上机信息表!K6="","",IF(AND(ISNUMBER(FIND("--",上机信息表!K6))=FALSE,LEN(上机信息表!K6)-LEN(SUBSTITUTE(上机信息表!K6,"-",""))=2,OR(RIGHT(上机信息表!K6)="D",RIGHT(上机信息表!K6)="R")),"填写正确","填写错误"))</f>
        <v>填写正确</v>
      </c>
      <c r="AD7" s="18" t="str">
        <f>IF(ISTEXT(上机信息表!K6),"填写正确","")</f>
        <v>填写正确</v>
      </c>
      <c r="AE7" s="66" t="str">
        <f>IF(COUNTIF(上机信息表!$L$2:$L$62,上机信息表!L6)&gt;1,"重复","")</f>
        <v/>
      </c>
    </row>
    <row r="8" spans="1:31">
      <c r="A8" s="56" t="str">
        <f>IF(上机信息表!A7&lt;&gt;0,上机信息表!A7,"")</f>
        <v>2026.5.20</v>
      </c>
      <c r="B8" s="57" t="str">
        <f>IF(上机信息表!K7&lt;&gt;0,上机信息表!K7,"")</f>
        <v>KY14543-1-T229D</v>
      </c>
      <c r="C8" s="58" t="str">
        <f>IF(上机信息表!E7&lt;&gt;0,上机信息表!E7,"")</f>
        <v>研磨液白蛉</v>
      </c>
      <c r="D8" s="157" t="str">
        <f>IF(上机信息表!L7&lt;&gt;0,上机信息表!L7,"")</f>
        <v>T229</v>
      </c>
      <c r="E8" s="158"/>
      <c r="F8" s="59">
        <f t="shared" si="0"/>
        <v>300</v>
      </c>
      <c r="G8" s="60">
        <f>IF(上机信息表!N7&lt;&gt;0,VALUE(上机信息表!N7),"")</f>
        <v>15.1</v>
      </c>
      <c r="H8" s="61">
        <f t="shared" si="2"/>
        <v>76.262626262626299</v>
      </c>
      <c r="I8" s="59">
        <f>IF(B8="","",VALUE(上机信息表!O7))</f>
        <v>20</v>
      </c>
      <c r="J8" s="59">
        <f t="shared" ref="J8:J33" si="7">IF(B8="","",IF(20/MIN($H$3:$H$62)&gt;17,5,IF(MIN($H$3:$H$62)&lt;20,10,IF(AND(MIN($H$3:$H$62)&gt;=20,MIN($H$3:$H$62)&lt;40),20,IF(MIN($H$3:$H$62)&gt;=40,40)))))</f>
        <v>40</v>
      </c>
      <c r="K8" s="61">
        <f t="shared" si="1"/>
        <v>1.9065656565656599</v>
      </c>
      <c r="L8" s="59">
        <f t="shared" si="3"/>
        <v>2</v>
      </c>
      <c r="M8" s="62">
        <f t="shared" si="4"/>
        <v>1.81313131313131</v>
      </c>
      <c r="N8" s="63">
        <f t="shared" si="5"/>
        <v>2</v>
      </c>
      <c r="P8" s="64"/>
      <c r="AA8">
        <f t="shared" si="6"/>
        <v>40</v>
      </c>
      <c r="AB8" s="18" t="str">
        <f>IF(上机信息表!C7="","",IF(AND(上机信息表!C7=LEFT(上机信息表!K7,FIND("-",上机信息表!K7)-1),ISNUMBER(FIND(上机信息表!L7,上机信息表!K7))),"填写正确","填写错误"))</f>
        <v>填写正确</v>
      </c>
      <c r="AC8" s="66" t="str">
        <f>IF(上机信息表!K7="","",IF(AND(ISNUMBER(FIND("--",上机信息表!K7))=FALSE,LEN(上机信息表!K7)-LEN(SUBSTITUTE(上机信息表!K7,"-",""))=2,OR(RIGHT(上机信息表!K7)="D",RIGHT(上机信息表!K7)="R")),"填写正确","填写错误"))</f>
        <v>填写正确</v>
      </c>
      <c r="AD8" s="18" t="str">
        <f>IF(ISTEXT(上机信息表!K7),"填写正确","")</f>
        <v>填写正确</v>
      </c>
      <c r="AE8" s="66" t="str">
        <f>IF(COUNTIF(上机信息表!$L$2:$L$62,上机信息表!L7)&gt;1,"重复","")</f>
        <v/>
      </c>
    </row>
    <row r="9" spans="1:31">
      <c r="A9" s="56" t="str">
        <f>IF(上机信息表!A8&lt;&gt;0,上机信息表!A8,"")</f>
        <v/>
      </c>
      <c r="B9" s="57" t="str">
        <f>IF(上机信息表!K8&lt;&gt;0,上机信息表!K8,"")</f>
        <v/>
      </c>
      <c r="C9" s="58" t="str">
        <f>IF(上机信息表!E8&lt;&gt;0,上机信息表!E8,"")</f>
        <v/>
      </c>
      <c r="D9" s="157" t="str">
        <f>IF(上机信息表!L8&lt;&gt;0,上机信息表!L8,"")</f>
        <v/>
      </c>
      <c r="E9" s="158"/>
      <c r="F9" s="59" t="str">
        <f t="shared" si="0"/>
        <v/>
      </c>
      <c r="G9" s="60" t="str">
        <f>IF(上机信息表!N8&lt;&gt;0,VALUE(上机信息表!N8),"")</f>
        <v/>
      </c>
      <c r="H9" s="61" t="str">
        <f t="shared" si="2"/>
        <v/>
      </c>
      <c r="I9" s="59" t="str">
        <f>IF(B9="","",VALUE(上机信息表!O8))</f>
        <v/>
      </c>
      <c r="J9" s="59" t="str">
        <f t="shared" si="7"/>
        <v/>
      </c>
      <c r="K9" s="61" t="str">
        <f t="shared" si="1"/>
        <v/>
      </c>
      <c r="L9" s="59" t="str">
        <f t="shared" si="3"/>
        <v/>
      </c>
      <c r="M9" s="62" t="str">
        <f t="shared" si="4"/>
        <v/>
      </c>
      <c r="N9" s="63" t="str">
        <f t="shared" si="5"/>
        <v/>
      </c>
      <c r="P9" s="64"/>
      <c r="AA9" t="str">
        <f t="shared" si="6"/>
        <v/>
      </c>
      <c r="AB9" s="18" t="str">
        <f>IF(上机信息表!C8="","",IF(AND(上机信息表!C8=LEFT(上机信息表!K8,FIND("-",上机信息表!K8)-1),ISNUMBER(FIND(上机信息表!L8,上机信息表!K8))),"填写正确","填写错误"))</f>
        <v/>
      </c>
      <c r="AC9" s="66" t="str">
        <f>IF(上机信息表!K8="","",IF(AND(ISNUMBER(FIND("--",上机信息表!K8))=FALSE,LEN(上机信息表!K8)-LEN(SUBSTITUTE(上机信息表!K8,"-",""))=2,OR(RIGHT(上机信息表!K8)="D",RIGHT(上机信息表!K8)="R")),"填写正确","填写错误"))</f>
        <v/>
      </c>
      <c r="AD9" s="18" t="str">
        <f>IF(ISTEXT(上机信息表!K8),"填写正确","")</f>
        <v/>
      </c>
      <c r="AE9" s="66" t="str">
        <f>IF(COUNTIF(上机信息表!$L$2:$L$62,上机信息表!L8)&gt;1,"重复","")</f>
        <v/>
      </c>
    </row>
    <row r="10" spans="1:31">
      <c r="A10" s="56" t="str">
        <f>IF(上机信息表!A9&lt;&gt;0,上机信息表!A9,"")</f>
        <v/>
      </c>
      <c r="B10" s="57" t="str">
        <f>IF(上机信息表!K9&lt;&gt;0,上机信息表!K9,"")</f>
        <v/>
      </c>
      <c r="C10" s="58" t="str">
        <f>IF(上机信息表!E9&lt;&gt;0,上机信息表!E9,"")</f>
        <v/>
      </c>
      <c r="D10" s="157" t="str">
        <f>IF(上机信息表!L9&lt;&gt;0,上机信息表!L9,"")</f>
        <v/>
      </c>
      <c r="E10" s="158"/>
      <c r="F10" s="59" t="str">
        <f t="shared" si="0"/>
        <v/>
      </c>
      <c r="G10" s="60" t="str">
        <f>IF(上机信息表!N9&lt;&gt;0,VALUE(上机信息表!N9),"")</f>
        <v/>
      </c>
      <c r="H10" s="61" t="str">
        <f t="shared" si="2"/>
        <v/>
      </c>
      <c r="I10" s="59" t="str">
        <f>IF(B10="","",VALUE(上机信息表!O9))</f>
        <v/>
      </c>
      <c r="J10" s="59" t="str">
        <f t="shared" si="7"/>
        <v/>
      </c>
      <c r="K10" s="61" t="str">
        <f t="shared" si="1"/>
        <v/>
      </c>
      <c r="L10" s="59" t="str">
        <f t="shared" si="3"/>
        <v/>
      </c>
      <c r="M10" s="62" t="str">
        <f t="shared" si="4"/>
        <v/>
      </c>
      <c r="N10" s="63" t="str">
        <f t="shared" si="5"/>
        <v/>
      </c>
      <c r="P10" s="64"/>
      <c r="AA10" t="str">
        <f t="shared" si="6"/>
        <v/>
      </c>
      <c r="AB10" s="18" t="str">
        <f>IF(上机信息表!C9="","",IF(AND(上机信息表!C9=LEFT(上机信息表!K9,FIND("-",上机信息表!K9)-1),ISNUMBER(FIND(上机信息表!L9,上机信息表!K9))),"填写正确","填写错误"))</f>
        <v/>
      </c>
      <c r="AC10" s="66" t="str">
        <f>IF(上机信息表!K9="","",IF(AND(ISNUMBER(FIND("--",上机信息表!K9))=FALSE,LEN(上机信息表!K9)-LEN(SUBSTITUTE(上机信息表!K9,"-",""))=2,OR(RIGHT(上机信息表!K9)="D",RIGHT(上机信息表!K9)="R")),"填写正确","填写错误"))</f>
        <v/>
      </c>
      <c r="AD10" s="18" t="str">
        <f>IF(ISTEXT(上机信息表!K9),"填写正确","")</f>
        <v/>
      </c>
      <c r="AE10" s="66" t="str">
        <f>IF(COUNTIF(上机信息表!$L$2:$L$62,上机信息表!L9)&gt;1,"重复","")</f>
        <v/>
      </c>
    </row>
    <row r="11" spans="1:31">
      <c r="A11" s="56" t="str">
        <f>IF(上机信息表!A10&lt;&gt;0,上机信息表!A10,"")</f>
        <v/>
      </c>
      <c r="B11" s="57" t="str">
        <f>IF(上机信息表!K10&lt;&gt;0,上机信息表!K10,"")</f>
        <v/>
      </c>
      <c r="C11" s="58" t="str">
        <f>IF(上机信息表!E10&lt;&gt;0,上机信息表!E10,"")</f>
        <v/>
      </c>
      <c r="D11" s="157" t="str">
        <f>IF(上机信息表!L10&lt;&gt;0,上机信息表!L10,"")</f>
        <v/>
      </c>
      <c r="E11" s="158"/>
      <c r="F11" s="59" t="str">
        <f t="shared" si="0"/>
        <v/>
      </c>
      <c r="G11" s="60" t="str">
        <f>IF(上机信息表!N10&lt;&gt;0,VALUE(上机信息表!N10),"")</f>
        <v/>
      </c>
      <c r="H11" s="61" t="str">
        <f t="shared" si="2"/>
        <v/>
      </c>
      <c r="I11" s="59" t="str">
        <f>IF(B11="","",VALUE(上机信息表!O10))</f>
        <v/>
      </c>
      <c r="J11" s="59" t="str">
        <f t="shared" si="7"/>
        <v/>
      </c>
      <c r="K11" s="61" t="str">
        <f t="shared" si="1"/>
        <v/>
      </c>
      <c r="L11" s="59" t="str">
        <f t="shared" si="3"/>
        <v/>
      </c>
      <c r="M11" s="62" t="str">
        <f t="shared" si="4"/>
        <v/>
      </c>
      <c r="N11" s="63" t="str">
        <f t="shared" si="5"/>
        <v/>
      </c>
      <c r="P11" s="64"/>
      <c r="AA11" t="str">
        <f t="shared" si="6"/>
        <v/>
      </c>
      <c r="AB11" s="18" t="str">
        <f>IF(上机信息表!C10="","",IF(AND(上机信息表!C10=LEFT(上机信息表!K10,FIND("-",上机信息表!K10)-1),ISNUMBER(FIND(上机信息表!L10,上机信息表!K10))),"填写正确","填写错误"))</f>
        <v/>
      </c>
      <c r="AC11" s="66" t="str">
        <f>IF(上机信息表!K10="","",IF(AND(ISNUMBER(FIND("--",上机信息表!K10))=FALSE,LEN(上机信息表!K10)-LEN(SUBSTITUTE(上机信息表!K10,"-",""))=2,OR(RIGHT(上机信息表!K10)="D",RIGHT(上机信息表!K10)="R")),"填写正确","填写错误"))</f>
        <v/>
      </c>
      <c r="AD11" s="18" t="str">
        <f>IF(ISTEXT(上机信息表!K10),"填写正确","")</f>
        <v/>
      </c>
      <c r="AE11" s="66" t="str">
        <f>IF(COUNTIF(上机信息表!$L$2:$L$62,上机信息表!L10)&gt;1,"重复","")</f>
        <v/>
      </c>
    </row>
    <row r="12" spans="1:31">
      <c r="A12" s="56" t="str">
        <f>IF(上机信息表!A11&lt;&gt;0,上机信息表!A11,"")</f>
        <v/>
      </c>
      <c r="B12" s="57" t="str">
        <f>IF(上机信息表!K11&lt;&gt;0,上机信息表!K11,"")</f>
        <v/>
      </c>
      <c r="C12" s="58" t="str">
        <f>IF(上机信息表!E11&lt;&gt;0,上机信息表!E11,"")</f>
        <v/>
      </c>
      <c r="D12" s="157" t="str">
        <f>IF(上机信息表!L11&lt;&gt;0,上机信息表!L11,"")</f>
        <v/>
      </c>
      <c r="E12" s="158"/>
      <c r="F12" s="59" t="str">
        <f t="shared" si="0"/>
        <v/>
      </c>
      <c r="G12" s="60" t="str">
        <f>IF(上机信息表!N11&lt;&gt;0,VALUE(上机信息表!N11),"")</f>
        <v/>
      </c>
      <c r="H12" s="61" t="str">
        <f t="shared" si="2"/>
        <v/>
      </c>
      <c r="I12" s="59" t="str">
        <f>IF(B12="","",VALUE(上机信息表!O11))</f>
        <v/>
      </c>
      <c r="J12" s="59" t="str">
        <f t="shared" si="7"/>
        <v/>
      </c>
      <c r="K12" s="61" t="str">
        <f t="shared" si="1"/>
        <v/>
      </c>
      <c r="L12" s="59" t="str">
        <f t="shared" si="3"/>
        <v/>
      </c>
      <c r="M12" s="62" t="str">
        <f t="shared" si="4"/>
        <v/>
      </c>
      <c r="N12" s="63" t="str">
        <f t="shared" si="5"/>
        <v/>
      </c>
      <c r="P12" s="64"/>
      <c r="AA12" t="str">
        <f t="shared" si="6"/>
        <v/>
      </c>
      <c r="AB12" s="18" t="str">
        <f>IF(上机信息表!C11="","",IF(AND(上机信息表!C11=LEFT(上机信息表!K11,FIND("-",上机信息表!K11)-1),ISNUMBER(FIND(上机信息表!L11,上机信息表!K11))),"填写正确","填写错误"))</f>
        <v/>
      </c>
      <c r="AC12" s="66" t="str">
        <f>IF(上机信息表!K11="","",IF(AND(ISNUMBER(FIND("--",上机信息表!K11))=FALSE,LEN(上机信息表!K11)-LEN(SUBSTITUTE(上机信息表!K11,"-",""))=2,OR(RIGHT(上机信息表!K11)="D",RIGHT(上机信息表!K11)="R")),"填写正确","填写错误"))</f>
        <v/>
      </c>
      <c r="AD12" s="18" t="str">
        <f>IF(ISTEXT(上机信息表!K11),"填写正确","")</f>
        <v/>
      </c>
      <c r="AE12" s="66" t="str">
        <f>IF(COUNTIF(上机信息表!$L$2:$L$62,上机信息表!L11)&gt;1,"重复","")</f>
        <v/>
      </c>
    </row>
    <row r="13" spans="1:31">
      <c r="A13" s="56" t="str">
        <f>IF(上机信息表!A12&lt;&gt;0,上机信息表!A12,"")</f>
        <v/>
      </c>
      <c r="B13" s="57" t="str">
        <f>IF(上机信息表!K12&lt;&gt;0,上机信息表!K12,"")</f>
        <v/>
      </c>
      <c r="C13" s="58" t="str">
        <f>IF(上机信息表!E12&lt;&gt;0,上机信息表!E12,"")</f>
        <v/>
      </c>
      <c r="D13" s="157" t="str">
        <f>IF(上机信息表!L12&lt;&gt;0,上机信息表!L12,"")</f>
        <v/>
      </c>
      <c r="E13" s="158"/>
      <c r="F13" s="59" t="str">
        <f t="shared" si="0"/>
        <v/>
      </c>
      <c r="G13" s="60" t="str">
        <f>IF(上机信息表!N12&lt;&gt;0,VALUE(上机信息表!N12),"")</f>
        <v/>
      </c>
      <c r="H13" s="61" t="str">
        <f t="shared" si="2"/>
        <v/>
      </c>
      <c r="I13" s="59" t="str">
        <f>IF(B13="","",VALUE(上机信息表!O12))</f>
        <v/>
      </c>
      <c r="J13" s="59" t="str">
        <f t="shared" si="7"/>
        <v/>
      </c>
      <c r="K13" s="61" t="str">
        <f t="shared" si="1"/>
        <v/>
      </c>
      <c r="L13" s="59" t="str">
        <f t="shared" si="3"/>
        <v/>
      </c>
      <c r="M13" s="62" t="str">
        <f t="shared" si="4"/>
        <v/>
      </c>
      <c r="N13" s="63" t="str">
        <f t="shared" si="5"/>
        <v/>
      </c>
      <c r="P13" s="64"/>
      <c r="AA13" t="str">
        <f t="shared" si="6"/>
        <v/>
      </c>
      <c r="AB13" s="18" t="str">
        <f>IF(上机信息表!C12="","",IF(AND(上机信息表!C12=LEFT(上机信息表!K12,FIND("-",上机信息表!K12)-1),ISNUMBER(FIND(上机信息表!L12,上机信息表!K12))),"填写正确","填写错误"))</f>
        <v/>
      </c>
      <c r="AC13" s="66" t="str">
        <f>IF(上机信息表!K12="","",IF(AND(ISNUMBER(FIND("--",上机信息表!K12))=FALSE,LEN(上机信息表!K12)-LEN(SUBSTITUTE(上机信息表!K12,"-",""))=2,OR(RIGHT(上机信息表!K12)="D",RIGHT(上机信息表!K12)="R")),"填写正确","填写错误"))</f>
        <v/>
      </c>
      <c r="AD13" s="18" t="str">
        <f>IF(ISTEXT(上机信息表!M12),"填写正确","")</f>
        <v/>
      </c>
      <c r="AE13" s="66" t="str">
        <f>IF(COUNTIF(上机信息表!$L$2:$L$62,上机信息表!L12)&gt;1,"重复","")</f>
        <v/>
      </c>
    </row>
    <row r="14" spans="1:31">
      <c r="A14" s="56" t="str">
        <f>IF(上机信息表!A13&lt;&gt;0,上机信息表!A13,"")</f>
        <v/>
      </c>
      <c r="B14" s="57" t="str">
        <f>IF(上机信息表!K13&lt;&gt;0,上机信息表!K13,"")</f>
        <v/>
      </c>
      <c r="C14" s="58" t="str">
        <f>IF(上机信息表!E13&lt;&gt;0,上机信息表!E13,"")</f>
        <v/>
      </c>
      <c r="D14" s="157" t="str">
        <f>IF(上机信息表!L13&lt;&gt;0,上机信息表!L13,"")</f>
        <v/>
      </c>
      <c r="E14" s="158"/>
      <c r="F14" s="59" t="str">
        <f t="shared" si="0"/>
        <v/>
      </c>
      <c r="G14" s="60" t="str">
        <f>IF(上机信息表!N13&lt;&gt;0,VALUE(上机信息表!N13),"")</f>
        <v/>
      </c>
      <c r="H14" s="61" t="str">
        <f t="shared" si="2"/>
        <v/>
      </c>
      <c r="I14" s="59" t="str">
        <f>IF(B14="","",VALUE(上机信息表!O13))</f>
        <v/>
      </c>
      <c r="J14" s="59" t="str">
        <f t="shared" si="7"/>
        <v/>
      </c>
      <c r="K14" s="61" t="str">
        <f t="shared" si="1"/>
        <v/>
      </c>
      <c r="L14" s="59" t="str">
        <f t="shared" si="3"/>
        <v/>
      </c>
      <c r="M14" s="62" t="str">
        <f t="shared" si="4"/>
        <v/>
      </c>
      <c r="N14" s="63" t="str">
        <f t="shared" si="5"/>
        <v/>
      </c>
      <c r="P14" s="64"/>
      <c r="AA14" t="str">
        <f t="shared" si="6"/>
        <v/>
      </c>
      <c r="AB14" s="18" t="str">
        <f>IF(上机信息表!C13="","",IF(AND(上机信息表!C13=LEFT(上机信息表!K13,FIND("-",上机信息表!K13)-1),ISNUMBER(FIND(上机信息表!L13,上机信息表!K13))),"填写正确","填写错误"))</f>
        <v/>
      </c>
      <c r="AC14" s="66" t="str">
        <f>IF(上机信息表!K13="","",IF(AND(ISNUMBER(FIND("--",上机信息表!K13))=FALSE,LEN(上机信息表!K13)-LEN(SUBSTITUTE(上机信息表!K13,"-",""))=2,OR(RIGHT(上机信息表!K13)="D",RIGHT(上机信息表!K13)="R")),"填写正确","填写错误"))</f>
        <v/>
      </c>
      <c r="AD14" s="18" t="str">
        <f>IF(ISTEXT(上机信息表!M13),"填写正确","")</f>
        <v/>
      </c>
      <c r="AE14" s="66" t="str">
        <f>IF(COUNTIF(上机信息表!$L$2:$L$62,上机信息表!L13)&gt;1,"重复","")</f>
        <v/>
      </c>
    </row>
    <row r="15" spans="1:31">
      <c r="A15" s="56" t="str">
        <f>IF(上机信息表!A14&lt;&gt;0,上机信息表!A14,"")</f>
        <v/>
      </c>
      <c r="B15" s="57" t="str">
        <f>IF(上机信息表!K14&lt;&gt;0,上机信息表!K14,"")</f>
        <v/>
      </c>
      <c r="C15" s="58" t="str">
        <f>IF(上机信息表!E14&lt;&gt;0,上机信息表!E14,"")</f>
        <v/>
      </c>
      <c r="D15" s="157" t="str">
        <f>IF(上机信息表!L14&lt;&gt;0,上机信息表!L14,"")</f>
        <v/>
      </c>
      <c r="E15" s="158"/>
      <c r="F15" s="59" t="str">
        <f t="shared" si="0"/>
        <v/>
      </c>
      <c r="G15" s="60" t="str">
        <f>IF(上机信息表!N14&lt;&gt;0,VALUE(上机信息表!N14),"")</f>
        <v/>
      </c>
      <c r="H15" s="61" t="str">
        <f t="shared" si="2"/>
        <v/>
      </c>
      <c r="I15" s="59" t="str">
        <f>IF(B15="","",VALUE(上机信息表!O14))</f>
        <v/>
      </c>
      <c r="J15" s="59" t="str">
        <f t="shared" si="7"/>
        <v/>
      </c>
      <c r="K15" s="61" t="str">
        <f t="shared" si="1"/>
        <v/>
      </c>
      <c r="L15" s="59" t="str">
        <f t="shared" si="3"/>
        <v/>
      </c>
      <c r="M15" s="62" t="str">
        <f t="shared" si="4"/>
        <v/>
      </c>
      <c r="N15" s="63" t="str">
        <f t="shared" si="5"/>
        <v/>
      </c>
      <c r="P15" s="64"/>
      <c r="AA15" t="str">
        <f t="shared" si="6"/>
        <v/>
      </c>
      <c r="AB15" s="18" t="str">
        <f>IF(上机信息表!C14="","",IF(AND(上机信息表!C14=LEFT(上机信息表!K14,FIND("-",上机信息表!K14)-1),ISNUMBER(FIND(上机信息表!L14,上机信息表!K14))),"填写正确","填写错误"))</f>
        <v/>
      </c>
      <c r="AC15" s="66" t="str">
        <f>IF(上机信息表!K14="","",IF(AND(ISNUMBER(FIND("--",上机信息表!K14))=FALSE,LEN(上机信息表!K14)-LEN(SUBSTITUTE(上机信息表!K14,"-",""))=2,OR(RIGHT(上机信息表!K14)="D",RIGHT(上机信息表!K14)="R")),"填写正确","填写错误"))</f>
        <v/>
      </c>
      <c r="AD15" s="18" t="str">
        <f>IF(ISTEXT(上机信息表!M14),"填写正确","")</f>
        <v/>
      </c>
      <c r="AE15" s="66" t="str">
        <f>IF(COUNTIF(上机信息表!$L$2:$L$62,上机信息表!L14)&gt;1,"重复","")</f>
        <v/>
      </c>
    </row>
    <row r="16" spans="1:31">
      <c r="A16" s="56" t="str">
        <f>IF(上机信息表!A15&lt;&gt;0,上机信息表!A15,"")</f>
        <v/>
      </c>
      <c r="B16" s="57" t="str">
        <f>IF(上机信息表!K15&lt;&gt;0,上机信息表!K15,"")</f>
        <v/>
      </c>
      <c r="C16" s="58" t="str">
        <f>IF(上机信息表!E15&lt;&gt;0,上机信息表!E15,"")</f>
        <v/>
      </c>
      <c r="D16" s="157" t="str">
        <f>IF(上机信息表!L15&lt;&gt;0,上机信息表!L15,"")</f>
        <v/>
      </c>
      <c r="E16" s="158"/>
      <c r="F16" s="59" t="str">
        <f t="shared" si="0"/>
        <v/>
      </c>
      <c r="G16" s="60" t="str">
        <f>IF(上机信息表!N15&lt;&gt;0,VALUE(上机信息表!N15),"")</f>
        <v/>
      </c>
      <c r="H16" s="61" t="str">
        <f t="shared" si="2"/>
        <v/>
      </c>
      <c r="I16" s="59" t="str">
        <f>IF(B16="","",VALUE(上机信息表!O15))</f>
        <v/>
      </c>
      <c r="J16" s="59" t="str">
        <f t="shared" si="7"/>
        <v/>
      </c>
      <c r="K16" s="61" t="str">
        <f t="shared" si="1"/>
        <v/>
      </c>
      <c r="L16" s="59" t="str">
        <f t="shared" si="3"/>
        <v/>
      </c>
      <c r="M16" s="62" t="str">
        <f t="shared" si="4"/>
        <v/>
      </c>
      <c r="N16" s="63" t="str">
        <f t="shared" si="5"/>
        <v/>
      </c>
      <c r="P16" s="64"/>
      <c r="AA16" t="str">
        <f t="shared" si="6"/>
        <v/>
      </c>
      <c r="AB16" s="18" t="str">
        <f>IF(上机信息表!C15="","",IF(AND(上机信息表!C15=LEFT(上机信息表!K15,FIND("-",上机信息表!K15)-1),ISNUMBER(FIND(上机信息表!L15,上机信息表!K15))),"填写正确","填写错误"))</f>
        <v/>
      </c>
      <c r="AC16" s="66" t="str">
        <f>IF(上机信息表!K15="","",IF(AND(ISNUMBER(FIND("--",上机信息表!K15))=FALSE,LEN(上机信息表!K15)-LEN(SUBSTITUTE(上机信息表!K15,"-",""))=2,OR(RIGHT(上机信息表!K15)="D",RIGHT(上机信息表!K15)="R")),"填写正确","填写错误"))</f>
        <v/>
      </c>
      <c r="AD16" s="18" t="str">
        <f>IF(ISTEXT(上机信息表!M15),"填写正确","")</f>
        <v/>
      </c>
      <c r="AE16" s="66" t="str">
        <f>IF(COUNTIF(上机信息表!$L$2:$L$62,上机信息表!L15)&gt;1,"重复","")</f>
        <v/>
      </c>
    </row>
    <row r="17" spans="1:31">
      <c r="A17" s="56" t="str">
        <f>IF(上机信息表!A16&lt;&gt;0,上机信息表!A16,"")</f>
        <v/>
      </c>
      <c r="B17" s="57" t="str">
        <f>IF(上机信息表!K16&lt;&gt;0,上机信息表!K16,"")</f>
        <v/>
      </c>
      <c r="C17" s="58" t="str">
        <f>IF(上机信息表!E16&lt;&gt;0,上机信息表!E16,"")</f>
        <v/>
      </c>
      <c r="D17" s="157" t="str">
        <f>IF(上机信息表!L16&lt;&gt;0,上机信息表!L16,"")</f>
        <v/>
      </c>
      <c r="E17" s="158"/>
      <c r="F17" s="59" t="str">
        <f t="shared" si="0"/>
        <v/>
      </c>
      <c r="G17" s="60" t="str">
        <f>IF(上机信息表!N16&lt;&gt;0,VALUE(上机信息表!N16),"")</f>
        <v/>
      </c>
      <c r="H17" s="61" t="str">
        <f t="shared" si="2"/>
        <v/>
      </c>
      <c r="I17" s="59" t="str">
        <f>IF(B17="","",VALUE(上机信息表!O16))</f>
        <v/>
      </c>
      <c r="J17" s="59" t="str">
        <f t="shared" si="7"/>
        <v/>
      </c>
      <c r="K17" s="61" t="str">
        <f t="shared" si="1"/>
        <v/>
      </c>
      <c r="L17" s="59" t="str">
        <f t="shared" si="3"/>
        <v/>
      </c>
      <c r="M17" s="62" t="str">
        <f t="shared" si="4"/>
        <v/>
      </c>
      <c r="N17" s="63" t="str">
        <f t="shared" si="5"/>
        <v/>
      </c>
      <c r="P17" s="64"/>
      <c r="AA17" t="str">
        <f t="shared" si="6"/>
        <v/>
      </c>
      <c r="AB17" s="18" t="str">
        <f>IF(上机信息表!C16="","",IF(AND(上机信息表!C16=LEFT(上机信息表!K16,FIND("-",上机信息表!K16)-1),ISNUMBER(FIND(上机信息表!L16,上机信息表!K16))),"填写正确","填写错误"))</f>
        <v/>
      </c>
      <c r="AC17" s="66" t="str">
        <f>IF(上机信息表!K16="","",IF(AND(ISNUMBER(FIND("--",上机信息表!K16))=FALSE,LEN(上机信息表!K16)-LEN(SUBSTITUTE(上机信息表!K16,"-",""))=2,OR(RIGHT(上机信息表!K16)="D",RIGHT(上机信息表!K16)="R")),"填写正确","填写错误"))</f>
        <v/>
      </c>
      <c r="AD17" s="18" t="str">
        <f>IF(ISTEXT(上机信息表!M16),"填写正确","")</f>
        <v/>
      </c>
      <c r="AE17" s="66" t="str">
        <f>IF(COUNTIF(上机信息表!$L$2:$L$62,上机信息表!L16)&gt;1,"重复","")</f>
        <v/>
      </c>
    </row>
    <row r="18" spans="1:31">
      <c r="A18" s="56" t="str">
        <f>IF(上机信息表!A17&lt;&gt;0,上机信息表!A17,"")</f>
        <v/>
      </c>
      <c r="B18" s="57" t="str">
        <f>IF(上机信息表!K17&lt;&gt;0,上机信息表!K17,"")</f>
        <v/>
      </c>
      <c r="C18" s="58" t="str">
        <f>IF(上机信息表!E17&lt;&gt;0,上机信息表!E17,"")</f>
        <v/>
      </c>
      <c r="D18" s="157" t="str">
        <f>IF(上机信息表!L17&lt;&gt;0,上机信息表!L17,"")</f>
        <v/>
      </c>
      <c r="E18" s="158"/>
      <c r="F18" s="59" t="str">
        <f t="shared" si="0"/>
        <v/>
      </c>
      <c r="G18" s="60" t="str">
        <f>IF(上机信息表!N17&lt;&gt;0,VALUE(上机信息表!N17),"")</f>
        <v/>
      </c>
      <c r="H18" s="61" t="str">
        <f t="shared" si="2"/>
        <v/>
      </c>
      <c r="I18" s="59" t="str">
        <f>IF(B18="","",VALUE(上机信息表!O17))</f>
        <v/>
      </c>
      <c r="J18" s="59" t="str">
        <f t="shared" si="7"/>
        <v/>
      </c>
      <c r="K18" s="61" t="str">
        <f t="shared" si="1"/>
        <v/>
      </c>
      <c r="L18" s="59" t="str">
        <f t="shared" si="3"/>
        <v/>
      </c>
      <c r="M18" s="62" t="str">
        <f t="shared" si="4"/>
        <v/>
      </c>
      <c r="N18" s="63" t="str">
        <f t="shared" si="5"/>
        <v/>
      </c>
      <c r="P18" s="64"/>
      <c r="AA18" t="str">
        <f t="shared" si="6"/>
        <v/>
      </c>
      <c r="AB18" s="18" t="str">
        <f>IF(上机信息表!C17="","",IF(AND(上机信息表!C17=LEFT(上机信息表!K17,FIND("-",上机信息表!K17)-1),ISNUMBER(FIND(上机信息表!L17,上机信息表!K17))),"填写正确","填写错误"))</f>
        <v/>
      </c>
      <c r="AC18" s="66" t="str">
        <f>IF(上机信息表!K17="","",IF(AND(ISNUMBER(FIND("--",上机信息表!K17))=FALSE,LEN(上机信息表!K17)-LEN(SUBSTITUTE(上机信息表!K17,"-",""))=2,OR(RIGHT(上机信息表!K17)="D",RIGHT(上机信息表!K17)="R")),"填写正确","填写错误"))</f>
        <v/>
      </c>
      <c r="AD18" s="18" t="str">
        <f>IF(ISTEXT(上机信息表!M17),"填写正确","")</f>
        <v/>
      </c>
      <c r="AE18" s="66" t="str">
        <f>IF(COUNTIF(上机信息表!$L$2:$L$62,上机信息表!L17)&gt;1,"重复","")</f>
        <v/>
      </c>
    </row>
    <row r="19" spans="1:31">
      <c r="A19" s="56" t="str">
        <f>IF(上机信息表!A18&lt;&gt;0,上机信息表!A18,"")</f>
        <v/>
      </c>
      <c r="B19" s="57" t="str">
        <f>IF(上机信息表!K18&lt;&gt;0,上机信息表!K18,"")</f>
        <v/>
      </c>
      <c r="C19" s="58" t="str">
        <f>IF(上机信息表!E18&lt;&gt;0,上机信息表!E18,"")</f>
        <v/>
      </c>
      <c r="D19" s="157" t="str">
        <f>IF(上机信息表!L18&lt;&gt;0,上机信息表!L18,"")</f>
        <v/>
      </c>
      <c r="E19" s="158"/>
      <c r="F19" s="59" t="str">
        <f t="shared" si="0"/>
        <v/>
      </c>
      <c r="G19" s="60" t="str">
        <f>IF(上机信息表!N18&lt;&gt;0,VALUE(上机信息表!N18),"")</f>
        <v/>
      </c>
      <c r="H19" s="61" t="str">
        <f t="shared" si="2"/>
        <v/>
      </c>
      <c r="I19" s="59" t="str">
        <f>IF(B19="","",VALUE(上机信息表!O18))</f>
        <v/>
      </c>
      <c r="J19" s="59" t="str">
        <f t="shared" si="7"/>
        <v/>
      </c>
      <c r="K19" s="61" t="str">
        <f t="shared" si="1"/>
        <v/>
      </c>
      <c r="L19" s="59" t="str">
        <f t="shared" si="3"/>
        <v/>
      </c>
      <c r="M19" s="62" t="str">
        <f t="shared" si="4"/>
        <v/>
      </c>
      <c r="N19" s="63" t="str">
        <f t="shared" si="5"/>
        <v/>
      </c>
      <c r="P19" s="64"/>
      <c r="AA19" t="str">
        <f t="shared" si="6"/>
        <v/>
      </c>
      <c r="AB19" s="18" t="str">
        <f>IF(上机信息表!C18="","",IF(AND(上机信息表!C18=LEFT(上机信息表!K18,FIND("-",上机信息表!K18)-1),ISNUMBER(FIND(上机信息表!L18,上机信息表!K18))),"填写正确","填写错误"))</f>
        <v/>
      </c>
      <c r="AC19" s="66" t="str">
        <f>IF(上机信息表!K18="","",IF(AND(ISNUMBER(FIND("--",上机信息表!K18))=FALSE,LEN(上机信息表!K18)-LEN(SUBSTITUTE(上机信息表!K18,"-",""))=2,OR(RIGHT(上机信息表!K18)="D",RIGHT(上机信息表!K18)="R")),"填写正确","填写错误"))</f>
        <v/>
      </c>
      <c r="AD19" s="18" t="str">
        <f>IF(ISTEXT(上机信息表!M18),"填写正确","")</f>
        <v/>
      </c>
      <c r="AE19" s="66" t="str">
        <f>IF(COUNTIF(上机信息表!$L$2:$L$62,上机信息表!L18)&gt;1,"重复","")</f>
        <v/>
      </c>
    </row>
    <row r="20" spans="1:31">
      <c r="A20" s="56" t="str">
        <f>IF(上机信息表!A19&lt;&gt;0,上机信息表!A19,"")</f>
        <v/>
      </c>
      <c r="B20" s="57" t="str">
        <f>IF(上机信息表!K19&lt;&gt;0,上机信息表!K19,"")</f>
        <v/>
      </c>
      <c r="C20" s="58" t="str">
        <f>IF(上机信息表!E19&lt;&gt;0,上机信息表!E19,"")</f>
        <v/>
      </c>
      <c r="D20" s="157" t="str">
        <f>IF(上机信息表!L19&lt;&gt;0,上机信息表!L19,"")</f>
        <v/>
      </c>
      <c r="E20" s="158"/>
      <c r="F20" s="59" t="str">
        <f t="shared" si="0"/>
        <v/>
      </c>
      <c r="G20" s="60" t="str">
        <f>IF(上机信息表!N19&lt;&gt;0,VALUE(上机信息表!N19),"")</f>
        <v/>
      </c>
      <c r="H20" s="61" t="str">
        <f t="shared" si="2"/>
        <v/>
      </c>
      <c r="I20" s="59" t="str">
        <f>IF(B20="","",VALUE(上机信息表!O19))</f>
        <v/>
      </c>
      <c r="J20" s="59" t="str">
        <f t="shared" si="7"/>
        <v/>
      </c>
      <c r="K20" s="61" t="str">
        <f t="shared" si="1"/>
        <v/>
      </c>
      <c r="L20" s="59" t="str">
        <f t="shared" si="3"/>
        <v/>
      </c>
      <c r="M20" s="62" t="str">
        <f t="shared" si="4"/>
        <v/>
      </c>
      <c r="N20" s="63" t="str">
        <f t="shared" si="5"/>
        <v/>
      </c>
      <c r="P20" s="64"/>
      <c r="AA20" t="str">
        <f t="shared" si="6"/>
        <v/>
      </c>
      <c r="AB20" s="18" t="str">
        <f>IF(上机信息表!C19="","",IF(AND(上机信息表!C19=LEFT(上机信息表!K19,FIND("-",上机信息表!K19)-1),ISNUMBER(FIND(上机信息表!L19,上机信息表!K19))),"填写正确","填写错误"))</f>
        <v/>
      </c>
      <c r="AC20" s="66" t="str">
        <f>IF(上机信息表!K19="","",IF(AND(ISNUMBER(FIND("--",上机信息表!K19))=FALSE,LEN(上机信息表!K19)-LEN(SUBSTITUTE(上机信息表!K19,"-",""))=2,OR(RIGHT(上机信息表!K19)="D",RIGHT(上机信息表!K19)="R")),"填写正确","填写错误"))</f>
        <v/>
      </c>
      <c r="AD20" s="18" t="str">
        <f>IF(ISTEXT(上机信息表!M19),"填写正确","")</f>
        <v/>
      </c>
      <c r="AE20" s="66" t="str">
        <f>IF(COUNTIF(上机信息表!$L$2:$L$62,上机信息表!L19)&gt;1,"重复","")</f>
        <v/>
      </c>
    </row>
    <row r="21" spans="1:31">
      <c r="A21" s="56" t="str">
        <f>IF(上机信息表!A20&lt;&gt;0,上机信息表!A20,"")</f>
        <v/>
      </c>
      <c r="B21" s="57" t="str">
        <f>IF(上机信息表!K20&lt;&gt;0,上机信息表!K20,"")</f>
        <v/>
      </c>
      <c r="C21" s="58" t="str">
        <f>IF(上机信息表!E20&lt;&gt;0,上机信息表!E20,"")</f>
        <v/>
      </c>
      <c r="D21" s="157" t="str">
        <f>IF(上机信息表!L20&lt;&gt;0,上机信息表!L20,"")</f>
        <v/>
      </c>
      <c r="E21" s="158"/>
      <c r="F21" s="59" t="str">
        <f t="shared" si="0"/>
        <v/>
      </c>
      <c r="G21" s="60" t="str">
        <f>IF(上机信息表!N20&lt;&gt;0,VALUE(上机信息表!N20),"")</f>
        <v/>
      </c>
      <c r="H21" s="61" t="str">
        <f t="shared" si="2"/>
        <v/>
      </c>
      <c r="I21" s="59" t="str">
        <f>IF(B21="","",VALUE(上机信息表!O20))</f>
        <v/>
      </c>
      <c r="J21" s="59" t="str">
        <f t="shared" si="7"/>
        <v/>
      </c>
      <c r="K21" s="61" t="str">
        <f t="shared" si="1"/>
        <v/>
      </c>
      <c r="L21" s="59" t="str">
        <f t="shared" si="3"/>
        <v/>
      </c>
      <c r="M21" s="62" t="str">
        <f t="shared" si="4"/>
        <v/>
      </c>
      <c r="N21" s="63" t="str">
        <f t="shared" si="5"/>
        <v/>
      </c>
      <c r="P21" s="64"/>
      <c r="AA21" t="str">
        <f t="shared" si="6"/>
        <v/>
      </c>
      <c r="AB21" s="18" t="str">
        <f>IF(上机信息表!C20="","",IF(AND(上机信息表!C20=LEFT(上机信息表!K20,FIND("-",上机信息表!K20)-1),ISNUMBER(FIND(上机信息表!L20,上机信息表!K20))),"填写正确","填写错误"))</f>
        <v/>
      </c>
      <c r="AC21" s="66" t="str">
        <f>IF(上机信息表!K20="","",IF(AND(ISNUMBER(FIND("--",上机信息表!K20))=FALSE,LEN(上机信息表!K20)-LEN(SUBSTITUTE(上机信息表!K20,"-",""))=2,OR(RIGHT(上机信息表!K20)="D",RIGHT(上机信息表!K20)="R")),"填写正确","填写错误"))</f>
        <v/>
      </c>
      <c r="AD21" s="18" t="str">
        <f>IF(ISTEXT(上机信息表!M20),"填写正确","")</f>
        <v/>
      </c>
      <c r="AE21" s="66" t="str">
        <f>IF(COUNTIF(上机信息表!$L$2:$L$62,上机信息表!L20)&gt;1,"重复","")</f>
        <v/>
      </c>
    </row>
    <row r="22" spans="1:31">
      <c r="A22" s="56" t="str">
        <f>IF(上机信息表!A21&lt;&gt;0,上机信息表!A21,"")</f>
        <v/>
      </c>
      <c r="B22" s="57" t="str">
        <f>IF(上机信息表!K21&lt;&gt;0,上机信息表!K21,"")</f>
        <v/>
      </c>
      <c r="C22" s="58" t="str">
        <f>IF(上机信息表!E21&lt;&gt;0,上机信息表!E21,"")</f>
        <v/>
      </c>
      <c r="D22" s="157" t="str">
        <f>IF(上机信息表!L21&lt;&gt;0,上机信息表!L21,"")</f>
        <v/>
      </c>
      <c r="E22" s="158"/>
      <c r="F22" s="59" t="str">
        <f t="shared" si="0"/>
        <v/>
      </c>
      <c r="G22" s="60" t="str">
        <f>IF(上机信息表!N21&lt;&gt;0,VALUE(上机信息表!N21),"")</f>
        <v/>
      </c>
      <c r="H22" s="61" t="str">
        <f t="shared" si="2"/>
        <v/>
      </c>
      <c r="I22" s="59" t="str">
        <f>IF(B22="","",VALUE(上机信息表!O21))</f>
        <v/>
      </c>
      <c r="J22" s="59" t="str">
        <f t="shared" si="7"/>
        <v/>
      </c>
      <c r="K22" s="61" t="str">
        <f t="shared" si="1"/>
        <v/>
      </c>
      <c r="L22" s="59" t="str">
        <f t="shared" si="3"/>
        <v/>
      </c>
      <c r="M22" s="62" t="str">
        <f t="shared" si="4"/>
        <v/>
      </c>
      <c r="N22" s="63" t="str">
        <f t="shared" si="5"/>
        <v/>
      </c>
      <c r="P22" s="64"/>
      <c r="V22" t="s">
        <v>68</v>
      </c>
      <c r="AA22" t="str">
        <f t="shared" si="6"/>
        <v/>
      </c>
      <c r="AB22" s="18" t="str">
        <f>IF(上机信息表!C21="","",IF(AND(上机信息表!C21=LEFT(上机信息表!K21,FIND("-",上机信息表!K21)-1),ISNUMBER(FIND(上机信息表!L21,上机信息表!K21))),"填写正确","填写错误"))</f>
        <v/>
      </c>
      <c r="AC22" s="66" t="str">
        <f>IF(上机信息表!K21="","",IF(AND(ISNUMBER(FIND("--",上机信息表!K21))=FALSE,LEN(上机信息表!K21)-LEN(SUBSTITUTE(上机信息表!K21,"-",""))=2,OR(RIGHT(上机信息表!K21)="D",RIGHT(上机信息表!K21)="R")),"填写正确","填写错误"))</f>
        <v/>
      </c>
      <c r="AD22" s="18" t="str">
        <f>IF(ISTEXT(上机信息表!M21),"填写正确","")</f>
        <v/>
      </c>
      <c r="AE22" s="66" t="str">
        <f>IF(COUNTIF(上机信息表!$L$2:$L$62,上机信息表!L21)&gt;1,"重复","")</f>
        <v/>
      </c>
    </row>
    <row r="23" spans="1:31">
      <c r="A23" s="56" t="str">
        <f>IF(上机信息表!A22&lt;&gt;0,上机信息表!A22,"")</f>
        <v/>
      </c>
      <c r="B23" s="57"/>
      <c r="C23" s="58" t="str">
        <f>IF(上机信息表!E22&lt;&gt;0,上机信息表!E22,"")</f>
        <v/>
      </c>
      <c r="D23" s="157"/>
      <c r="E23" s="158"/>
      <c r="F23" s="59" t="str">
        <f t="shared" si="0"/>
        <v/>
      </c>
      <c r="G23" s="60"/>
      <c r="H23" s="61"/>
      <c r="I23" s="59" t="str">
        <f>IF(B23="","",VALUE(上机信息表!O22))</f>
        <v/>
      </c>
      <c r="J23" s="59" t="str">
        <f t="shared" si="7"/>
        <v/>
      </c>
      <c r="K23" s="61"/>
      <c r="L23" s="59"/>
      <c r="M23" s="62"/>
      <c r="N23" s="63"/>
      <c r="P23" s="64"/>
      <c r="AA23" t="str">
        <f t="shared" si="6"/>
        <v/>
      </c>
      <c r="AB23" s="18" t="str">
        <f>IF(上机信息表!C22="","",IF(AND(上机信息表!C22=LEFT(上机信息表!K22,FIND("-",上机信息表!K22)-1),ISNUMBER(FIND(上机信息表!L22,上机信息表!K22))),"填写正确","填写错误"))</f>
        <v/>
      </c>
      <c r="AC23" s="66" t="str">
        <f>IF(上机信息表!K22="","",IF(AND(ISNUMBER(FIND("--",上机信息表!K22))=FALSE,LEN(上机信息表!K22)-LEN(SUBSTITUTE(上机信息表!K22,"-",""))=2,OR(RIGHT(上机信息表!K22)="D",RIGHT(上机信息表!K22)="R")),"填写正确","填写错误"))</f>
        <v/>
      </c>
      <c r="AD23" s="18" t="str">
        <f>IF(ISTEXT(上机信息表!M22),"填写正确","")</f>
        <v/>
      </c>
      <c r="AE23" s="66" t="str">
        <f>IF(COUNTIF(上机信息表!$L$2:$L$62,上机信息表!L22)&gt;1,"重复","")</f>
        <v/>
      </c>
    </row>
    <row r="24" spans="1:31">
      <c r="A24" s="56" t="str">
        <f>IF(上机信息表!A23&lt;&gt;0,上机信息表!A23,"")</f>
        <v/>
      </c>
      <c r="B24" s="57" t="str">
        <f>IF(上机信息表!K23&lt;&gt;0,上机信息表!K23,"")</f>
        <v/>
      </c>
      <c r="C24" s="58" t="str">
        <f>IF(上机信息表!E23&lt;&gt;0,上机信息表!E23,"")</f>
        <v/>
      </c>
      <c r="D24" s="157" t="str">
        <f>IF(上机信息表!L23&lt;&gt;0,上机信息表!L23,"")</f>
        <v/>
      </c>
      <c r="E24" s="158"/>
      <c r="F24" s="59" t="str">
        <f t="shared" ref="F24:F35" si="8">IF(RIGHT(B24)="D",300,IF(RIGHT(B24)="R",450,""))</f>
        <v/>
      </c>
      <c r="G24" s="60" t="str">
        <f>IF(上机信息表!N23&lt;&gt;0,VALUE(上机信息表!N23),"")</f>
        <v/>
      </c>
      <c r="H24" s="61" t="str">
        <f t="shared" ref="H24:H62" si="9">IF(G24&lt;&gt;"",1000000*G24/(660*F24),"")</f>
        <v/>
      </c>
      <c r="I24" s="59" t="str">
        <f>IF(B24="","",VALUE(上机信息表!O23))</f>
        <v/>
      </c>
      <c r="J24" s="59" t="str">
        <f t="shared" si="7"/>
        <v/>
      </c>
      <c r="K24" s="61" t="str">
        <f t="shared" ref="K24:K62" si="10">IFERROR(H24/J24,"")</f>
        <v/>
      </c>
      <c r="L24" s="59" t="str">
        <f t="shared" ref="L24:L62" si="11">IF(B24="","",IF(H24&lt;J24,0,IF(AND(H24&gt;=J24,I24&lt;=20),2,IF(AND(H24&gt;=J24,I24&gt;20),I24/10))))</f>
        <v/>
      </c>
      <c r="M24" s="62" t="str">
        <f t="shared" ref="M24:M62" si="12">IF(B24="","",IF(H24&gt;J24,L24*K24-L24,0))</f>
        <v/>
      </c>
      <c r="N24" s="63" t="str">
        <f t="shared" ref="N24:N35" si="13">IF(H24="","",IF(AND(COUNTIF(B24,"*Y*")=0,J24*2*I24/H24/20&gt;17),17,IF(H24&gt;J24,I24*2/20,J24*2*I24/H24/20)))</f>
        <v/>
      </c>
      <c r="P24" s="64"/>
      <c r="AA24" t="str">
        <f t="shared" si="6"/>
        <v/>
      </c>
      <c r="AB24" s="18" t="str">
        <f>IF(上机信息表!C23="","",IF(AND(上机信息表!C23=LEFT(上机信息表!K23,FIND("-",上机信息表!K23)-1),ISNUMBER(FIND(上机信息表!L23,上机信息表!K23))),"填写正确","填写错误"))</f>
        <v/>
      </c>
      <c r="AC24" s="66" t="str">
        <f>IF(上机信息表!K23="","",IF(AND(ISNUMBER(FIND("--",上机信息表!K23))=FALSE,LEN(上机信息表!K23)-LEN(SUBSTITUTE(上机信息表!K23,"-",""))=2,OR(RIGHT(上机信息表!K23)="D",RIGHT(上机信息表!K23)="R")),"填写正确","填写错误"))</f>
        <v/>
      </c>
      <c r="AD24" s="18" t="str">
        <f>IF(ISTEXT(上机信息表!M23),"填写正确","")</f>
        <v/>
      </c>
      <c r="AE24" s="66" t="str">
        <f>IF(COUNTIF(上机信息表!$L$2:$L$62,上机信息表!L23)&gt;1,"重复","")</f>
        <v/>
      </c>
    </row>
    <row r="25" spans="1:31">
      <c r="A25" s="56" t="str">
        <f>IF(上机信息表!A24&lt;&gt;0,上机信息表!A24,"")</f>
        <v/>
      </c>
      <c r="B25" s="57" t="str">
        <f>IF(上机信息表!K24&lt;&gt;0,上机信息表!K24,"")</f>
        <v/>
      </c>
      <c r="C25" s="58" t="str">
        <f>IF(上机信息表!E24&lt;&gt;0,上机信息表!E24,"")</f>
        <v/>
      </c>
      <c r="D25" s="157" t="str">
        <f>IF(上机信息表!L24&lt;&gt;0,上机信息表!L24,"")</f>
        <v/>
      </c>
      <c r="E25" s="158"/>
      <c r="F25" s="59" t="str">
        <f t="shared" si="8"/>
        <v/>
      </c>
      <c r="G25" s="60" t="str">
        <f>IF(上机信息表!N24&lt;&gt;0,VALUE(上机信息表!N24),"")</f>
        <v/>
      </c>
      <c r="H25" s="61" t="str">
        <f t="shared" si="9"/>
        <v/>
      </c>
      <c r="I25" s="59" t="str">
        <f>IF(B25="","",VALUE(上机信息表!O24))</f>
        <v/>
      </c>
      <c r="J25" s="59" t="str">
        <f t="shared" si="7"/>
        <v/>
      </c>
      <c r="K25" s="61" t="str">
        <f t="shared" si="10"/>
        <v/>
      </c>
      <c r="L25" s="59" t="str">
        <f t="shared" si="11"/>
        <v/>
      </c>
      <c r="M25" s="62" t="str">
        <f t="shared" si="12"/>
        <v/>
      </c>
      <c r="N25" s="63" t="str">
        <f t="shared" si="13"/>
        <v/>
      </c>
      <c r="P25" s="64"/>
      <c r="AA25" t="str">
        <f t="shared" si="6"/>
        <v/>
      </c>
      <c r="AB25" s="18" t="str">
        <f>IF(上机信息表!C24="","",IF(AND(上机信息表!C24=LEFT(上机信息表!K24,FIND("-",上机信息表!K24)-1),ISNUMBER(FIND(上机信息表!L24,上机信息表!K24))),"填写正确","填写错误"))</f>
        <v/>
      </c>
      <c r="AC25" s="66" t="str">
        <f>IF(上机信息表!K24="","",IF(AND(ISNUMBER(FIND("--",上机信息表!K24))=FALSE,LEN(上机信息表!K24)-LEN(SUBSTITUTE(上机信息表!K24,"-",""))=2,OR(RIGHT(上机信息表!K24)="D",RIGHT(上机信息表!K24)="R")),"填写正确","填写错误"))</f>
        <v/>
      </c>
      <c r="AD25" s="18" t="str">
        <f>IF(ISTEXT(上机信息表!M24),"填写正确","")</f>
        <v/>
      </c>
      <c r="AE25" s="66" t="str">
        <f>IF(COUNTIF(上机信息表!$L$2:$L$62,上机信息表!L24)&gt;1,"重复","")</f>
        <v/>
      </c>
    </row>
    <row r="26" spans="1:31">
      <c r="A26" s="56" t="str">
        <f>IF(上机信息表!A25&lt;&gt;0,上机信息表!A25,"")</f>
        <v/>
      </c>
      <c r="B26" s="57" t="str">
        <f>IF(上机信息表!K25&lt;&gt;0,上机信息表!K25,"")</f>
        <v/>
      </c>
      <c r="C26" s="58" t="str">
        <f>IF(上机信息表!E25&lt;&gt;0,上机信息表!E25,"")</f>
        <v/>
      </c>
      <c r="D26" s="157" t="str">
        <f>IF(上机信息表!L25&lt;&gt;0,上机信息表!L25,"")</f>
        <v/>
      </c>
      <c r="E26" s="158"/>
      <c r="F26" s="59" t="str">
        <f t="shared" si="8"/>
        <v/>
      </c>
      <c r="G26" s="60" t="str">
        <f>IF(上机信息表!N25&lt;&gt;0,VALUE(上机信息表!N25),"")</f>
        <v/>
      </c>
      <c r="H26" s="61" t="str">
        <f t="shared" si="9"/>
        <v/>
      </c>
      <c r="I26" s="59" t="str">
        <f>IF(B26="","",VALUE(上机信息表!O25))</f>
        <v/>
      </c>
      <c r="J26" s="59" t="str">
        <f t="shared" si="7"/>
        <v/>
      </c>
      <c r="K26" s="61" t="str">
        <f t="shared" si="10"/>
        <v/>
      </c>
      <c r="L26" s="59" t="str">
        <f t="shared" si="11"/>
        <v/>
      </c>
      <c r="M26" s="62" t="str">
        <f t="shared" si="12"/>
        <v/>
      </c>
      <c r="N26" s="63" t="str">
        <f t="shared" si="13"/>
        <v/>
      </c>
      <c r="P26" s="64"/>
      <c r="AA26" t="str">
        <f t="shared" si="6"/>
        <v/>
      </c>
      <c r="AB26" s="18" t="str">
        <f>IF(上机信息表!C25="","",IF(AND(上机信息表!C25=LEFT(上机信息表!K25,FIND("-",上机信息表!K25)-1),ISNUMBER(FIND(上机信息表!L25,上机信息表!K25))),"填写正确","填写错误"))</f>
        <v/>
      </c>
      <c r="AC26" s="66" t="str">
        <f>IF(上机信息表!K25="","",IF(AND(ISNUMBER(FIND("--",上机信息表!K25))=FALSE,LEN(上机信息表!K25)-LEN(SUBSTITUTE(上机信息表!K25,"-",""))=2,OR(RIGHT(上机信息表!K25)="D",RIGHT(上机信息表!K25)="R")),"填写正确","填写错误"))</f>
        <v/>
      </c>
      <c r="AD26" s="18" t="str">
        <f>IF(ISTEXT(上机信息表!M25),"填写正确","")</f>
        <v/>
      </c>
      <c r="AE26" s="66" t="str">
        <f>IF(COUNTIF(上机信息表!$L$2:$L$62,上机信息表!L25)&gt;1,"重复","")</f>
        <v/>
      </c>
    </row>
    <row r="27" spans="1:31">
      <c r="A27" s="56" t="str">
        <f>IF(上机信息表!A26&lt;&gt;0,上机信息表!A26,"")</f>
        <v/>
      </c>
      <c r="B27" s="57" t="str">
        <f>IF(上机信息表!K26&lt;&gt;0,上机信息表!K26,"")</f>
        <v/>
      </c>
      <c r="C27" s="58" t="str">
        <f>IF(上机信息表!E26&lt;&gt;0,上机信息表!E26,"")</f>
        <v/>
      </c>
      <c r="D27" s="157" t="str">
        <f>IF(上机信息表!L26&lt;&gt;0,上机信息表!L26,"")</f>
        <v/>
      </c>
      <c r="E27" s="158"/>
      <c r="F27" s="59" t="str">
        <f t="shared" si="8"/>
        <v/>
      </c>
      <c r="G27" s="60" t="str">
        <f>IF(上机信息表!N26&lt;&gt;0,VALUE(上机信息表!N26),"")</f>
        <v/>
      </c>
      <c r="H27" s="61" t="str">
        <f t="shared" si="9"/>
        <v/>
      </c>
      <c r="I27" s="59" t="str">
        <f>IF(B27="","",VALUE(上机信息表!O26))</f>
        <v/>
      </c>
      <c r="J27" s="59" t="str">
        <f t="shared" si="7"/>
        <v/>
      </c>
      <c r="K27" s="61" t="str">
        <f t="shared" si="10"/>
        <v/>
      </c>
      <c r="L27" s="59" t="str">
        <f t="shared" si="11"/>
        <v/>
      </c>
      <c r="M27" s="62" t="str">
        <f t="shared" si="12"/>
        <v/>
      </c>
      <c r="N27" s="63" t="str">
        <f t="shared" si="13"/>
        <v/>
      </c>
      <c r="P27" s="64"/>
      <c r="AA27" t="str">
        <f t="shared" si="6"/>
        <v/>
      </c>
      <c r="AB27" s="18" t="str">
        <f>IF(上机信息表!C26="","",IF(AND(上机信息表!C26=LEFT(上机信息表!K26,FIND("-",上机信息表!K26)-1),ISNUMBER(FIND(上机信息表!L26,上机信息表!K26))),"填写正确","填写错误"))</f>
        <v/>
      </c>
      <c r="AC27" s="66" t="str">
        <f>IF(上机信息表!K26="","",IF(AND(ISNUMBER(FIND("--",上机信息表!K26))=FALSE,LEN(上机信息表!K26)-LEN(SUBSTITUTE(上机信息表!K26,"-",""))=2,OR(RIGHT(上机信息表!K26)="D",RIGHT(上机信息表!K26)="R")),"填写正确","填写错误"))</f>
        <v/>
      </c>
      <c r="AD27" s="18" t="str">
        <f>IF(ISTEXT(上机信息表!M26),"填写正确","")</f>
        <v/>
      </c>
      <c r="AE27" s="66" t="str">
        <f>IF(COUNTIF(上机信息表!$L$2:$L$62,上机信息表!L26)&gt;1,"重复","")</f>
        <v/>
      </c>
    </row>
    <row r="28" spans="1:31">
      <c r="A28" s="56" t="str">
        <f>IF(上机信息表!A27&lt;&gt;0,上机信息表!A27,"")</f>
        <v/>
      </c>
      <c r="B28" s="57" t="str">
        <f>IF(上机信息表!K27&lt;&gt;0,上机信息表!K27,"")</f>
        <v/>
      </c>
      <c r="C28" s="58" t="str">
        <f>IF(上机信息表!E27&lt;&gt;0,上机信息表!E27,"")</f>
        <v/>
      </c>
      <c r="D28" s="157" t="str">
        <f>IF(上机信息表!L27&lt;&gt;0,上机信息表!L27,"")</f>
        <v/>
      </c>
      <c r="E28" s="158"/>
      <c r="F28" s="59" t="str">
        <f t="shared" si="8"/>
        <v/>
      </c>
      <c r="G28" s="60" t="str">
        <f>IF(上机信息表!N27&lt;&gt;0,VALUE(上机信息表!N27),"")</f>
        <v/>
      </c>
      <c r="H28" s="61" t="str">
        <f t="shared" si="9"/>
        <v/>
      </c>
      <c r="I28" s="59" t="str">
        <f>IF(B28="","",VALUE(上机信息表!O27))</f>
        <v/>
      </c>
      <c r="J28" s="59" t="str">
        <f t="shared" si="7"/>
        <v/>
      </c>
      <c r="K28" s="61" t="str">
        <f t="shared" si="10"/>
        <v/>
      </c>
      <c r="L28" s="59" t="str">
        <f t="shared" si="11"/>
        <v/>
      </c>
      <c r="M28" s="62" t="str">
        <f t="shared" si="12"/>
        <v/>
      </c>
      <c r="N28" s="63" t="str">
        <f t="shared" si="13"/>
        <v/>
      </c>
      <c r="P28" s="64"/>
      <c r="AA28" t="str">
        <f t="shared" si="6"/>
        <v/>
      </c>
      <c r="AB28" s="18" t="str">
        <f>IF(上机信息表!C27="","",IF(AND(上机信息表!C27=LEFT(上机信息表!K27,FIND("-",上机信息表!K27)-1),ISNUMBER(FIND(上机信息表!L27,上机信息表!K27))),"填写正确","填写错误"))</f>
        <v/>
      </c>
      <c r="AC28" s="66" t="str">
        <f>IF(上机信息表!K27="","",IF(AND(ISNUMBER(FIND("--",上机信息表!K27))=FALSE,LEN(上机信息表!K27)-LEN(SUBSTITUTE(上机信息表!K27,"-",""))=2,OR(RIGHT(上机信息表!K27)="D",RIGHT(上机信息表!K27)="R")),"填写正确","填写错误"))</f>
        <v/>
      </c>
      <c r="AD28" s="18" t="str">
        <f>IF(ISTEXT(上机信息表!M27),"填写正确","")</f>
        <v/>
      </c>
      <c r="AE28" s="66" t="str">
        <f>IF(COUNTIF(上机信息表!$L$2:$L$62,上机信息表!L27)&gt;1,"重复","")</f>
        <v/>
      </c>
    </row>
    <row r="29" spans="1:31">
      <c r="A29" s="56" t="str">
        <f>IF(上机信息表!A28&lt;&gt;0,上机信息表!A28,"")</f>
        <v/>
      </c>
      <c r="B29" s="57" t="str">
        <f>IF(上机信息表!K28&lt;&gt;0,上机信息表!K28,"")</f>
        <v/>
      </c>
      <c r="C29" s="58" t="str">
        <f>IF(上机信息表!E28&lt;&gt;0,上机信息表!E28,"")</f>
        <v/>
      </c>
      <c r="D29" s="157" t="str">
        <f>IF(上机信息表!L28&lt;&gt;0,上机信息表!L28,"")</f>
        <v/>
      </c>
      <c r="E29" s="158"/>
      <c r="F29" s="59" t="str">
        <f t="shared" si="8"/>
        <v/>
      </c>
      <c r="G29" s="60" t="str">
        <f>IF(上机信息表!N28&lt;&gt;0,VALUE(上机信息表!N28),"")</f>
        <v/>
      </c>
      <c r="H29" s="61" t="str">
        <f t="shared" si="9"/>
        <v/>
      </c>
      <c r="I29" s="59" t="str">
        <f>IF(B29="","",VALUE(上机信息表!O28))</f>
        <v/>
      </c>
      <c r="J29" s="59" t="str">
        <f t="shared" si="7"/>
        <v/>
      </c>
      <c r="K29" s="61" t="str">
        <f t="shared" si="10"/>
        <v/>
      </c>
      <c r="L29" s="59" t="str">
        <f t="shared" si="11"/>
        <v/>
      </c>
      <c r="M29" s="62" t="str">
        <f t="shared" si="12"/>
        <v/>
      </c>
      <c r="N29" s="63" t="str">
        <f t="shared" si="13"/>
        <v/>
      </c>
      <c r="P29" s="64"/>
      <c r="AA29" t="str">
        <f t="shared" si="6"/>
        <v/>
      </c>
      <c r="AB29" s="18" t="str">
        <f>IF(上机信息表!C28="","",IF(AND(上机信息表!C28=LEFT(上机信息表!K28,FIND("-",上机信息表!K28)-1),ISNUMBER(FIND(上机信息表!L28,上机信息表!K28))),"填写正确","填写错误"))</f>
        <v/>
      </c>
      <c r="AC29" s="66" t="str">
        <f>IF(上机信息表!K28="","",IF(AND(ISNUMBER(FIND("--",上机信息表!K28))=FALSE,LEN(上机信息表!K28)-LEN(SUBSTITUTE(上机信息表!K28,"-",""))=2,OR(RIGHT(上机信息表!K28)="D",RIGHT(上机信息表!K28)="R")),"填写正确","填写错误"))</f>
        <v/>
      </c>
      <c r="AD29" s="18" t="str">
        <f>IF(ISTEXT(上机信息表!M28),"填写正确","")</f>
        <v/>
      </c>
      <c r="AE29" s="66" t="str">
        <f>IF(COUNTIF(上机信息表!$L$2:$L$62,上机信息表!L28)&gt;1,"重复","")</f>
        <v/>
      </c>
    </row>
    <row r="30" spans="1:31">
      <c r="A30" s="56" t="str">
        <f>IF(上机信息表!A29&lt;&gt;0,上机信息表!A29,"")</f>
        <v/>
      </c>
      <c r="B30" s="57" t="str">
        <f>IF(上机信息表!K29&lt;&gt;0,上机信息表!K29,"")</f>
        <v/>
      </c>
      <c r="C30" s="58" t="str">
        <f>IF(上机信息表!E29&lt;&gt;0,上机信息表!E29,"")</f>
        <v/>
      </c>
      <c r="D30" s="157" t="str">
        <f>IF(上机信息表!L29&lt;&gt;0,上机信息表!L29,"")</f>
        <v/>
      </c>
      <c r="E30" s="158"/>
      <c r="F30" s="59" t="str">
        <f t="shared" si="8"/>
        <v/>
      </c>
      <c r="G30" s="60" t="str">
        <f>IF(上机信息表!N29&lt;&gt;0,VALUE(上机信息表!N29),"")</f>
        <v/>
      </c>
      <c r="H30" s="61" t="str">
        <f t="shared" si="9"/>
        <v/>
      </c>
      <c r="I30" s="59" t="str">
        <f>IF(B30="","",VALUE(上机信息表!O29))</f>
        <v/>
      </c>
      <c r="J30" s="59" t="str">
        <f t="shared" si="7"/>
        <v/>
      </c>
      <c r="K30" s="61" t="str">
        <f t="shared" si="10"/>
        <v/>
      </c>
      <c r="L30" s="59" t="str">
        <f t="shared" si="11"/>
        <v/>
      </c>
      <c r="M30" s="62" t="str">
        <f t="shared" si="12"/>
        <v/>
      </c>
      <c r="N30" s="63" t="str">
        <f t="shared" si="13"/>
        <v/>
      </c>
      <c r="P30" s="64"/>
      <c r="AA30" t="str">
        <f t="shared" si="6"/>
        <v/>
      </c>
      <c r="AB30" s="18" t="str">
        <f>IF(上机信息表!C29="","",IF(AND(上机信息表!C29=LEFT(上机信息表!K29,FIND("-",上机信息表!K29)-1),ISNUMBER(FIND(上机信息表!L29,上机信息表!K29))),"填写正确","填写错误"))</f>
        <v/>
      </c>
      <c r="AC30" s="66" t="str">
        <f>IF(上机信息表!K29="","",IF(AND(ISNUMBER(FIND("--",上机信息表!K29))=FALSE,LEN(上机信息表!K29)-LEN(SUBSTITUTE(上机信息表!K29,"-",""))=2,OR(RIGHT(上机信息表!K29)="D",RIGHT(上机信息表!K29)="R")),"填写正确","填写错误"))</f>
        <v/>
      </c>
      <c r="AD30" s="18" t="str">
        <f>IF(ISTEXT(上机信息表!M29),"填写正确","")</f>
        <v/>
      </c>
      <c r="AE30" s="66" t="str">
        <f>IF(COUNTIF(上机信息表!$L$2:$L$62,上机信息表!L29)&gt;1,"重复","")</f>
        <v/>
      </c>
    </row>
    <row r="31" spans="1:31">
      <c r="A31" s="56" t="str">
        <f>IF(上机信息表!A30&lt;&gt;0,上机信息表!A30,"")</f>
        <v/>
      </c>
      <c r="B31" s="57" t="str">
        <f>IF(上机信息表!K30&lt;&gt;0,上机信息表!K30,"")</f>
        <v/>
      </c>
      <c r="C31" s="58" t="str">
        <f>IF(上机信息表!E30&lt;&gt;0,上机信息表!E30,"")</f>
        <v/>
      </c>
      <c r="D31" s="157" t="str">
        <f>IF(上机信息表!L30&lt;&gt;0,上机信息表!L30,"")</f>
        <v/>
      </c>
      <c r="E31" s="158"/>
      <c r="F31" s="59" t="str">
        <f t="shared" si="8"/>
        <v/>
      </c>
      <c r="G31" s="60" t="str">
        <f>IF(上机信息表!N30&lt;&gt;0,VALUE(上机信息表!N30),"")</f>
        <v/>
      </c>
      <c r="H31" s="61" t="str">
        <f t="shared" si="9"/>
        <v/>
      </c>
      <c r="I31" s="59" t="str">
        <f>IF(B31="","",VALUE(上机信息表!O30))</f>
        <v/>
      </c>
      <c r="J31" s="59" t="str">
        <f t="shared" si="7"/>
        <v/>
      </c>
      <c r="K31" s="61" t="str">
        <f t="shared" si="10"/>
        <v/>
      </c>
      <c r="L31" s="59" t="str">
        <f t="shared" si="11"/>
        <v/>
      </c>
      <c r="M31" s="62" t="str">
        <f t="shared" si="12"/>
        <v/>
      </c>
      <c r="N31" s="63" t="str">
        <f t="shared" si="13"/>
        <v/>
      </c>
      <c r="P31" s="64"/>
      <c r="AA31" t="str">
        <f t="shared" si="6"/>
        <v/>
      </c>
      <c r="AB31" s="18" t="str">
        <f>IF(上机信息表!C30="","",IF(AND(上机信息表!C30=LEFT(上机信息表!K30,FIND("-",上机信息表!K30)-1),ISNUMBER(FIND(上机信息表!L30,上机信息表!K30))),"填写正确","填写错误"))</f>
        <v/>
      </c>
      <c r="AC31" s="66" t="str">
        <f>IF(上机信息表!K30="","",IF(AND(ISNUMBER(FIND("--",上机信息表!K30))=FALSE,LEN(上机信息表!K30)-LEN(SUBSTITUTE(上机信息表!K30,"-",""))=2,OR(RIGHT(上机信息表!K30)="D",RIGHT(上机信息表!K30)="R")),"填写正确","填写错误"))</f>
        <v/>
      </c>
      <c r="AD31" s="18" t="str">
        <f>IF(ISTEXT(上机信息表!M30),"填写正确","")</f>
        <v/>
      </c>
      <c r="AE31" s="66" t="str">
        <f>IF(COUNTIF(上机信息表!$L$2:$L$62,上机信息表!L30)&gt;1,"重复","")</f>
        <v/>
      </c>
    </row>
    <row r="32" spans="1:31">
      <c r="A32" s="56" t="str">
        <f>IF(上机信息表!A31&lt;&gt;0,上机信息表!A31,"")</f>
        <v/>
      </c>
      <c r="B32" s="57" t="str">
        <f>IF(上机信息表!K31&lt;&gt;0,上机信息表!K31,"")</f>
        <v/>
      </c>
      <c r="C32" s="58" t="str">
        <f>IF(上机信息表!E31&lt;&gt;0,上机信息表!E31,"")</f>
        <v/>
      </c>
      <c r="D32" s="157" t="str">
        <f>IF(上机信息表!L31&lt;&gt;0,上机信息表!L31,"")</f>
        <v/>
      </c>
      <c r="E32" s="158"/>
      <c r="F32" s="59" t="str">
        <f t="shared" si="8"/>
        <v/>
      </c>
      <c r="G32" s="60" t="str">
        <f>IF(上机信息表!N31&lt;&gt;0,VALUE(上机信息表!N31),"")</f>
        <v/>
      </c>
      <c r="H32" s="61" t="str">
        <f t="shared" si="9"/>
        <v/>
      </c>
      <c r="I32" s="59" t="str">
        <f>IF(B32="","",VALUE(上机信息表!O31))</f>
        <v/>
      </c>
      <c r="J32" s="59" t="str">
        <f t="shared" si="7"/>
        <v/>
      </c>
      <c r="K32" s="61" t="str">
        <f t="shared" si="10"/>
        <v/>
      </c>
      <c r="L32" s="59" t="str">
        <f t="shared" si="11"/>
        <v/>
      </c>
      <c r="M32" s="62" t="str">
        <f t="shared" si="12"/>
        <v/>
      </c>
      <c r="N32" s="63" t="str">
        <f t="shared" si="13"/>
        <v/>
      </c>
      <c r="P32" s="64"/>
      <c r="AA32" t="str">
        <f t="shared" si="6"/>
        <v/>
      </c>
      <c r="AB32" s="18" t="str">
        <f>IF(上机信息表!C31="","",IF(AND(上机信息表!C31=LEFT(上机信息表!K31,FIND("-",上机信息表!K31)-1),ISNUMBER(FIND(上机信息表!L31,上机信息表!K31))),"填写正确","填写错误"))</f>
        <v/>
      </c>
      <c r="AC32" s="66" t="str">
        <f>IF(上机信息表!K31="","",IF(AND(ISNUMBER(FIND("--",上机信息表!K31))=FALSE,LEN(上机信息表!K31)-LEN(SUBSTITUTE(上机信息表!K31,"-",""))=2,OR(RIGHT(上机信息表!K31)="D",RIGHT(上机信息表!K31)="R")),"填写正确","填写错误"))</f>
        <v/>
      </c>
      <c r="AD32" s="18" t="str">
        <f>IF(ISTEXT(上机信息表!M31),"填写正确","")</f>
        <v/>
      </c>
      <c r="AE32" s="66" t="str">
        <f>IF(COUNTIF(上机信息表!$L$2:$L$62,上机信息表!L31)&gt;1,"重复","")</f>
        <v/>
      </c>
    </row>
    <row r="33" spans="1:31">
      <c r="A33" s="56" t="str">
        <f>IF(上机信息表!A32&lt;&gt;0,上机信息表!A32,"")</f>
        <v/>
      </c>
      <c r="B33" s="57" t="str">
        <f>IF(上机信息表!K32&lt;&gt;0,上机信息表!K32,"")</f>
        <v/>
      </c>
      <c r="C33" s="58" t="str">
        <f>IF(上机信息表!E32&lt;&gt;0,上机信息表!E32,"")</f>
        <v/>
      </c>
      <c r="D33" s="157" t="str">
        <f>IF(上机信息表!L32&lt;&gt;0,上机信息表!L32,"")</f>
        <v/>
      </c>
      <c r="E33" s="158"/>
      <c r="F33" s="59" t="str">
        <f t="shared" si="8"/>
        <v/>
      </c>
      <c r="G33" s="60" t="str">
        <f>IF(上机信息表!N32&lt;&gt;0,VALUE(上机信息表!N32),"")</f>
        <v/>
      </c>
      <c r="H33" s="61" t="str">
        <f t="shared" si="9"/>
        <v/>
      </c>
      <c r="I33" s="59" t="str">
        <f>IF(B33="","",VALUE(上机信息表!O32))</f>
        <v/>
      </c>
      <c r="J33" s="59" t="str">
        <f t="shared" si="7"/>
        <v/>
      </c>
      <c r="K33" s="61" t="str">
        <f t="shared" si="10"/>
        <v/>
      </c>
      <c r="L33" s="59" t="str">
        <f t="shared" si="11"/>
        <v/>
      </c>
      <c r="M33" s="62" t="str">
        <f t="shared" si="12"/>
        <v/>
      </c>
      <c r="N33" s="63" t="str">
        <f t="shared" si="13"/>
        <v/>
      </c>
      <c r="P33" s="64"/>
      <c r="AA33" t="str">
        <f t="shared" si="6"/>
        <v/>
      </c>
      <c r="AB33" s="18" t="str">
        <f>IF(上机信息表!C32="","",IF(AND(上机信息表!C32=LEFT(上机信息表!K32,FIND("-",上机信息表!K32)-1),ISNUMBER(FIND(上机信息表!L32,上机信息表!K32))),"填写正确","填写错误"))</f>
        <v/>
      </c>
      <c r="AC33" s="66" t="str">
        <f>IF(上机信息表!K32="","",IF(AND(ISNUMBER(FIND("--",上机信息表!K32))=FALSE,LEN(上机信息表!K32)-LEN(SUBSTITUTE(上机信息表!K32,"-",""))=2,OR(RIGHT(上机信息表!K32)="D",RIGHT(上机信息表!K32)="R")),"填写正确","填写错误"))</f>
        <v/>
      </c>
      <c r="AD33" s="18" t="str">
        <f>IF(ISTEXT(上机信息表!M32),"填写正确","")</f>
        <v/>
      </c>
      <c r="AE33" s="66" t="str">
        <f>IF(COUNTIF(上机信息表!$L$2:$L$62,上机信息表!L32)&gt;1,"重复","")</f>
        <v/>
      </c>
    </row>
    <row r="34" spans="1:31">
      <c r="A34" s="56" t="str">
        <f>IF(上机信息表!A33&lt;&gt;0,上机信息表!A33,"")</f>
        <v/>
      </c>
      <c r="B34" s="57" t="str">
        <f>IF(上机信息表!K33&lt;&gt;0,上机信息表!K33,"")</f>
        <v/>
      </c>
      <c r="C34" s="58" t="str">
        <f>IF(上机信息表!E33&lt;&gt;0,上机信息表!E33,"")</f>
        <v/>
      </c>
      <c r="D34" s="157" t="str">
        <f>IF(上机信息表!L33&lt;&gt;0,上机信息表!L33,"")</f>
        <v/>
      </c>
      <c r="E34" s="158"/>
      <c r="F34" s="59" t="str">
        <f t="shared" si="8"/>
        <v/>
      </c>
      <c r="G34" s="60" t="str">
        <f>IF(上机信息表!N33&lt;&gt;0,VALUE(上机信息表!N33),"")</f>
        <v/>
      </c>
      <c r="H34" s="61" t="str">
        <f t="shared" si="9"/>
        <v/>
      </c>
      <c r="I34" s="59" t="str">
        <f>IF(B34="","",VALUE(上机信息表!O33))</f>
        <v/>
      </c>
      <c r="J34" s="59" t="str">
        <f t="shared" ref="J34:J62" si="14">IF(B34="","",IF(20/MIN($H$3:$H$62)&gt;17,5,IF(MIN($H$3:$H$62)&lt;20,10,IF(AND(MIN($H$3:$H$62)&gt;=20,MIN($H$3:$H$62)&lt;40),20,IF(MIN($H$3:$H$62)&gt;=40,40)))))</f>
        <v/>
      </c>
      <c r="K34" s="61" t="str">
        <f t="shared" si="10"/>
        <v/>
      </c>
      <c r="L34" s="59" t="str">
        <f t="shared" si="11"/>
        <v/>
      </c>
      <c r="M34" s="62" t="str">
        <f t="shared" si="12"/>
        <v/>
      </c>
      <c r="N34" s="63" t="str">
        <f t="shared" si="13"/>
        <v/>
      </c>
      <c r="P34" s="66"/>
      <c r="AA34" t="str">
        <f t="shared" si="6"/>
        <v/>
      </c>
      <c r="AB34" s="18" t="str">
        <f>IF(上机信息表!C33="","",IF(AND(上机信息表!C33=LEFT(上机信息表!K33,FIND("-",上机信息表!K33)-1),ISNUMBER(FIND(上机信息表!L33,上机信息表!K33))),"填写正确","填写错误"))</f>
        <v/>
      </c>
      <c r="AC34" s="66" t="str">
        <f>IF(上机信息表!K33="","",IF(AND(ISNUMBER(FIND("--",上机信息表!K33))=FALSE,LEN(上机信息表!K33)-LEN(SUBSTITUTE(上机信息表!K33,"-",""))=2,OR(RIGHT(上机信息表!K33)="D",RIGHT(上机信息表!K33)="R")),"填写正确","填写错误"))</f>
        <v/>
      </c>
      <c r="AD34" s="18" t="str">
        <f>IF(ISTEXT(上机信息表!M33),"填写正确","")</f>
        <v/>
      </c>
      <c r="AE34" s="66" t="str">
        <f>IF(COUNTIF(上机信息表!$L$2:$L$62,上机信息表!L33)&gt;1,"重复","")</f>
        <v/>
      </c>
    </row>
    <row r="35" spans="1:31">
      <c r="A35" s="56" t="str">
        <f>IF(上机信息表!A34&lt;&gt;0,上机信息表!A34,"")</f>
        <v/>
      </c>
      <c r="B35" s="57" t="str">
        <f>IF(上机信息表!K34&lt;&gt;0,上机信息表!K34,"")</f>
        <v/>
      </c>
      <c r="C35" s="58" t="str">
        <f>IF(上机信息表!E34&lt;&gt;0,上机信息表!E34,"")</f>
        <v/>
      </c>
      <c r="D35" s="157" t="str">
        <f>IF(上机信息表!L34&lt;&gt;0,上机信息表!L34,"")</f>
        <v/>
      </c>
      <c r="E35" s="158"/>
      <c r="F35" s="59" t="str">
        <f t="shared" si="8"/>
        <v/>
      </c>
      <c r="G35" s="60" t="str">
        <f>IF(上机信息表!N34&lt;&gt;0,VALUE(上机信息表!N34),"")</f>
        <v/>
      </c>
      <c r="H35" s="61" t="str">
        <f t="shared" si="9"/>
        <v/>
      </c>
      <c r="I35" s="59" t="str">
        <f>IF(B35="","",VALUE(上机信息表!O34))</f>
        <v/>
      </c>
      <c r="J35" s="59" t="str">
        <f t="shared" si="14"/>
        <v/>
      </c>
      <c r="K35" s="61" t="str">
        <f t="shared" si="10"/>
        <v/>
      </c>
      <c r="L35" s="59" t="str">
        <f t="shared" si="11"/>
        <v/>
      </c>
      <c r="M35" s="62" t="str">
        <f t="shared" si="12"/>
        <v/>
      </c>
      <c r="N35" s="63" t="str">
        <f t="shared" si="13"/>
        <v/>
      </c>
      <c r="P35" s="64"/>
      <c r="AA35" t="str">
        <f t="shared" si="6"/>
        <v/>
      </c>
      <c r="AB35" s="18" t="str">
        <f>IF(上机信息表!C34="","",IF(AND(上机信息表!C34=LEFT(上机信息表!K34,FIND("-",上机信息表!K34)-1),ISNUMBER(FIND(上机信息表!L34,上机信息表!K34))),"填写正确","填写错误"))</f>
        <v/>
      </c>
      <c r="AC35" s="66" t="str">
        <f>IF(上机信息表!K34="","",IF(AND(ISNUMBER(FIND("--",上机信息表!K34))=FALSE,LEN(上机信息表!K34)-LEN(SUBSTITUTE(上机信息表!K34,"-",""))=2,OR(RIGHT(上机信息表!K34)="D",RIGHT(上机信息表!K34)="R")),"填写正确","填写错误"))</f>
        <v/>
      </c>
      <c r="AD35" s="18" t="str">
        <f>IF(ISTEXT(上机信息表!M34),"填写正确","")</f>
        <v/>
      </c>
      <c r="AE35" s="66" t="str">
        <f>IF(COUNTIF(上机信息表!$L$2:$L$62,上机信息表!L34)&gt;1,"重复","")</f>
        <v/>
      </c>
    </row>
    <row r="36" spans="1:31">
      <c r="A36" s="56" t="str">
        <f>IF(上机信息表!A35&lt;&gt;0,上机信息表!A35,"")</f>
        <v/>
      </c>
      <c r="B36" s="57" t="str">
        <f>IF(上机信息表!K35&lt;&gt;0,上机信息表!K35,"")</f>
        <v/>
      </c>
      <c r="C36" s="58" t="str">
        <f>IF(上机信息表!E35&lt;&gt;0,上机信息表!E35,"")</f>
        <v/>
      </c>
      <c r="D36" s="157" t="str">
        <f>IF(上机信息表!L35&lt;&gt;0,上机信息表!L35,"")</f>
        <v/>
      </c>
      <c r="E36" s="158"/>
      <c r="F36" s="59" t="str">
        <f t="shared" ref="F36:F62" si="15">IF(RIGHT(B36)="D",300,IF(RIGHT(B36)="R",450,""))</f>
        <v/>
      </c>
      <c r="G36" s="60" t="str">
        <f>IF(上机信息表!N35&lt;&gt;0,VALUE(上机信息表!N35),"")</f>
        <v/>
      </c>
      <c r="H36" s="61" t="str">
        <f t="shared" si="9"/>
        <v/>
      </c>
      <c r="I36" s="59" t="str">
        <f>IF(B36="","",VALUE(上机信息表!O35))</f>
        <v/>
      </c>
      <c r="J36" s="59" t="str">
        <f t="shared" si="14"/>
        <v/>
      </c>
      <c r="K36" s="61" t="str">
        <f t="shared" si="10"/>
        <v/>
      </c>
      <c r="L36" s="59" t="str">
        <f t="shared" si="11"/>
        <v/>
      </c>
      <c r="M36" s="62" t="str">
        <f t="shared" si="12"/>
        <v/>
      </c>
      <c r="N36" s="63" t="str">
        <f t="shared" ref="N36:N62" si="16">IF(H36="","",IF(AND(COUNTIF(B36,"*Y*")=0,J36*2*I36/H36/20&gt;17),17,IF(H36&gt;J36,I36*2/20,J36*2*I36/H36/20)))</f>
        <v/>
      </c>
      <c r="P36" s="64"/>
      <c r="AA36" t="str">
        <f t="shared" si="6"/>
        <v/>
      </c>
      <c r="AB36" s="18" t="str">
        <f>IF(上机信息表!C35="","",IF(AND(上机信息表!C35=LEFT(上机信息表!K35,FIND("-",上机信息表!K35)-1),ISNUMBER(FIND(上机信息表!L35,上机信息表!K35))),"填写正确","填写错误"))</f>
        <v/>
      </c>
      <c r="AC36" s="66" t="str">
        <f>IF(上机信息表!K35="","",IF(AND(ISNUMBER(FIND("--",上机信息表!K35))=FALSE,LEN(上机信息表!K35)-LEN(SUBSTITUTE(上机信息表!K35,"-",""))=2,OR(RIGHT(上机信息表!K35)="D",RIGHT(上机信息表!K35)="R")),"填写正确","填写错误"))</f>
        <v/>
      </c>
      <c r="AD36" s="18" t="str">
        <f>IF(ISTEXT(上机信息表!M35),"填写正确","")</f>
        <v/>
      </c>
      <c r="AE36" s="66" t="str">
        <f>IF(COUNTIF(上机信息表!$L$2:$L$62,上机信息表!L35)&gt;1,"重复","")</f>
        <v/>
      </c>
    </row>
    <row r="37" spans="1:31">
      <c r="A37" s="56" t="str">
        <f>IF(上机信息表!A36&lt;&gt;0,上机信息表!A36,"")</f>
        <v/>
      </c>
      <c r="B37" s="57" t="str">
        <f>IF(上机信息表!K36&lt;&gt;0,上机信息表!K36,"")</f>
        <v/>
      </c>
      <c r="C37" s="58" t="str">
        <f>IF(上机信息表!E36&lt;&gt;0,上机信息表!E36,"")</f>
        <v/>
      </c>
      <c r="D37" s="157" t="str">
        <f>IF(上机信息表!L36&lt;&gt;0,上机信息表!L36,"")</f>
        <v/>
      </c>
      <c r="E37" s="158"/>
      <c r="F37" s="59" t="str">
        <f t="shared" si="15"/>
        <v/>
      </c>
      <c r="G37" s="60" t="str">
        <f>IF(上机信息表!N36&lt;&gt;0,VALUE(上机信息表!N36),"")</f>
        <v/>
      </c>
      <c r="H37" s="61" t="str">
        <f t="shared" si="9"/>
        <v/>
      </c>
      <c r="I37" s="59" t="str">
        <f>IF(B37="","",VALUE(上机信息表!O36))</f>
        <v/>
      </c>
      <c r="J37" s="59" t="str">
        <f t="shared" si="14"/>
        <v/>
      </c>
      <c r="K37" s="61" t="str">
        <f t="shared" si="10"/>
        <v/>
      </c>
      <c r="L37" s="59" t="str">
        <f t="shared" si="11"/>
        <v/>
      </c>
      <c r="M37" s="62" t="str">
        <f t="shared" si="12"/>
        <v/>
      </c>
      <c r="N37" s="63" t="str">
        <f t="shared" si="16"/>
        <v/>
      </c>
      <c r="P37" s="64"/>
      <c r="AA37" t="str">
        <f t="shared" si="6"/>
        <v/>
      </c>
      <c r="AB37" s="18" t="str">
        <f>IF(上机信息表!C36="","",IF(AND(上机信息表!C36=LEFT(上机信息表!K36,FIND("-",上机信息表!K36)-1),ISNUMBER(FIND(上机信息表!L36,上机信息表!K36))),"填写正确","填写错误"))</f>
        <v/>
      </c>
      <c r="AC37" s="66" t="str">
        <f>IF(上机信息表!K36="","",IF(AND(ISNUMBER(FIND("--",上机信息表!K36))=FALSE,LEN(上机信息表!K36)-LEN(SUBSTITUTE(上机信息表!K36,"-",""))=2,OR(RIGHT(上机信息表!K36)="D",RIGHT(上机信息表!K36)="R")),"填写正确","填写错误"))</f>
        <v/>
      </c>
      <c r="AD37" s="18" t="str">
        <f>IF(ISTEXT(上机信息表!M36),"填写正确","")</f>
        <v/>
      </c>
      <c r="AE37" s="66" t="str">
        <f>IF(COUNTIF(上机信息表!$L$2:$L$62,上机信息表!L36)&gt;1,"重复","")</f>
        <v/>
      </c>
    </row>
    <row r="38" spans="1:31">
      <c r="A38" s="56" t="str">
        <f>IF(上机信息表!A37&lt;&gt;0,上机信息表!A37,"")</f>
        <v/>
      </c>
      <c r="B38" s="57" t="str">
        <f>IF(上机信息表!K37&lt;&gt;0,上机信息表!K37,"")</f>
        <v/>
      </c>
      <c r="C38" s="58" t="str">
        <f>IF(上机信息表!E37&lt;&gt;0,上机信息表!E37,"")</f>
        <v/>
      </c>
      <c r="D38" s="157" t="str">
        <f>IF(上机信息表!L37&lt;&gt;0,上机信息表!L37,"")</f>
        <v/>
      </c>
      <c r="E38" s="158"/>
      <c r="F38" s="59" t="str">
        <f t="shared" si="15"/>
        <v/>
      </c>
      <c r="G38" s="60" t="str">
        <f>IF(上机信息表!N37&lt;&gt;0,VALUE(上机信息表!N37),"")</f>
        <v/>
      </c>
      <c r="H38" s="61" t="str">
        <f t="shared" si="9"/>
        <v/>
      </c>
      <c r="I38" s="59" t="str">
        <f>IF(B38="","",VALUE(上机信息表!O37))</f>
        <v/>
      </c>
      <c r="J38" s="59" t="str">
        <f t="shared" si="14"/>
        <v/>
      </c>
      <c r="K38" s="61" t="str">
        <f t="shared" si="10"/>
        <v/>
      </c>
      <c r="L38" s="59" t="str">
        <f t="shared" si="11"/>
        <v/>
      </c>
      <c r="M38" s="62" t="str">
        <f t="shared" si="12"/>
        <v/>
      </c>
      <c r="N38" s="63" t="str">
        <f t="shared" si="16"/>
        <v/>
      </c>
      <c r="P38" s="64"/>
      <c r="AA38" t="str">
        <f t="shared" si="6"/>
        <v/>
      </c>
      <c r="AB38" s="18" t="str">
        <f>IF(上机信息表!C37="","",IF(AND(上机信息表!C37=LEFT(上机信息表!K37,FIND("-",上机信息表!K37)-1),ISNUMBER(FIND(上机信息表!L37,上机信息表!K37))),"填写正确","填写错误"))</f>
        <v/>
      </c>
      <c r="AC38" s="66" t="str">
        <f>IF(上机信息表!K37="","",IF(AND(ISNUMBER(FIND("--",上机信息表!K37))=FALSE,LEN(上机信息表!K37)-LEN(SUBSTITUTE(上机信息表!K37,"-",""))=2,OR(RIGHT(上机信息表!K37)="D",RIGHT(上机信息表!K37)="R")),"填写正确","填写错误"))</f>
        <v/>
      </c>
      <c r="AD38" s="18" t="str">
        <f>IF(ISTEXT(上机信息表!M37),"填写正确","")</f>
        <v/>
      </c>
      <c r="AE38" s="66" t="str">
        <f>IF(COUNTIF(上机信息表!$L$2:$L$62,上机信息表!L37)&gt;1,"重复","")</f>
        <v/>
      </c>
    </row>
    <row r="39" spans="1:31">
      <c r="A39" s="56" t="str">
        <f>IF(上机信息表!A38&lt;&gt;0,上机信息表!A38,"")</f>
        <v/>
      </c>
      <c r="B39" s="57" t="str">
        <f>IF(上机信息表!K38&lt;&gt;0,上机信息表!K38,"")</f>
        <v/>
      </c>
      <c r="C39" s="58" t="str">
        <f>IF(上机信息表!E38&lt;&gt;0,上机信息表!E38,"")</f>
        <v/>
      </c>
      <c r="D39" s="157" t="str">
        <f>IF(上机信息表!L38&lt;&gt;0,上机信息表!L38,"")</f>
        <v/>
      </c>
      <c r="E39" s="158"/>
      <c r="F39" s="59" t="str">
        <f t="shared" si="15"/>
        <v/>
      </c>
      <c r="G39" s="60" t="str">
        <f>IF(上机信息表!N38&lt;&gt;0,VALUE(上机信息表!N38),"")</f>
        <v/>
      </c>
      <c r="H39" s="61" t="str">
        <f t="shared" si="9"/>
        <v/>
      </c>
      <c r="I39" s="59" t="str">
        <f>IF(B39="","",VALUE(上机信息表!O38))</f>
        <v/>
      </c>
      <c r="J39" s="59" t="str">
        <f t="shared" si="14"/>
        <v/>
      </c>
      <c r="K39" s="61" t="str">
        <f t="shared" si="10"/>
        <v/>
      </c>
      <c r="L39" s="59" t="str">
        <f t="shared" si="11"/>
        <v/>
      </c>
      <c r="M39" s="62" t="str">
        <f t="shared" si="12"/>
        <v/>
      </c>
      <c r="N39" s="63" t="str">
        <f t="shared" si="16"/>
        <v/>
      </c>
      <c r="P39" s="64"/>
      <c r="AA39" t="str">
        <f t="shared" si="6"/>
        <v/>
      </c>
      <c r="AB39" s="18" t="str">
        <f>IF(上机信息表!C38="","",IF(AND(上机信息表!C38=LEFT(上机信息表!K38,FIND("-",上机信息表!K38)-1),ISNUMBER(FIND(上机信息表!L38,上机信息表!K38))),"填写正确","填写错误"))</f>
        <v/>
      </c>
      <c r="AC39" s="66" t="str">
        <f>IF(上机信息表!K38="","",IF(AND(ISNUMBER(FIND("--",上机信息表!K38))=FALSE,LEN(上机信息表!K38)-LEN(SUBSTITUTE(上机信息表!K38,"-",""))=2,OR(RIGHT(上机信息表!K38)="D",RIGHT(上机信息表!K38)="R")),"填写正确","填写错误"))</f>
        <v/>
      </c>
      <c r="AD39" s="18" t="str">
        <f>IF(ISTEXT(上机信息表!M38),"填写正确","")</f>
        <v/>
      </c>
      <c r="AE39" s="66" t="str">
        <f>IF(COUNTIF(上机信息表!$L$2:$L$62,上机信息表!L38)&gt;1,"重复","")</f>
        <v/>
      </c>
    </row>
    <row r="40" spans="1:31">
      <c r="A40" s="56" t="str">
        <f>IF(上机信息表!A39&lt;&gt;0,上机信息表!A39,"")</f>
        <v/>
      </c>
      <c r="B40" s="57" t="str">
        <f>IF(上机信息表!K39&lt;&gt;0,上机信息表!K39,"")</f>
        <v/>
      </c>
      <c r="C40" s="58" t="str">
        <f>IF(上机信息表!E39&lt;&gt;0,上机信息表!E39,"")</f>
        <v/>
      </c>
      <c r="D40" s="157" t="str">
        <f>IF(上机信息表!L39&lt;&gt;0,上机信息表!L39,"")</f>
        <v/>
      </c>
      <c r="E40" s="158"/>
      <c r="F40" s="59" t="str">
        <f t="shared" si="15"/>
        <v/>
      </c>
      <c r="G40" s="60" t="str">
        <f>IF(上机信息表!N39&lt;&gt;0,VALUE(上机信息表!N39),"")</f>
        <v/>
      </c>
      <c r="H40" s="61" t="str">
        <f t="shared" si="9"/>
        <v/>
      </c>
      <c r="I40" s="59" t="str">
        <f>IF(B40="","",VALUE(上机信息表!O39))</f>
        <v/>
      </c>
      <c r="J40" s="59" t="str">
        <f t="shared" si="14"/>
        <v/>
      </c>
      <c r="K40" s="61" t="str">
        <f t="shared" si="10"/>
        <v/>
      </c>
      <c r="L40" s="59" t="str">
        <f t="shared" si="11"/>
        <v/>
      </c>
      <c r="M40" s="62" t="str">
        <f t="shared" si="12"/>
        <v/>
      </c>
      <c r="N40" s="63" t="str">
        <f t="shared" si="16"/>
        <v/>
      </c>
      <c r="P40" s="64"/>
      <c r="AA40" t="str">
        <f t="shared" si="6"/>
        <v/>
      </c>
      <c r="AB40" s="18" t="str">
        <f>IF(上机信息表!C39="","",IF(AND(上机信息表!C39=LEFT(上机信息表!K39,FIND("-",上机信息表!K39)-1),ISNUMBER(FIND(上机信息表!L39,上机信息表!K39))),"填写正确","填写错误"))</f>
        <v/>
      </c>
      <c r="AC40" s="66" t="str">
        <f>IF(上机信息表!K39="","",IF(AND(ISNUMBER(FIND("--",上机信息表!K39))=FALSE,LEN(上机信息表!K39)-LEN(SUBSTITUTE(上机信息表!K39,"-",""))=2,OR(RIGHT(上机信息表!K39)="D",RIGHT(上机信息表!K39)="R")),"填写正确","填写错误"))</f>
        <v/>
      </c>
      <c r="AD40" s="18" t="str">
        <f>IF(ISTEXT(上机信息表!M39),"填写正确","")</f>
        <v/>
      </c>
      <c r="AE40" s="66" t="str">
        <f>IF(COUNTIF(上机信息表!$L$2:$L$62,上机信息表!L39)&gt;1,"重复","")</f>
        <v/>
      </c>
    </row>
    <row r="41" spans="1:31">
      <c r="A41" s="56" t="str">
        <f>IF(上机信息表!A40&lt;&gt;0,上机信息表!A40,"")</f>
        <v/>
      </c>
      <c r="B41" s="57" t="str">
        <f>IF(上机信息表!K40&lt;&gt;0,上机信息表!K40,"")</f>
        <v/>
      </c>
      <c r="C41" s="58" t="str">
        <f>IF(上机信息表!E40&lt;&gt;0,上机信息表!E40,"")</f>
        <v/>
      </c>
      <c r="D41" s="157" t="str">
        <f>IF(上机信息表!L40&lt;&gt;0,上机信息表!L40,"")</f>
        <v/>
      </c>
      <c r="E41" s="158"/>
      <c r="F41" s="59" t="str">
        <f t="shared" si="15"/>
        <v/>
      </c>
      <c r="G41" s="60" t="str">
        <f>IF(上机信息表!N40&lt;&gt;0,VALUE(上机信息表!N40),"")</f>
        <v/>
      </c>
      <c r="H41" s="61" t="str">
        <f t="shared" si="9"/>
        <v/>
      </c>
      <c r="I41" s="59" t="str">
        <f>IF(B41="","",VALUE(上机信息表!O40))</f>
        <v/>
      </c>
      <c r="J41" s="59" t="str">
        <f t="shared" si="14"/>
        <v/>
      </c>
      <c r="K41" s="61" t="str">
        <f t="shared" si="10"/>
        <v/>
      </c>
      <c r="L41" s="59" t="str">
        <f t="shared" si="11"/>
        <v/>
      </c>
      <c r="M41" s="62" t="str">
        <f t="shared" si="12"/>
        <v/>
      </c>
      <c r="N41" s="63" t="str">
        <f t="shared" si="16"/>
        <v/>
      </c>
      <c r="P41" s="64"/>
      <c r="AA41" t="str">
        <f t="shared" si="6"/>
        <v/>
      </c>
      <c r="AB41" s="18" t="str">
        <f>IF(上机信息表!C40="","",IF(AND(上机信息表!C40=LEFT(上机信息表!K40,FIND("-",上机信息表!K40)-1),ISNUMBER(FIND(上机信息表!L40,上机信息表!K40))),"填写正确","填写错误"))</f>
        <v/>
      </c>
      <c r="AC41" s="66" t="str">
        <f>IF(上机信息表!K40="","",IF(AND(ISNUMBER(FIND("--",上机信息表!K40))=FALSE,LEN(上机信息表!K40)-LEN(SUBSTITUTE(上机信息表!K40,"-",""))=2,OR(RIGHT(上机信息表!K40)="D",RIGHT(上机信息表!K40)="R")),"填写正确","填写错误"))</f>
        <v/>
      </c>
      <c r="AD41" s="18" t="str">
        <f>IF(ISTEXT(上机信息表!M40),"填写正确","")</f>
        <v/>
      </c>
      <c r="AE41" s="66" t="str">
        <f>IF(COUNTIF(上机信息表!$L$2:$L$62,上机信息表!L40)&gt;1,"重复","")</f>
        <v/>
      </c>
    </row>
    <row r="42" spans="1:31">
      <c r="A42" s="56" t="str">
        <f>IF(上机信息表!A41&lt;&gt;0,上机信息表!A41,"")</f>
        <v/>
      </c>
      <c r="B42" s="57" t="str">
        <f>IF(上机信息表!K41&lt;&gt;0,上机信息表!K41,"")</f>
        <v/>
      </c>
      <c r="C42" s="58" t="str">
        <f>IF(上机信息表!E41&lt;&gt;0,上机信息表!E41,"")</f>
        <v/>
      </c>
      <c r="D42" s="157" t="str">
        <f>IF(上机信息表!L41&lt;&gt;0,上机信息表!L41,"")</f>
        <v/>
      </c>
      <c r="E42" s="158"/>
      <c r="F42" s="59" t="str">
        <f t="shared" si="15"/>
        <v/>
      </c>
      <c r="G42" s="60" t="str">
        <f>IF(上机信息表!N41&lt;&gt;0,VALUE(上机信息表!N41),"")</f>
        <v/>
      </c>
      <c r="H42" s="61" t="str">
        <f t="shared" si="9"/>
        <v/>
      </c>
      <c r="I42" s="59" t="str">
        <f>IF(B42="","",VALUE(上机信息表!O41))</f>
        <v/>
      </c>
      <c r="J42" s="59" t="str">
        <f t="shared" si="14"/>
        <v/>
      </c>
      <c r="K42" s="61" t="str">
        <f t="shared" si="10"/>
        <v/>
      </c>
      <c r="L42" s="59" t="str">
        <f t="shared" si="11"/>
        <v/>
      </c>
      <c r="M42" s="62" t="str">
        <f t="shared" si="12"/>
        <v/>
      </c>
      <c r="N42" s="63" t="str">
        <f t="shared" si="16"/>
        <v/>
      </c>
      <c r="P42" s="64"/>
      <c r="AA42" t="str">
        <f t="shared" si="6"/>
        <v/>
      </c>
      <c r="AB42" s="18" t="str">
        <f>IF(上机信息表!C41="","",IF(AND(上机信息表!C41=LEFT(上机信息表!K41,FIND("-",上机信息表!K41)-1),ISNUMBER(FIND(上机信息表!L41,上机信息表!K41))),"填写正确","填写错误"))</f>
        <v/>
      </c>
      <c r="AC42" s="66" t="str">
        <f>IF(上机信息表!K41="","",IF(AND(ISNUMBER(FIND("--",上机信息表!K41))=FALSE,LEN(上机信息表!K41)-LEN(SUBSTITUTE(上机信息表!K41,"-",""))=2,OR(RIGHT(上机信息表!K41)="D",RIGHT(上机信息表!K41)="R")),"填写正确","填写错误"))</f>
        <v/>
      </c>
      <c r="AD42" s="18" t="str">
        <f>IF(ISTEXT(上机信息表!M41),"填写正确","")</f>
        <v/>
      </c>
      <c r="AE42" s="66" t="str">
        <f>IF(COUNTIF(上机信息表!$L$2:$L$62,上机信息表!L41)&gt;1,"重复","")</f>
        <v/>
      </c>
    </row>
    <row r="43" spans="1:31">
      <c r="A43" s="56" t="str">
        <f>IF(上机信息表!A42&lt;&gt;0,上机信息表!A42,"")</f>
        <v/>
      </c>
      <c r="B43" s="57" t="str">
        <f>IF(上机信息表!K42&lt;&gt;0,上机信息表!K42,"")</f>
        <v/>
      </c>
      <c r="C43" s="58" t="str">
        <f>IF(上机信息表!E42&lt;&gt;0,上机信息表!E42,"")</f>
        <v/>
      </c>
      <c r="D43" s="157" t="str">
        <f>IF(上机信息表!L42&lt;&gt;0,上机信息表!L42,"")</f>
        <v/>
      </c>
      <c r="E43" s="158"/>
      <c r="F43" s="59" t="str">
        <f t="shared" si="15"/>
        <v/>
      </c>
      <c r="G43" s="60" t="str">
        <f>IF(上机信息表!N42&lt;&gt;0,VALUE(上机信息表!N42),"")</f>
        <v/>
      </c>
      <c r="H43" s="61" t="str">
        <f t="shared" si="9"/>
        <v/>
      </c>
      <c r="I43" s="59" t="str">
        <f>IF(B43="","",VALUE(上机信息表!O42))</f>
        <v/>
      </c>
      <c r="J43" s="59" t="str">
        <f t="shared" si="14"/>
        <v/>
      </c>
      <c r="K43" s="61" t="str">
        <f t="shared" si="10"/>
        <v/>
      </c>
      <c r="L43" s="59" t="str">
        <f t="shared" si="11"/>
        <v/>
      </c>
      <c r="M43" s="62" t="str">
        <f t="shared" si="12"/>
        <v/>
      </c>
      <c r="N43" s="63" t="str">
        <f t="shared" si="16"/>
        <v/>
      </c>
      <c r="P43" s="64"/>
      <c r="AA43" t="str">
        <f t="shared" si="6"/>
        <v/>
      </c>
      <c r="AB43" s="18" t="str">
        <f>IF(上机信息表!C42="","",IF(AND(上机信息表!C42=LEFT(上机信息表!K42,FIND("-",上机信息表!K42)-1),ISNUMBER(FIND(上机信息表!L42,上机信息表!K42))),"填写正确","填写错误"))</f>
        <v/>
      </c>
      <c r="AC43" s="66" t="str">
        <f>IF(上机信息表!K42="","",IF(AND(ISNUMBER(FIND("--",上机信息表!K42))=FALSE,LEN(上机信息表!K42)-LEN(SUBSTITUTE(上机信息表!K42,"-",""))=2,OR(RIGHT(上机信息表!K42)="D",RIGHT(上机信息表!K42)="R")),"填写正确","填写错误"))</f>
        <v/>
      </c>
      <c r="AD43" s="18" t="str">
        <f>IF(ISTEXT(上机信息表!M42),"填写正确","")</f>
        <v/>
      </c>
      <c r="AE43" s="66" t="str">
        <f>IF(COUNTIF(上机信息表!$L$2:$L$62,上机信息表!L42)&gt;1,"重复","")</f>
        <v/>
      </c>
    </row>
    <row r="44" spans="1:31">
      <c r="A44" s="56" t="str">
        <f>IF(上机信息表!A43&lt;&gt;0,上机信息表!A43,"")</f>
        <v/>
      </c>
      <c r="B44" s="57" t="str">
        <f>IF(上机信息表!K43&lt;&gt;0,上机信息表!K43,"")</f>
        <v/>
      </c>
      <c r="C44" s="58" t="str">
        <f>IF(上机信息表!E43&lt;&gt;0,上机信息表!E43,"")</f>
        <v/>
      </c>
      <c r="D44" s="157" t="str">
        <f>IF(上机信息表!L43&lt;&gt;0,上机信息表!L43,"")</f>
        <v/>
      </c>
      <c r="E44" s="158"/>
      <c r="F44" s="59" t="str">
        <f t="shared" si="15"/>
        <v/>
      </c>
      <c r="G44" s="60" t="str">
        <f>IF(上机信息表!N43&lt;&gt;0,VALUE(上机信息表!N43),"")</f>
        <v/>
      </c>
      <c r="H44" s="61" t="str">
        <f t="shared" si="9"/>
        <v/>
      </c>
      <c r="I44" s="59" t="str">
        <f>IF(B44="","",VALUE(上机信息表!O43))</f>
        <v/>
      </c>
      <c r="J44" s="59" t="str">
        <f t="shared" si="14"/>
        <v/>
      </c>
      <c r="K44" s="61" t="str">
        <f t="shared" si="10"/>
        <v/>
      </c>
      <c r="L44" s="59" t="str">
        <f t="shared" si="11"/>
        <v/>
      </c>
      <c r="M44" s="62" t="str">
        <f t="shared" si="12"/>
        <v/>
      </c>
      <c r="N44" s="63" t="str">
        <f t="shared" si="16"/>
        <v/>
      </c>
      <c r="P44" s="64"/>
      <c r="AA44" t="str">
        <f t="shared" si="6"/>
        <v/>
      </c>
      <c r="AB44" s="18" t="str">
        <f>IF(上机信息表!C43="","",IF(AND(上机信息表!C43=LEFT(上机信息表!K43,FIND("-",上机信息表!K43)-1),ISNUMBER(FIND(上机信息表!L43,上机信息表!K43))),"填写正确","填写错误"))</f>
        <v/>
      </c>
      <c r="AC44" s="66" t="str">
        <f>IF(上机信息表!K43="","",IF(AND(ISNUMBER(FIND("--",上机信息表!K43))=FALSE,LEN(上机信息表!K43)-LEN(SUBSTITUTE(上机信息表!K43,"-",""))=2,OR(RIGHT(上机信息表!K43)="D",RIGHT(上机信息表!K43)="R")),"填写正确","填写错误"))</f>
        <v/>
      </c>
      <c r="AD44" s="18" t="str">
        <f>IF(ISTEXT(上机信息表!M43),"填写正确","")</f>
        <v/>
      </c>
      <c r="AE44" s="66" t="str">
        <f>IF(COUNTIF(上机信息表!$L$2:$L$62,上机信息表!L43)&gt;1,"重复","")</f>
        <v/>
      </c>
    </row>
    <row r="45" spans="1:31">
      <c r="A45" s="56" t="str">
        <f>IF(上机信息表!A44&lt;&gt;0,上机信息表!A44,"")</f>
        <v/>
      </c>
      <c r="B45" s="57" t="str">
        <f>IF(上机信息表!K44&lt;&gt;0,上机信息表!K44,"")</f>
        <v/>
      </c>
      <c r="C45" s="58" t="str">
        <f>IF(上机信息表!E44&lt;&gt;0,上机信息表!E44,"")</f>
        <v/>
      </c>
      <c r="D45" s="157" t="str">
        <f>IF(上机信息表!L44&lt;&gt;0,上机信息表!L44,"")</f>
        <v/>
      </c>
      <c r="E45" s="158"/>
      <c r="F45" s="59" t="str">
        <f t="shared" si="15"/>
        <v/>
      </c>
      <c r="G45" s="60" t="str">
        <f>IF(上机信息表!N44&lt;&gt;0,VALUE(上机信息表!N44),"")</f>
        <v/>
      </c>
      <c r="H45" s="61" t="str">
        <f t="shared" si="9"/>
        <v/>
      </c>
      <c r="I45" s="59" t="str">
        <f>IF(B45="","",VALUE(上机信息表!O44))</f>
        <v/>
      </c>
      <c r="J45" s="59" t="str">
        <f t="shared" si="14"/>
        <v/>
      </c>
      <c r="K45" s="61" t="str">
        <f t="shared" si="10"/>
        <v/>
      </c>
      <c r="L45" s="59" t="str">
        <f t="shared" si="11"/>
        <v/>
      </c>
      <c r="M45" s="62" t="str">
        <f t="shared" si="12"/>
        <v/>
      </c>
      <c r="N45" s="63" t="str">
        <f t="shared" si="16"/>
        <v/>
      </c>
      <c r="P45" s="64"/>
      <c r="AA45" t="str">
        <f t="shared" si="6"/>
        <v/>
      </c>
      <c r="AB45" s="18" t="str">
        <f>IF(上机信息表!C44="","",IF(AND(上机信息表!C44=LEFT(上机信息表!K44,FIND("-",上机信息表!K44)-1),ISNUMBER(FIND(上机信息表!L44,上机信息表!K44))),"填写正确","填写错误"))</f>
        <v/>
      </c>
      <c r="AC45" s="66" t="str">
        <f>IF(上机信息表!K44="","",IF(AND(ISNUMBER(FIND("--",上机信息表!K44))=FALSE,LEN(上机信息表!K44)-LEN(SUBSTITUTE(上机信息表!K44,"-",""))=2,OR(RIGHT(上机信息表!K44)="D",RIGHT(上机信息表!K44)="R")),"填写正确","填写错误"))</f>
        <v/>
      </c>
      <c r="AD45" s="18" t="str">
        <f>IF(ISTEXT(上机信息表!M44),"填写正确","")</f>
        <v/>
      </c>
      <c r="AE45" s="66" t="str">
        <f>IF(COUNTIF(上机信息表!$L$2:$L$62,上机信息表!L44)&gt;1,"重复","")</f>
        <v/>
      </c>
    </row>
    <row r="46" spans="1:31">
      <c r="A46" s="56" t="str">
        <f>IF(上机信息表!A45&lt;&gt;0,上机信息表!A45,"")</f>
        <v/>
      </c>
      <c r="B46" s="57" t="str">
        <f>IF(上机信息表!K45&lt;&gt;0,上机信息表!K45,"")</f>
        <v/>
      </c>
      <c r="C46" s="58" t="str">
        <f>IF(上机信息表!E45&lt;&gt;0,上机信息表!E45,"")</f>
        <v/>
      </c>
      <c r="D46" s="157" t="str">
        <f>IF(上机信息表!L45&lt;&gt;0,上机信息表!L45,"")</f>
        <v/>
      </c>
      <c r="E46" s="158"/>
      <c r="F46" s="59" t="str">
        <f t="shared" si="15"/>
        <v/>
      </c>
      <c r="G46" s="60" t="str">
        <f>IF(上机信息表!N45&lt;&gt;0,VALUE(上机信息表!N45),"")</f>
        <v/>
      </c>
      <c r="H46" s="61" t="str">
        <f t="shared" si="9"/>
        <v/>
      </c>
      <c r="I46" s="59" t="str">
        <f>IF(B46="","",VALUE(上机信息表!O45))</f>
        <v/>
      </c>
      <c r="J46" s="59" t="str">
        <f t="shared" si="14"/>
        <v/>
      </c>
      <c r="K46" s="61" t="str">
        <f t="shared" si="10"/>
        <v/>
      </c>
      <c r="L46" s="59" t="str">
        <f t="shared" si="11"/>
        <v/>
      </c>
      <c r="M46" s="62" t="str">
        <f t="shared" si="12"/>
        <v/>
      </c>
      <c r="N46" s="63" t="str">
        <f t="shared" si="16"/>
        <v/>
      </c>
      <c r="P46" s="64"/>
      <c r="AA46" t="str">
        <f t="shared" si="6"/>
        <v/>
      </c>
      <c r="AB46" s="18" t="str">
        <f>IF(上机信息表!C45="","",IF(AND(上机信息表!C45=LEFT(上机信息表!K45,FIND("-",上机信息表!K45)-1),ISNUMBER(FIND(上机信息表!L45,上机信息表!K45))),"填写正确","填写错误"))</f>
        <v/>
      </c>
      <c r="AC46" s="66" t="str">
        <f>IF(上机信息表!K45="","",IF(AND(ISNUMBER(FIND("--",上机信息表!K45))=FALSE,LEN(上机信息表!K45)-LEN(SUBSTITUTE(上机信息表!K45,"-",""))=2,OR(RIGHT(上机信息表!K45)="D",RIGHT(上机信息表!K45)="R")),"填写正确","填写错误"))</f>
        <v/>
      </c>
      <c r="AD46" s="18" t="str">
        <f>IF(ISTEXT(上机信息表!M45),"填写正确","")</f>
        <v/>
      </c>
      <c r="AE46" s="66" t="str">
        <f>IF(COUNTIF(上机信息表!$L$2:$L$62,上机信息表!L45)&gt;1,"重复","")</f>
        <v/>
      </c>
    </row>
    <row r="47" spans="1:31">
      <c r="A47" s="56" t="str">
        <f>IF(上机信息表!A46&lt;&gt;0,上机信息表!A46,"")</f>
        <v/>
      </c>
      <c r="B47" s="57" t="str">
        <f>IF(上机信息表!K46&lt;&gt;0,上机信息表!K46,"")</f>
        <v/>
      </c>
      <c r="C47" s="58" t="str">
        <f>IF(上机信息表!E46&lt;&gt;0,上机信息表!E46,"")</f>
        <v/>
      </c>
      <c r="D47" s="157" t="str">
        <f>IF(上机信息表!L46&lt;&gt;0,上机信息表!L46,"")</f>
        <v/>
      </c>
      <c r="E47" s="158"/>
      <c r="F47" s="59" t="str">
        <f t="shared" si="15"/>
        <v/>
      </c>
      <c r="G47" s="60" t="str">
        <f>IF(上机信息表!N46&lt;&gt;0,VALUE(上机信息表!N46),"")</f>
        <v/>
      </c>
      <c r="H47" s="61" t="str">
        <f t="shared" si="9"/>
        <v/>
      </c>
      <c r="I47" s="59" t="str">
        <f>IF(B47="","",VALUE(上机信息表!O46))</f>
        <v/>
      </c>
      <c r="J47" s="59" t="str">
        <f t="shared" si="14"/>
        <v/>
      </c>
      <c r="K47" s="61" t="str">
        <f t="shared" si="10"/>
        <v/>
      </c>
      <c r="L47" s="59" t="str">
        <f t="shared" si="11"/>
        <v/>
      </c>
      <c r="M47" s="62" t="str">
        <f t="shared" si="12"/>
        <v/>
      </c>
      <c r="N47" s="63" t="str">
        <f t="shared" si="16"/>
        <v/>
      </c>
      <c r="P47" s="64"/>
      <c r="AA47" t="str">
        <f t="shared" si="6"/>
        <v/>
      </c>
      <c r="AB47" s="18" t="str">
        <f>IF(上机信息表!C46="","",IF(AND(上机信息表!C46=LEFT(上机信息表!K46,FIND("-",上机信息表!K46)-1),ISNUMBER(FIND(上机信息表!L46,上机信息表!K46))),"填写正确","填写错误"))</f>
        <v/>
      </c>
      <c r="AC47" s="66" t="str">
        <f>IF(上机信息表!K46="","",IF(AND(ISNUMBER(FIND("--",上机信息表!K46))=FALSE,LEN(上机信息表!K46)-LEN(SUBSTITUTE(上机信息表!K46,"-",""))=2,OR(RIGHT(上机信息表!K46)="D",RIGHT(上机信息表!K46)="R")),"填写正确","填写错误"))</f>
        <v/>
      </c>
      <c r="AD47" s="18" t="str">
        <f>IF(ISTEXT(上机信息表!M46),"填写正确","")</f>
        <v/>
      </c>
      <c r="AE47" s="66" t="str">
        <f>IF(COUNTIF(上机信息表!$L$2:$L$62,上机信息表!L46)&gt;1,"重复","")</f>
        <v/>
      </c>
    </row>
    <row r="48" spans="1:31">
      <c r="A48" s="56" t="str">
        <f>IF(上机信息表!A47&lt;&gt;0,上机信息表!A47,"")</f>
        <v/>
      </c>
      <c r="B48" s="57" t="str">
        <f>IF(上机信息表!K47&lt;&gt;0,上机信息表!K47,"")</f>
        <v/>
      </c>
      <c r="C48" s="58" t="str">
        <f>IF(上机信息表!E47&lt;&gt;0,上机信息表!E47,"")</f>
        <v/>
      </c>
      <c r="D48" s="157" t="str">
        <f>IF(上机信息表!L47&lt;&gt;0,上机信息表!L47,"")</f>
        <v/>
      </c>
      <c r="E48" s="158"/>
      <c r="F48" s="59" t="str">
        <f t="shared" si="15"/>
        <v/>
      </c>
      <c r="G48" s="60" t="str">
        <f>IF(上机信息表!N47&lt;&gt;0,VALUE(上机信息表!N47),"")</f>
        <v/>
      </c>
      <c r="H48" s="61" t="str">
        <f t="shared" si="9"/>
        <v/>
      </c>
      <c r="I48" s="59" t="str">
        <f>IF(B48="","",VALUE(上机信息表!O47))</f>
        <v/>
      </c>
      <c r="J48" s="59" t="str">
        <f t="shared" si="14"/>
        <v/>
      </c>
      <c r="K48" s="61" t="str">
        <f t="shared" si="10"/>
        <v/>
      </c>
      <c r="L48" s="59" t="str">
        <f t="shared" si="11"/>
        <v/>
      </c>
      <c r="M48" s="62" t="str">
        <f t="shared" si="12"/>
        <v/>
      </c>
      <c r="N48" s="63" t="str">
        <f t="shared" si="16"/>
        <v/>
      </c>
      <c r="P48" s="64"/>
      <c r="AA48" t="str">
        <f t="shared" si="6"/>
        <v/>
      </c>
      <c r="AB48" s="18" t="str">
        <f>IF(上机信息表!C47="","",IF(AND(上机信息表!C47=LEFT(上机信息表!K47,FIND("-",上机信息表!K47)-1),ISNUMBER(FIND(上机信息表!L47,上机信息表!K47))),"填写正确","填写错误"))</f>
        <v/>
      </c>
      <c r="AC48" s="66" t="str">
        <f>IF(上机信息表!K47="","",IF(AND(ISNUMBER(FIND("--",上机信息表!K47))=FALSE,LEN(上机信息表!K47)-LEN(SUBSTITUTE(上机信息表!K47,"-",""))=2,OR(RIGHT(上机信息表!K47)="D",RIGHT(上机信息表!K47)="R")),"填写正确","填写错误"))</f>
        <v/>
      </c>
      <c r="AD48" s="18" t="str">
        <f>IF(ISTEXT(上机信息表!M47),"填写正确","")</f>
        <v/>
      </c>
      <c r="AE48" s="66" t="str">
        <f>IF(COUNTIF(上机信息表!$L$2:$L$62,上机信息表!L47)&gt;1,"重复","")</f>
        <v/>
      </c>
    </row>
    <row r="49" spans="1:31">
      <c r="A49" s="56" t="str">
        <f>IF(上机信息表!A48&lt;&gt;0,上机信息表!A48,"")</f>
        <v/>
      </c>
      <c r="B49" s="57" t="str">
        <f>IF(上机信息表!K48&lt;&gt;0,上机信息表!K48,"")</f>
        <v/>
      </c>
      <c r="C49" s="58" t="str">
        <f>IF(上机信息表!E48&lt;&gt;0,上机信息表!E48,"")</f>
        <v/>
      </c>
      <c r="D49" s="157" t="str">
        <f>IF(上机信息表!L48&lt;&gt;0,上机信息表!L48,"")</f>
        <v/>
      </c>
      <c r="E49" s="158"/>
      <c r="F49" s="59" t="str">
        <f t="shared" si="15"/>
        <v/>
      </c>
      <c r="G49" s="60" t="str">
        <f>IF(上机信息表!N48&lt;&gt;0,VALUE(上机信息表!N48),"")</f>
        <v/>
      </c>
      <c r="H49" s="61" t="str">
        <f t="shared" si="9"/>
        <v/>
      </c>
      <c r="I49" s="59" t="str">
        <f>IF(B49="","",VALUE(上机信息表!O48))</f>
        <v/>
      </c>
      <c r="J49" s="59" t="str">
        <f t="shared" si="14"/>
        <v/>
      </c>
      <c r="K49" s="61" t="str">
        <f t="shared" si="10"/>
        <v/>
      </c>
      <c r="L49" s="59" t="str">
        <f t="shared" si="11"/>
        <v/>
      </c>
      <c r="M49" s="62" t="str">
        <f t="shared" si="12"/>
        <v/>
      </c>
      <c r="N49" s="63" t="str">
        <f t="shared" si="16"/>
        <v/>
      </c>
      <c r="P49" s="64"/>
      <c r="AA49" t="str">
        <f t="shared" si="6"/>
        <v/>
      </c>
      <c r="AB49" s="18" t="str">
        <f>IF(上机信息表!C48="","",IF(AND(上机信息表!C48=LEFT(上机信息表!K48,FIND("-",上机信息表!K48)-1),ISNUMBER(FIND(上机信息表!L48,上机信息表!K48))),"填写正确","填写错误"))</f>
        <v/>
      </c>
      <c r="AC49" s="66" t="str">
        <f>IF(上机信息表!K48="","",IF(AND(ISNUMBER(FIND("--",上机信息表!K48))=FALSE,LEN(上机信息表!K48)-LEN(SUBSTITUTE(上机信息表!K48,"-",""))=2,OR(RIGHT(上机信息表!K48)="D",RIGHT(上机信息表!K48)="R")),"填写正确","填写错误"))</f>
        <v/>
      </c>
      <c r="AD49" s="18" t="str">
        <f>IF(ISTEXT(上机信息表!M48),"填写正确","")</f>
        <v/>
      </c>
      <c r="AE49" s="66" t="str">
        <f>IF(COUNTIF(上机信息表!$L$2:$L$62,上机信息表!L48)&gt;1,"重复","")</f>
        <v/>
      </c>
    </row>
    <row r="50" spans="1:31" ht="14.15" customHeight="1">
      <c r="A50" s="56" t="str">
        <f>IF(上机信息表!A49&lt;&gt;0,上机信息表!A49,"")</f>
        <v/>
      </c>
      <c r="B50" s="57" t="str">
        <f>IF(上机信息表!K49&lt;&gt;0,上机信息表!K49,"")</f>
        <v/>
      </c>
      <c r="C50" s="58" t="str">
        <f>IF(上机信息表!E49&lt;&gt;0,上机信息表!E49,"")</f>
        <v/>
      </c>
      <c r="D50" s="157" t="str">
        <f>IF(上机信息表!L49&lt;&gt;0,上机信息表!L49,"")</f>
        <v/>
      </c>
      <c r="E50" s="158"/>
      <c r="F50" s="59" t="str">
        <f t="shared" si="15"/>
        <v/>
      </c>
      <c r="G50" s="60" t="str">
        <f>IF(上机信息表!N49&lt;&gt;0,VALUE(上机信息表!N49),"")</f>
        <v/>
      </c>
      <c r="H50" s="61" t="str">
        <f t="shared" si="9"/>
        <v/>
      </c>
      <c r="I50" s="59" t="str">
        <f>IF(B50="","",VALUE(上机信息表!O49))</f>
        <v/>
      </c>
      <c r="J50" s="59" t="str">
        <f t="shared" si="14"/>
        <v/>
      </c>
      <c r="K50" s="61" t="str">
        <f t="shared" si="10"/>
        <v/>
      </c>
      <c r="L50" s="59" t="str">
        <f t="shared" si="11"/>
        <v/>
      </c>
      <c r="M50" s="62" t="str">
        <f t="shared" si="12"/>
        <v/>
      </c>
      <c r="N50" s="63" t="str">
        <f t="shared" si="16"/>
        <v/>
      </c>
      <c r="P50" s="64"/>
      <c r="AA50" t="str">
        <f t="shared" si="6"/>
        <v/>
      </c>
      <c r="AB50" s="18" t="str">
        <f>IF(上机信息表!C49="","",IF(AND(上机信息表!C49=LEFT(上机信息表!K49,FIND("-",上机信息表!K49)-1),ISNUMBER(FIND(上机信息表!L49,上机信息表!K49))),"填写正确","填写错误"))</f>
        <v/>
      </c>
      <c r="AC50" s="66" t="str">
        <f>IF(上机信息表!K49="","",IF(AND(ISNUMBER(FIND("--",上机信息表!K49))=FALSE,LEN(上机信息表!K49)-LEN(SUBSTITUTE(上机信息表!K49,"-",""))=2,OR(RIGHT(上机信息表!K49)="D",RIGHT(上机信息表!K49)="R")),"填写正确","填写错误"))</f>
        <v/>
      </c>
      <c r="AD50" s="18" t="str">
        <f>IF(ISTEXT(上机信息表!M49),"填写正确","")</f>
        <v/>
      </c>
      <c r="AE50" s="66" t="str">
        <f>IF(COUNTIF(上机信息表!$L$2:$L$62,上机信息表!L49)&gt;1,"重复","")</f>
        <v/>
      </c>
    </row>
    <row r="51" spans="1:31">
      <c r="A51" s="56" t="str">
        <f>IF(上机信息表!A50&lt;&gt;0,上机信息表!A50,"")</f>
        <v/>
      </c>
      <c r="B51" s="57" t="str">
        <f>IF(上机信息表!K50&lt;&gt;0,上机信息表!K50,"")</f>
        <v/>
      </c>
      <c r="C51" s="58" t="str">
        <f>IF(上机信息表!E50&lt;&gt;0,上机信息表!E50,"")</f>
        <v/>
      </c>
      <c r="D51" s="157" t="str">
        <f>IF(上机信息表!L50&lt;&gt;0,上机信息表!L50,"")</f>
        <v/>
      </c>
      <c r="E51" s="158"/>
      <c r="F51" s="59" t="str">
        <f t="shared" si="15"/>
        <v/>
      </c>
      <c r="G51" s="60" t="str">
        <f>IF(上机信息表!N50&lt;&gt;0,VALUE(上机信息表!N50),"")</f>
        <v/>
      </c>
      <c r="H51" s="61" t="str">
        <f t="shared" si="9"/>
        <v/>
      </c>
      <c r="I51" s="59" t="str">
        <f>IF(B51="","",VALUE(上机信息表!O50))</f>
        <v/>
      </c>
      <c r="J51" s="59" t="str">
        <f t="shared" si="14"/>
        <v/>
      </c>
      <c r="K51" s="61" t="str">
        <f t="shared" si="10"/>
        <v/>
      </c>
      <c r="L51" s="59" t="str">
        <f t="shared" si="11"/>
        <v/>
      </c>
      <c r="M51" s="62" t="str">
        <f t="shared" si="12"/>
        <v/>
      </c>
      <c r="N51" s="63" t="str">
        <f t="shared" si="16"/>
        <v/>
      </c>
      <c r="P51" s="64"/>
      <c r="AA51" t="str">
        <f t="shared" si="6"/>
        <v/>
      </c>
      <c r="AB51" s="18" t="str">
        <f>IF(上机信息表!C50="","",IF(AND(上机信息表!C50=LEFT(上机信息表!K50,FIND("-",上机信息表!K50)-1),ISNUMBER(FIND(上机信息表!L50,上机信息表!K50))),"填写正确","填写错误"))</f>
        <v/>
      </c>
      <c r="AC51" s="66" t="str">
        <f>IF(上机信息表!K50="","",IF(AND(ISNUMBER(FIND("--",上机信息表!K50))=FALSE,LEN(上机信息表!K50)-LEN(SUBSTITUTE(上机信息表!K50,"-",""))=2,OR(RIGHT(上机信息表!K50)="D",RIGHT(上机信息表!K50)="R")),"填写正确","填写错误"))</f>
        <v/>
      </c>
      <c r="AD51" s="18" t="str">
        <f>IF(ISTEXT(上机信息表!M50),"填写正确","")</f>
        <v/>
      </c>
      <c r="AE51" s="66" t="str">
        <f>IF(COUNTIF(上机信息表!$L$2:$L$62,上机信息表!L50)&gt;1,"重复","")</f>
        <v/>
      </c>
    </row>
    <row r="52" spans="1:31">
      <c r="A52" s="56" t="str">
        <f>IF(上机信息表!A51&lt;&gt;0,上机信息表!A51,"")</f>
        <v/>
      </c>
      <c r="B52" s="57" t="str">
        <f>IF(上机信息表!K51&lt;&gt;0,上机信息表!K51,"")</f>
        <v/>
      </c>
      <c r="C52" s="58" t="str">
        <f>IF(上机信息表!E51&lt;&gt;0,上机信息表!E51,"")</f>
        <v/>
      </c>
      <c r="D52" s="157" t="str">
        <f>IF(上机信息表!L51&lt;&gt;0,上机信息表!L51,"")</f>
        <v/>
      </c>
      <c r="E52" s="158"/>
      <c r="F52" s="59" t="str">
        <f t="shared" si="15"/>
        <v/>
      </c>
      <c r="G52" s="60" t="str">
        <f>IF(上机信息表!N51&lt;&gt;0,VALUE(上机信息表!N51),"")</f>
        <v/>
      </c>
      <c r="H52" s="61" t="str">
        <f t="shared" si="9"/>
        <v/>
      </c>
      <c r="I52" s="59" t="str">
        <f>IF(B52="","",VALUE(上机信息表!O51))</f>
        <v/>
      </c>
      <c r="J52" s="59" t="str">
        <f t="shared" si="14"/>
        <v/>
      </c>
      <c r="K52" s="61" t="str">
        <f t="shared" si="10"/>
        <v/>
      </c>
      <c r="L52" s="59" t="str">
        <f t="shared" si="11"/>
        <v/>
      </c>
      <c r="M52" s="62" t="str">
        <f t="shared" si="12"/>
        <v/>
      </c>
      <c r="N52" s="63" t="str">
        <f t="shared" si="16"/>
        <v/>
      </c>
      <c r="P52" s="64"/>
      <c r="AA52" t="str">
        <f t="shared" si="6"/>
        <v/>
      </c>
      <c r="AB52" s="18" t="str">
        <f>IF(上机信息表!C51="","",IF(AND(上机信息表!C51=LEFT(上机信息表!K51,FIND("-",上机信息表!K51)-1),ISNUMBER(FIND(上机信息表!L51,上机信息表!K51))),"填写正确","填写错误"))</f>
        <v/>
      </c>
      <c r="AC52" s="66" t="str">
        <f>IF(上机信息表!K51="","",IF(AND(ISNUMBER(FIND("--",上机信息表!K51))=FALSE,LEN(上机信息表!K51)-LEN(SUBSTITUTE(上机信息表!K51,"-",""))=2,OR(RIGHT(上机信息表!K51)="D",RIGHT(上机信息表!K51)="R")),"填写正确","填写错误"))</f>
        <v/>
      </c>
      <c r="AD52" s="18" t="str">
        <f>IF(ISTEXT(上机信息表!M51),"填写正确","")</f>
        <v/>
      </c>
      <c r="AE52" s="66" t="str">
        <f>IF(COUNTIF(上机信息表!$L$2:$L$62,上机信息表!L51)&gt;1,"重复","")</f>
        <v/>
      </c>
    </row>
    <row r="53" spans="1:31">
      <c r="A53" s="56" t="str">
        <f>IF(上机信息表!A52&lt;&gt;0,上机信息表!A52,"")</f>
        <v/>
      </c>
      <c r="B53" s="57" t="str">
        <f>IF(上机信息表!K52&lt;&gt;0,上机信息表!K52,"")</f>
        <v/>
      </c>
      <c r="C53" s="58" t="str">
        <f>IF(上机信息表!E52&lt;&gt;0,上机信息表!E52,"")</f>
        <v/>
      </c>
      <c r="D53" s="157" t="str">
        <f>IF(上机信息表!L52&lt;&gt;0,上机信息表!L52,"")</f>
        <v/>
      </c>
      <c r="E53" s="158"/>
      <c r="F53" s="59" t="str">
        <f t="shared" si="15"/>
        <v/>
      </c>
      <c r="G53" s="60" t="str">
        <f>IF(上机信息表!N52&lt;&gt;0,VALUE(上机信息表!N52),"")</f>
        <v/>
      </c>
      <c r="H53" s="61" t="str">
        <f t="shared" si="9"/>
        <v/>
      </c>
      <c r="I53" s="59" t="str">
        <f>IF(B53="","",VALUE(上机信息表!O52))</f>
        <v/>
      </c>
      <c r="J53" s="59" t="str">
        <f t="shared" si="14"/>
        <v/>
      </c>
      <c r="K53" s="61" t="str">
        <f t="shared" si="10"/>
        <v/>
      </c>
      <c r="L53" s="59" t="str">
        <f t="shared" si="11"/>
        <v/>
      </c>
      <c r="M53" s="62" t="str">
        <f t="shared" si="12"/>
        <v/>
      </c>
      <c r="N53" s="63" t="str">
        <f t="shared" si="16"/>
        <v/>
      </c>
      <c r="P53" s="64"/>
      <c r="AA53" t="str">
        <f t="shared" si="6"/>
        <v/>
      </c>
      <c r="AB53" s="18" t="str">
        <f>IF(上机信息表!C52="","",IF(AND(上机信息表!C52=LEFT(上机信息表!K52,FIND("-",上机信息表!K52)-1),ISNUMBER(FIND(上机信息表!L52,上机信息表!K52))),"填写正确","填写错误"))</f>
        <v/>
      </c>
      <c r="AC53" s="66" t="str">
        <f>IF(上机信息表!K52="","",IF(AND(ISNUMBER(FIND("--",上机信息表!K52))=FALSE,LEN(上机信息表!K52)-LEN(SUBSTITUTE(上机信息表!K52,"-",""))=2,OR(RIGHT(上机信息表!K52)="D",RIGHT(上机信息表!K52)="R")),"填写正确","填写错误"))</f>
        <v/>
      </c>
      <c r="AD53" s="18" t="str">
        <f>IF(ISTEXT(上机信息表!M52),"填写正确","")</f>
        <v/>
      </c>
      <c r="AE53" s="66" t="str">
        <f>IF(COUNTIF(上机信息表!$L$2:$L$62,上机信息表!L52)&gt;1,"重复","")</f>
        <v/>
      </c>
    </row>
    <row r="54" spans="1:31">
      <c r="A54" s="56" t="str">
        <f>IF(上机信息表!A53&lt;&gt;0,上机信息表!A53,"")</f>
        <v/>
      </c>
      <c r="B54" s="57" t="str">
        <f>IF(上机信息表!K53&lt;&gt;0,上机信息表!K53,"")</f>
        <v/>
      </c>
      <c r="C54" s="58" t="str">
        <f>IF(上机信息表!E53&lt;&gt;0,上机信息表!E53,"")</f>
        <v/>
      </c>
      <c r="D54" s="157" t="str">
        <f>IF(上机信息表!L53&lt;&gt;0,上机信息表!L53,"")</f>
        <v/>
      </c>
      <c r="E54" s="158"/>
      <c r="F54" s="59" t="str">
        <f t="shared" si="15"/>
        <v/>
      </c>
      <c r="G54" s="60" t="str">
        <f>IF(上机信息表!N53&lt;&gt;0,VALUE(上机信息表!N53),"")</f>
        <v/>
      </c>
      <c r="H54" s="61" t="str">
        <f t="shared" si="9"/>
        <v/>
      </c>
      <c r="I54" s="59" t="str">
        <f>IF(B54="","",VALUE(上机信息表!O53))</f>
        <v/>
      </c>
      <c r="J54" s="59" t="str">
        <f t="shared" si="14"/>
        <v/>
      </c>
      <c r="K54" s="61" t="str">
        <f t="shared" si="10"/>
        <v/>
      </c>
      <c r="L54" s="59" t="str">
        <f t="shared" si="11"/>
        <v/>
      </c>
      <c r="M54" s="62" t="str">
        <f t="shared" si="12"/>
        <v/>
      </c>
      <c r="N54" s="63" t="str">
        <f t="shared" si="16"/>
        <v/>
      </c>
      <c r="P54" s="64"/>
      <c r="AA54" t="str">
        <f t="shared" si="6"/>
        <v/>
      </c>
      <c r="AB54" s="18" t="str">
        <f>IF(上机信息表!C53="","",IF(AND(上机信息表!C53=LEFT(上机信息表!K53,FIND("-",上机信息表!K53)-1),ISNUMBER(FIND(上机信息表!L53,上机信息表!K53))),"填写正确","填写错误"))</f>
        <v/>
      </c>
      <c r="AC54" s="66" t="str">
        <f>IF(上机信息表!K53="","",IF(AND(ISNUMBER(FIND("--",上机信息表!K53))=FALSE,LEN(上机信息表!K53)-LEN(SUBSTITUTE(上机信息表!K53,"-",""))=2,OR(RIGHT(上机信息表!K53)="D",RIGHT(上机信息表!K53)="R")),"填写正确","填写错误"))</f>
        <v/>
      </c>
      <c r="AD54" s="18" t="str">
        <f>IF(ISTEXT(上机信息表!M53),"填写正确","")</f>
        <v/>
      </c>
      <c r="AE54" s="66" t="str">
        <f>IF(COUNTIF(上机信息表!$L$2:$L$62,上机信息表!L53)&gt;1,"重复","")</f>
        <v/>
      </c>
    </row>
    <row r="55" spans="1:31">
      <c r="A55" s="56" t="str">
        <f>IF(上机信息表!A54&lt;&gt;0,上机信息表!A54,"")</f>
        <v/>
      </c>
      <c r="B55" s="57" t="str">
        <f>IF(上机信息表!K54&lt;&gt;0,上机信息表!K54,"")</f>
        <v/>
      </c>
      <c r="C55" s="58" t="str">
        <f>IF(上机信息表!E54&lt;&gt;0,上机信息表!E54,"")</f>
        <v/>
      </c>
      <c r="D55" s="157" t="str">
        <f>IF(上机信息表!L54&lt;&gt;0,上机信息表!L54,"")</f>
        <v/>
      </c>
      <c r="E55" s="158"/>
      <c r="F55" s="59" t="str">
        <f t="shared" si="15"/>
        <v/>
      </c>
      <c r="G55" s="60" t="str">
        <f>IF(上机信息表!N54&lt;&gt;0,VALUE(上机信息表!N54),"")</f>
        <v/>
      </c>
      <c r="H55" s="61" t="str">
        <f t="shared" si="9"/>
        <v/>
      </c>
      <c r="I55" s="59" t="str">
        <f>IF(B55="","",VALUE(上机信息表!O54))</f>
        <v/>
      </c>
      <c r="J55" s="59" t="str">
        <f t="shared" si="14"/>
        <v/>
      </c>
      <c r="K55" s="61" t="str">
        <f t="shared" si="10"/>
        <v/>
      </c>
      <c r="L55" s="59" t="str">
        <f t="shared" si="11"/>
        <v/>
      </c>
      <c r="M55" s="62" t="str">
        <f t="shared" si="12"/>
        <v/>
      </c>
      <c r="N55" s="63" t="str">
        <f t="shared" si="16"/>
        <v/>
      </c>
      <c r="P55" s="64"/>
      <c r="AA55" t="str">
        <f t="shared" si="6"/>
        <v/>
      </c>
      <c r="AB55" s="18" t="str">
        <f>IF(上机信息表!C54="","",IF(AND(上机信息表!C54=LEFT(上机信息表!K54,FIND("-",上机信息表!K54)-1),ISNUMBER(FIND(上机信息表!L54,上机信息表!K54))),"填写正确","填写错误"))</f>
        <v/>
      </c>
      <c r="AC55" s="66" t="str">
        <f>IF(上机信息表!K54="","",IF(AND(ISNUMBER(FIND("--",上机信息表!K54))=FALSE,LEN(上机信息表!K54)-LEN(SUBSTITUTE(上机信息表!K54,"-",""))=2,OR(RIGHT(上机信息表!K54)="D",RIGHT(上机信息表!K54)="R")),"填写正确","填写错误"))</f>
        <v/>
      </c>
      <c r="AD55" s="18" t="str">
        <f>IF(ISTEXT(上机信息表!M54),"填写正确","")</f>
        <v/>
      </c>
      <c r="AE55" s="66" t="str">
        <f>IF(COUNTIF(上机信息表!$L$2:$L$62,上机信息表!L54)&gt;1,"重复","")</f>
        <v/>
      </c>
    </row>
    <row r="56" spans="1:31">
      <c r="A56" s="56" t="str">
        <f>IF(上机信息表!A55&lt;&gt;0,上机信息表!A55,"")</f>
        <v/>
      </c>
      <c r="B56" s="57" t="str">
        <f>IF(上机信息表!K55&lt;&gt;0,上机信息表!K55,"")</f>
        <v/>
      </c>
      <c r="C56" s="58" t="str">
        <f>IF(上机信息表!E55&lt;&gt;0,上机信息表!E55,"")</f>
        <v/>
      </c>
      <c r="D56" s="157" t="str">
        <f>IF(上机信息表!L55&lt;&gt;0,上机信息表!L55,"")</f>
        <v/>
      </c>
      <c r="E56" s="158"/>
      <c r="F56" s="59" t="str">
        <f t="shared" si="15"/>
        <v/>
      </c>
      <c r="G56" s="60" t="str">
        <f>IF(上机信息表!N55&lt;&gt;0,VALUE(上机信息表!N55),"")</f>
        <v/>
      </c>
      <c r="H56" s="61" t="str">
        <f t="shared" si="9"/>
        <v/>
      </c>
      <c r="I56" s="59" t="str">
        <f>IF(B56="","",VALUE(上机信息表!O55))</f>
        <v/>
      </c>
      <c r="J56" s="59" t="str">
        <f t="shared" si="14"/>
        <v/>
      </c>
      <c r="K56" s="61" t="str">
        <f t="shared" si="10"/>
        <v/>
      </c>
      <c r="L56" s="59" t="str">
        <f t="shared" si="11"/>
        <v/>
      </c>
      <c r="M56" s="62" t="str">
        <f t="shared" si="12"/>
        <v/>
      </c>
      <c r="N56" s="63" t="str">
        <f t="shared" si="16"/>
        <v/>
      </c>
      <c r="P56" s="64"/>
      <c r="AA56" t="str">
        <f t="shared" si="6"/>
        <v/>
      </c>
      <c r="AB56" s="18" t="str">
        <f>IF(上机信息表!C55="","",IF(AND(上机信息表!C55=LEFT(上机信息表!K55,FIND("-",上机信息表!K55)-1),ISNUMBER(FIND(上机信息表!L55,上机信息表!K55))),"填写正确","填写错误"))</f>
        <v/>
      </c>
      <c r="AC56" s="66" t="str">
        <f>IF(上机信息表!K55="","",IF(AND(ISNUMBER(FIND("--",上机信息表!K55))=FALSE,LEN(上机信息表!K55)-LEN(SUBSTITUTE(上机信息表!K55,"-",""))=2,OR(RIGHT(上机信息表!K55)="D",RIGHT(上机信息表!K55)="R")),"填写正确","填写错误"))</f>
        <v/>
      </c>
      <c r="AD56" s="18" t="str">
        <f>IF(ISTEXT(上机信息表!M55),"填写正确","")</f>
        <v/>
      </c>
      <c r="AE56" s="66" t="str">
        <f>IF(COUNTIF(上机信息表!$L$2:$L$62,上机信息表!L55)&gt;1,"重复","")</f>
        <v/>
      </c>
    </row>
    <row r="57" spans="1:31">
      <c r="A57" s="56" t="str">
        <f>IF(上机信息表!A56&lt;&gt;0,上机信息表!A56,"")</f>
        <v/>
      </c>
      <c r="B57" s="57" t="str">
        <f>IF(上机信息表!K56&lt;&gt;0,上机信息表!K56,"")</f>
        <v/>
      </c>
      <c r="C57" s="58" t="str">
        <f>IF(上机信息表!E56&lt;&gt;0,上机信息表!E56,"")</f>
        <v/>
      </c>
      <c r="D57" s="157" t="str">
        <f>IF(上机信息表!L56&lt;&gt;0,上机信息表!L56,"")</f>
        <v/>
      </c>
      <c r="E57" s="158"/>
      <c r="F57" s="59" t="str">
        <f t="shared" si="15"/>
        <v/>
      </c>
      <c r="G57" s="60" t="str">
        <f>IF(上机信息表!N56&lt;&gt;0,VALUE(上机信息表!N56),"")</f>
        <v/>
      </c>
      <c r="H57" s="61" t="str">
        <f t="shared" si="9"/>
        <v/>
      </c>
      <c r="I57" s="59" t="str">
        <f>IF(B57="","",VALUE(上机信息表!O56))</f>
        <v/>
      </c>
      <c r="J57" s="59" t="str">
        <f t="shared" si="14"/>
        <v/>
      </c>
      <c r="K57" s="61" t="str">
        <f t="shared" si="10"/>
        <v/>
      </c>
      <c r="L57" s="59" t="str">
        <f t="shared" si="11"/>
        <v/>
      </c>
      <c r="M57" s="62" t="str">
        <f t="shared" si="12"/>
        <v/>
      </c>
      <c r="N57" s="63" t="str">
        <f t="shared" si="16"/>
        <v/>
      </c>
      <c r="P57" s="64"/>
      <c r="AA57" t="str">
        <f t="shared" si="6"/>
        <v/>
      </c>
      <c r="AB57" s="18" t="str">
        <f>IF(上机信息表!C56="","",IF(AND(上机信息表!C56=LEFT(上机信息表!K56,FIND("-",上机信息表!K56)-1),ISNUMBER(FIND(上机信息表!L56,上机信息表!K56))),"填写正确","填写错误"))</f>
        <v/>
      </c>
      <c r="AC57" s="66" t="str">
        <f>IF(上机信息表!K56="","",IF(AND(ISNUMBER(FIND("--",上机信息表!K56))=FALSE,LEN(上机信息表!K56)-LEN(SUBSTITUTE(上机信息表!K56,"-",""))=2,OR(RIGHT(上机信息表!K56)="D",RIGHT(上机信息表!K56)="R")),"填写正确","填写错误"))</f>
        <v/>
      </c>
      <c r="AD57" s="18" t="str">
        <f>IF(ISTEXT(上机信息表!M56),"填写正确","")</f>
        <v/>
      </c>
      <c r="AE57" s="66" t="str">
        <f>IF(COUNTIF(上机信息表!$L$2:$L$62,上机信息表!L56)&gt;1,"重复","")</f>
        <v/>
      </c>
    </row>
    <row r="58" spans="1:31">
      <c r="A58" s="56" t="str">
        <f>IF(上机信息表!A57&lt;&gt;0,上机信息表!A57,"")</f>
        <v/>
      </c>
      <c r="B58" s="57" t="str">
        <f>IF(上机信息表!K57&lt;&gt;0,上机信息表!K57,"")</f>
        <v/>
      </c>
      <c r="C58" s="58" t="str">
        <f>IF(上机信息表!E57&lt;&gt;0,上机信息表!E57,"")</f>
        <v/>
      </c>
      <c r="D58" s="157" t="str">
        <f>IF(上机信息表!L57&lt;&gt;0,上机信息表!L57,"")</f>
        <v/>
      </c>
      <c r="E58" s="158"/>
      <c r="F58" s="59" t="str">
        <f t="shared" si="15"/>
        <v/>
      </c>
      <c r="G58" s="60" t="str">
        <f>IF(上机信息表!N57&lt;&gt;0,VALUE(上机信息表!N57),"")</f>
        <v/>
      </c>
      <c r="H58" s="61" t="str">
        <f t="shared" si="9"/>
        <v/>
      </c>
      <c r="I58" s="59" t="str">
        <f>IF(B58="","",VALUE(上机信息表!O57))</f>
        <v/>
      </c>
      <c r="J58" s="59" t="str">
        <f t="shared" si="14"/>
        <v/>
      </c>
      <c r="K58" s="61" t="str">
        <f t="shared" si="10"/>
        <v/>
      </c>
      <c r="L58" s="59" t="str">
        <f t="shared" si="11"/>
        <v/>
      </c>
      <c r="M58" s="62" t="str">
        <f t="shared" si="12"/>
        <v/>
      </c>
      <c r="N58" s="63" t="str">
        <f t="shared" si="16"/>
        <v/>
      </c>
      <c r="P58" s="64"/>
      <c r="AA58" t="str">
        <f t="shared" si="6"/>
        <v/>
      </c>
      <c r="AB58" s="18" t="str">
        <f>IF(上机信息表!C57="","",IF(AND(上机信息表!C57=LEFT(上机信息表!K57,FIND("-",上机信息表!K57)-1),ISNUMBER(FIND(上机信息表!L57,上机信息表!K57))),"填写正确","填写错误"))</f>
        <v/>
      </c>
      <c r="AC58" s="66" t="str">
        <f>IF(上机信息表!K57="","",IF(AND(ISNUMBER(FIND("--",上机信息表!K57))=FALSE,LEN(上机信息表!K57)-LEN(SUBSTITUTE(上机信息表!K57,"-",""))=2,OR(RIGHT(上机信息表!K57)="D",RIGHT(上机信息表!K57)="R")),"填写正确","填写错误"))</f>
        <v/>
      </c>
      <c r="AD58" s="18" t="str">
        <f>IF(ISTEXT(上机信息表!M57),"填写正确","")</f>
        <v/>
      </c>
      <c r="AE58" s="66" t="str">
        <f>IF(COUNTIF(上机信息表!$L$2:$L$62,上机信息表!L57)&gt;1,"重复","")</f>
        <v/>
      </c>
    </row>
    <row r="59" spans="1:31">
      <c r="A59" s="56" t="str">
        <f>IF(上机信息表!A58&lt;&gt;0,上机信息表!A58,"")</f>
        <v/>
      </c>
      <c r="B59" s="57" t="str">
        <f>IF(上机信息表!K58&lt;&gt;0,上机信息表!K58,"")</f>
        <v/>
      </c>
      <c r="C59" s="58" t="str">
        <f>IF(上机信息表!E58&lt;&gt;0,上机信息表!E58,"")</f>
        <v/>
      </c>
      <c r="D59" s="157" t="str">
        <f>IF(上机信息表!L58&lt;&gt;0,上机信息表!L58,"")</f>
        <v/>
      </c>
      <c r="E59" s="158"/>
      <c r="F59" s="59" t="str">
        <f t="shared" si="15"/>
        <v/>
      </c>
      <c r="G59" s="60" t="str">
        <f>IF(上机信息表!N58&lt;&gt;0,VALUE(上机信息表!N58),"")</f>
        <v/>
      </c>
      <c r="H59" s="61" t="str">
        <f t="shared" si="9"/>
        <v/>
      </c>
      <c r="I59" s="59" t="str">
        <f>IF(B59="","",VALUE(上机信息表!O58))</f>
        <v/>
      </c>
      <c r="J59" s="59" t="str">
        <f t="shared" si="14"/>
        <v/>
      </c>
      <c r="K59" s="61" t="str">
        <f t="shared" si="10"/>
        <v/>
      </c>
      <c r="L59" s="59" t="str">
        <f t="shared" si="11"/>
        <v/>
      </c>
      <c r="M59" s="62" t="str">
        <f t="shared" si="12"/>
        <v/>
      </c>
      <c r="N59" s="63" t="str">
        <f t="shared" si="16"/>
        <v/>
      </c>
      <c r="P59" s="64"/>
      <c r="AA59" t="str">
        <f t="shared" si="6"/>
        <v/>
      </c>
      <c r="AB59" s="18" t="str">
        <f>IF(上机信息表!C58="","",IF(AND(上机信息表!C58=LEFT(上机信息表!K58,FIND("-",上机信息表!K58)-1),ISNUMBER(FIND(上机信息表!L58,上机信息表!K58))),"填写正确","填写错误"))</f>
        <v/>
      </c>
      <c r="AC59" s="66" t="str">
        <f>IF(上机信息表!K58="","",IF(AND(ISNUMBER(FIND("--",上机信息表!K58))=FALSE,LEN(上机信息表!K58)-LEN(SUBSTITUTE(上机信息表!K58,"-",""))=2,OR(RIGHT(上机信息表!K58)="D",RIGHT(上机信息表!K58)="R")),"填写正确","填写错误"))</f>
        <v/>
      </c>
      <c r="AD59" s="18" t="str">
        <f>IF(ISTEXT(上机信息表!M58),"填写正确","")</f>
        <v/>
      </c>
      <c r="AE59" s="66" t="str">
        <f>IF(COUNTIF(上机信息表!$L$2:$L$62,上机信息表!L58)&gt;1,"重复","")</f>
        <v/>
      </c>
    </row>
    <row r="60" spans="1:31">
      <c r="A60" s="56" t="str">
        <f>IF(上机信息表!A59&lt;&gt;0,上机信息表!A59,"")</f>
        <v/>
      </c>
      <c r="B60" s="57" t="str">
        <f>IF(上机信息表!K59&lt;&gt;0,上机信息表!K59,"")</f>
        <v/>
      </c>
      <c r="C60" s="58" t="str">
        <f>IF(上机信息表!E59&lt;&gt;0,上机信息表!E59,"")</f>
        <v/>
      </c>
      <c r="D60" s="157" t="str">
        <f>IF(上机信息表!L59&lt;&gt;0,上机信息表!L59,"")</f>
        <v/>
      </c>
      <c r="E60" s="158"/>
      <c r="F60" s="59" t="str">
        <f t="shared" si="15"/>
        <v/>
      </c>
      <c r="G60" s="60" t="str">
        <f>IF(上机信息表!N59&lt;&gt;0,VALUE(上机信息表!N59),"")</f>
        <v/>
      </c>
      <c r="H60" s="61" t="str">
        <f t="shared" si="9"/>
        <v/>
      </c>
      <c r="I60" s="59" t="str">
        <f>IF(B60="","",VALUE(上机信息表!O59))</f>
        <v/>
      </c>
      <c r="J60" s="59" t="str">
        <f t="shared" si="14"/>
        <v/>
      </c>
      <c r="K60" s="61" t="str">
        <f t="shared" si="10"/>
        <v/>
      </c>
      <c r="L60" s="59" t="str">
        <f t="shared" si="11"/>
        <v/>
      </c>
      <c r="M60" s="62" t="str">
        <f t="shared" si="12"/>
        <v/>
      </c>
      <c r="N60" s="63" t="str">
        <f t="shared" si="16"/>
        <v/>
      </c>
      <c r="P60" s="64"/>
      <c r="AA60" t="str">
        <f t="shared" si="6"/>
        <v/>
      </c>
      <c r="AB60" s="18" t="str">
        <f>IF(上机信息表!C59="","",IF(AND(上机信息表!C59=LEFT(上机信息表!K59,FIND("-",上机信息表!K59)-1),ISNUMBER(FIND(上机信息表!L59,上机信息表!K59))),"填写正确","填写错误"))</f>
        <v/>
      </c>
      <c r="AC60" s="66" t="str">
        <f>IF(上机信息表!K59="","",IF(AND(ISNUMBER(FIND("--",上机信息表!K59))=FALSE,LEN(上机信息表!K59)-LEN(SUBSTITUTE(上机信息表!K59,"-",""))=2,OR(RIGHT(上机信息表!K59)="D",RIGHT(上机信息表!K59)="R")),"填写正确","填写错误"))</f>
        <v/>
      </c>
      <c r="AD60" s="18" t="str">
        <f>IF(ISTEXT(上机信息表!M59),"填写正确","")</f>
        <v/>
      </c>
      <c r="AE60" s="66" t="str">
        <f>IF(COUNTIF(上机信息表!$L$2:$L$62,上机信息表!L59)&gt;1,"重复","")</f>
        <v/>
      </c>
    </row>
    <row r="61" spans="1:31">
      <c r="A61" s="56" t="str">
        <f>IF(上机信息表!A60&lt;&gt;0,上机信息表!A60,"")</f>
        <v/>
      </c>
      <c r="B61" s="57" t="str">
        <f>IF(上机信息表!K60&lt;&gt;0,上机信息表!K60,"")</f>
        <v/>
      </c>
      <c r="C61" s="58" t="str">
        <f>IF(上机信息表!E60&lt;&gt;0,上机信息表!E60,"")</f>
        <v/>
      </c>
      <c r="D61" s="157" t="str">
        <f>IF(上机信息表!L60&lt;&gt;0,上机信息表!L60,"")</f>
        <v/>
      </c>
      <c r="E61" s="158"/>
      <c r="F61" s="59" t="str">
        <f t="shared" si="15"/>
        <v/>
      </c>
      <c r="G61" s="60" t="str">
        <f>IF(上机信息表!N60&lt;&gt;0,VALUE(上机信息表!N60),"")</f>
        <v/>
      </c>
      <c r="H61" s="61" t="str">
        <f t="shared" si="9"/>
        <v/>
      </c>
      <c r="I61" s="59" t="str">
        <f>IF(B61="","",VALUE(上机信息表!O60))</f>
        <v/>
      </c>
      <c r="J61" s="59" t="str">
        <f t="shared" si="14"/>
        <v/>
      </c>
      <c r="K61" s="61" t="str">
        <f t="shared" si="10"/>
        <v/>
      </c>
      <c r="L61" s="59" t="str">
        <f t="shared" si="11"/>
        <v/>
      </c>
      <c r="M61" s="62" t="str">
        <f t="shared" si="12"/>
        <v/>
      </c>
      <c r="N61" s="63" t="str">
        <f t="shared" si="16"/>
        <v/>
      </c>
      <c r="P61" s="64"/>
      <c r="AA61" t="str">
        <f t="shared" si="6"/>
        <v/>
      </c>
      <c r="AB61" s="18" t="str">
        <f>IF(上机信息表!C60="","",IF(AND(上机信息表!C60=LEFT(上机信息表!K60,FIND("-",上机信息表!K60)-1),ISNUMBER(FIND(上机信息表!L60,上机信息表!K60))),"填写正确","填写错误"))</f>
        <v/>
      </c>
      <c r="AC61" s="66" t="str">
        <f>IF(上机信息表!K60="","",IF(AND(ISNUMBER(FIND("--",上机信息表!K60))=FALSE,LEN(上机信息表!K60)-LEN(SUBSTITUTE(上机信息表!K60,"-",""))=2,OR(RIGHT(上机信息表!K60)="D",RIGHT(上机信息表!K60)="R")),"填写正确","填写错误"))</f>
        <v/>
      </c>
      <c r="AD61" s="18" t="str">
        <f>IF(ISTEXT(上机信息表!M60),"填写正确","")</f>
        <v/>
      </c>
      <c r="AE61" s="66" t="str">
        <f>IF(COUNTIF(上机信息表!$L$2:$L$62,上机信息表!L60)&gt;1,"重复","")</f>
        <v/>
      </c>
    </row>
    <row r="62" spans="1:31">
      <c r="A62" s="67" t="str">
        <f>IF(上机信息表!A61&lt;&gt;0,上机信息表!A61,"")</f>
        <v/>
      </c>
      <c r="B62" s="57" t="str">
        <f>IF(上机信息表!K61&lt;&gt;0,上机信息表!K61,"")</f>
        <v/>
      </c>
      <c r="C62" s="68" t="str">
        <f>IF(上机信息表!E61&lt;&gt;0,上机信息表!E61,"")</f>
        <v/>
      </c>
      <c r="D62" s="157" t="str">
        <f>IF(上机信息表!L61&lt;&gt;0,上机信息表!L61,"")</f>
        <v/>
      </c>
      <c r="E62" s="158"/>
      <c r="F62" s="59" t="str">
        <f t="shared" si="15"/>
        <v/>
      </c>
      <c r="G62" s="60" t="str">
        <f>IF(上机信息表!N61&lt;&gt;0,VALUE(上机信息表!N61),"")</f>
        <v/>
      </c>
      <c r="H62" s="61" t="str">
        <f t="shared" si="9"/>
        <v/>
      </c>
      <c r="I62" s="59" t="str">
        <f>IF(B62="","",VALUE(上机信息表!O61))</f>
        <v/>
      </c>
      <c r="J62" s="59" t="str">
        <f t="shared" si="14"/>
        <v/>
      </c>
      <c r="K62" s="61" t="str">
        <f t="shared" si="10"/>
        <v/>
      </c>
      <c r="L62" s="59" t="str">
        <f t="shared" si="11"/>
        <v/>
      </c>
      <c r="M62" s="62" t="str">
        <f t="shared" si="12"/>
        <v/>
      </c>
      <c r="N62" s="63" t="str">
        <f t="shared" si="16"/>
        <v/>
      </c>
      <c r="P62" s="64"/>
      <c r="AA62" t="str">
        <f t="shared" si="6"/>
        <v/>
      </c>
      <c r="AB62" s="18" t="str">
        <f>IF(上机信息表!C61="","",IF(AND(上机信息表!C61=LEFT(上机信息表!K61,FIND("-",上机信息表!K61)-1),ISNUMBER(FIND(上机信息表!L61,上机信息表!K61))),"填写正确","填写错误"))</f>
        <v/>
      </c>
      <c r="AC62" s="66" t="str">
        <f>IF(上机信息表!K61="","",IF(AND(ISNUMBER(FIND("--",上机信息表!K61))=FALSE,LEN(上机信息表!K61)-LEN(SUBSTITUTE(上机信息表!K61,"-",""))=2,OR(RIGHT(上机信息表!K61)="D",RIGHT(上机信息表!K61)="R")),"填写正确","填写错误"))</f>
        <v/>
      </c>
      <c r="AD62" s="18" t="str">
        <f>IF(ISTEXT(上机信息表!M61),"填写正确","")</f>
        <v/>
      </c>
      <c r="AE62" s="66" t="str">
        <f>IF(COUNTIF(上机信息表!$L$2:$L$62,上机信息表!L61)&gt;1,"重复","")</f>
        <v/>
      </c>
    </row>
    <row r="63" spans="1:31">
      <c r="A63" s="69"/>
      <c r="B63" s="69"/>
      <c r="C63" s="69"/>
      <c r="D63" s="70"/>
      <c r="E63" s="70"/>
      <c r="F63" s="69"/>
      <c r="G63" s="71"/>
      <c r="H63" s="72"/>
      <c r="I63" s="18"/>
      <c r="J63" s="18"/>
      <c r="K63" s="72"/>
      <c r="L63" s="18"/>
      <c r="M63" s="73"/>
      <c r="N63" s="74"/>
    </row>
    <row r="64" spans="1:31">
      <c r="A64" s="69"/>
      <c r="B64" s="69"/>
      <c r="C64" s="69"/>
      <c r="D64" s="70"/>
      <c r="E64" s="70"/>
      <c r="F64" s="69"/>
      <c r="G64" s="71"/>
      <c r="H64" s="72"/>
      <c r="I64" s="18"/>
      <c r="J64" s="18"/>
      <c r="K64" s="72"/>
      <c r="L64" s="18"/>
      <c r="M64" s="73"/>
      <c r="N64" s="74"/>
    </row>
    <row r="65" spans="1:14" ht="42">
      <c r="A65" s="69"/>
      <c r="B65" s="69"/>
      <c r="C65" s="69"/>
      <c r="D65" s="70"/>
      <c r="E65" s="70"/>
      <c r="F65" s="75" t="s">
        <v>69</v>
      </c>
      <c r="G65" s="76" t="s">
        <v>70</v>
      </c>
      <c r="H65" s="77" t="s">
        <v>71</v>
      </c>
      <c r="I65" s="78" t="s">
        <v>72</v>
      </c>
      <c r="J65" s="79" t="s">
        <v>73</v>
      </c>
      <c r="K65" s="80" t="s">
        <v>74</v>
      </c>
      <c r="L65" s="81"/>
      <c r="M65" s="82"/>
      <c r="N65" s="83"/>
    </row>
    <row r="66" spans="1:14">
      <c r="A66" s="84"/>
      <c r="B66" s="69" t="str">
        <f>TEXT(A3,"YYYYMMDD")&amp;"pooling"</f>
        <v>2026.5.20pooling</v>
      </c>
      <c r="C66" s="69"/>
      <c r="D66" s="70"/>
      <c r="E66" s="70"/>
      <c r="F66" s="85" cm="1">
        <f t="array" ref="F66">SUMPRODUCT($F$3:$F$62,$I$3:$I$62)/SUM($I$3:$I$62)</f>
        <v>300</v>
      </c>
      <c r="G66" s="86">
        <v>8.68</v>
      </c>
      <c r="H66" s="87">
        <f>1000000*G66/(660*F66)</f>
        <v>43.838383838383798</v>
      </c>
      <c r="I66" s="88">
        <f>SUM($I$3:$I$62)</f>
        <v>120</v>
      </c>
      <c r="J66" s="89" cm="1">
        <f t="array" ref="J66">SUMPRODUCT(AA3:AA62,N3:N62)/SUM(N3:N62)</f>
        <v>26.6666666666667</v>
      </c>
      <c r="K66" s="90">
        <f>ABS(J66-H66)/J66</f>
        <v>0.64393939393939204</v>
      </c>
      <c r="L66" s="69"/>
      <c r="M66" s="91"/>
      <c r="N66" s="92"/>
    </row>
    <row r="67" spans="1:14">
      <c r="A67" s="69"/>
      <c r="B67" s="69"/>
      <c r="C67" s="69"/>
      <c r="D67" s="70"/>
      <c r="E67" s="70"/>
      <c r="F67" s="69"/>
      <c r="G67" s="18"/>
      <c r="H67" s="18"/>
      <c r="I67" s="92"/>
      <c r="J67" s="92"/>
      <c r="K67" s="92"/>
      <c r="L67" s="69"/>
      <c r="M67" s="91"/>
      <c r="N67" s="92"/>
    </row>
    <row r="68" spans="1:14" ht="14.5" customHeight="1">
      <c r="G68" s="18"/>
      <c r="I68" s="18"/>
      <c r="J68" s="18"/>
      <c r="L68" s="164" t="str">
        <f>IF(K66&lt;=0.2,"pooling合格,请继续","pooling失败，请检测文库浓度后重新pooling")</f>
        <v>pooling失败，请检测文库浓度后重新pooling</v>
      </c>
      <c r="M68" s="164"/>
      <c r="N68" s="164"/>
    </row>
    <row r="69" spans="1:14" ht="14.5" customHeight="1">
      <c r="G69" s="18"/>
      <c r="I69" s="18"/>
      <c r="J69" s="18"/>
      <c r="L69" s="165"/>
      <c r="M69" s="165"/>
      <c r="N69" s="165"/>
    </row>
    <row r="70" spans="1:14" ht="14.5" customHeight="1">
      <c r="A70" s="159" t="s">
        <v>75</v>
      </c>
      <c r="B70" s="160"/>
      <c r="C70" s="160"/>
      <c r="D70" s="160"/>
      <c r="E70" s="161"/>
      <c r="F70" s="93"/>
      <c r="I70" s="18"/>
      <c r="L70" s="165"/>
      <c r="M70" s="165"/>
      <c r="N70" s="165"/>
    </row>
    <row r="71" spans="1:14" ht="28">
      <c r="A71" s="162" t="s">
        <v>76</v>
      </c>
      <c r="B71" s="32" t="s">
        <v>77</v>
      </c>
      <c r="C71" s="32" t="s">
        <v>78</v>
      </c>
      <c r="D71" s="32" t="s">
        <v>79</v>
      </c>
      <c r="E71" s="94" t="s">
        <v>80</v>
      </c>
      <c r="F71" s="95"/>
      <c r="G71" s="96"/>
      <c r="H71" s="96"/>
      <c r="I71" s="96"/>
      <c r="J71" s="96"/>
      <c r="K71" s="96"/>
      <c r="L71" s="165"/>
      <c r="M71" s="165"/>
      <c r="N71" s="165"/>
    </row>
    <row r="72" spans="1:14">
      <c r="A72" s="163"/>
      <c r="B72" s="97">
        <f>IF(C72&gt;=4,4,IF(AND(C72&gt;=2,C72&lt;4),2,IF(AND(C72&gt;=1,C72&lt;2),1)))</f>
        <v>4</v>
      </c>
      <c r="C72" s="98">
        <f>H66</f>
        <v>43.838383838383798</v>
      </c>
      <c r="D72" s="59">
        <v>3</v>
      </c>
      <c r="E72" s="99">
        <f>C72*D72/B72-D72</f>
        <v>29.8787878787879</v>
      </c>
      <c r="F72" s="100" t="str">
        <f>"稀释成"&amp;B72&amp;"nM"</f>
        <v>稀释成4nM</v>
      </c>
    </row>
    <row r="73" spans="1:14">
      <c r="A73" s="162" t="s">
        <v>81</v>
      </c>
      <c r="B73" s="101" t="s">
        <v>82</v>
      </c>
      <c r="C73" s="101" t="s">
        <v>83</v>
      </c>
      <c r="D73" s="59" t="s">
        <v>84</v>
      </c>
      <c r="E73" s="101"/>
      <c r="F73" s="100"/>
    </row>
    <row r="74" spans="1:14">
      <c r="A74" s="163"/>
      <c r="B74" s="97">
        <v>140</v>
      </c>
      <c r="C74" s="59">
        <v>10</v>
      </c>
      <c r="D74" s="59">
        <v>150</v>
      </c>
      <c r="E74" s="59"/>
      <c r="F74" s="100" t="s">
        <v>85</v>
      </c>
    </row>
    <row r="75" spans="1:14">
      <c r="A75" s="162" t="s">
        <v>86</v>
      </c>
      <c r="B75" s="101" t="s">
        <v>87</v>
      </c>
      <c r="C75" s="59" t="s">
        <v>88</v>
      </c>
      <c r="D75" s="59"/>
      <c r="E75" s="59"/>
      <c r="F75" s="100"/>
    </row>
    <row r="76" spans="1:14">
      <c r="A76" s="163"/>
      <c r="B76" s="59">
        <f>20/B72</f>
        <v>5</v>
      </c>
      <c r="C76" s="59">
        <f>B76</f>
        <v>5</v>
      </c>
      <c r="D76" s="59"/>
      <c r="E76" s="59"/>
      <c r="F76" s="100" t="s">
        <v>89</v>
      </c>
    </row>
    <row r="77" spans="1:14">
      <c r="A77" s="162" t="s">
        <v>90</v>
      </c>
      <c r="B77" s="97" t="s">
        <v>91</v>
      </c>
      <c r="C77" s="59" t="s">
        <v>80</v>
      </c>
      <c r="D77" s="59"/>
      <c r="E77" s="59"/>
      <c r="F77" s="100"/>
    </row>
    <row r="78" spans="1:14">
      <c r="A78" s="163"/>
      <c r="B78" s="59">
        <f>B76+C76</f>
        <v>10</v>
      </c>
      <c r="C78" s="59">
        <f>1000-B78</f>
        <v>990</v>
      </c>
      <c r="D78" s="59"/>
      <c r="E78" s="59"/>
      <c r="F78" s="100" t="s">
        <v>92</v>
      </c>
    </row>
    <row r="79" spans="1:14" ht="28">
      <c r="A79" s="102" t="s">
        <v>93</v>
      </c>
      <c r="B79" s="101" t="s">
        <v>94</v>
      </c>
      <c r="C79" s="59" t="s">
        <v>80</v>
      </c>
      <c r="D79" s="59"/>
      <c r="E79" s="59"/>
      <c r="F79" s="100"/>
    </row>
    <row r="80" spans="1:14">
      <c r="A80" s="103">
        <v>1.3</v>
      </c>
      <c r="B80" s="97">
        <f>A80*1300/20</f>
        <v>84.5</v>
      </c>
      <c r="C80" s="104">
        <f>1300-B80</f>
        <v>1215.5</v>
      </c>
      <c r="D80" s="59"/>
      <c r="E80" s="59"/>
      <c r="F80" s="100" t="s">
        <v>95</v>
      </c>
    </row>
    <row r="81" spans="1:6">
      <c r="A81" s="105"/>
      <c r="B81" s="106"/>
      <c r="C81" s="107">
        <f>C80/2</f>
        <v>607.75</v>
      </c>
      <c r="D81" s="106"/>
      <c r="E81" s="106"/>
      <c r="F81" s="108"/>
    </row>
  </sheetData>
  <sheetProtection formatCells="0" formatColumns="0" formatRows="0"/>
  <protectedRanges>
    <protectedRange sqref="G66" name="区域2"/>
    <protectedRange sqref="A1:N1" name="区域1"/>
  </protectedRanges>
  <autoFilter ref="A2:AE62" xr:uid="{00000000-0009-0000-0000-000001000000}"/>
  <mergeCells count="68">
    <mergeCell ref="A75:A76"/>
    <mergeCell ref="A77:A78"/>
    <mergeCell ref="L68:N71"/>
    <mergeCell ref="D61:E61"/>
    <mergeCell ref="D62:E62"/>
    <mergeCell ref="A70:E70"/>
    <mergeCell ref="A71:A72"/>
    <mergeCell ref="A73:A74"/>
    <mergeCell ref="D56:E56"/>
    <mergeCell ref="D57:E57"/>
    <mergeCell ref="D58:E58"/>
    <mergeCell ref="D59:E59"/>
    <mergeCell ref="D60:E60"/>
    <mergeCell ref="D51:E51"/>
    <mergeCell ref="D52:E52"/>
    <mergeCell ref="D53:E53"/>
    <mergeCell ref="D54:E54"/>
    <mergeCell ref="D55:E55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6:E6"/>
    <mergeCell ref="D7:E7"/>
    <mergeCell ref="D8:E8"/>
    <mergeCell ref="D9:E9"/>
    <mergeCell ref="D10:E10"/>
    <mergeCell ref="A1:N1"/>
    <mergeCell ref="D2:E2"/>
    <mergeCell ref="D3:E3"/>
    <mergeCell ref="D4:E4"/>
    <mergeCell ref="D5:E5"/>
  </mergeCells>
  <phoneticPr fontId="98" type="noConversion"/>
  <conditionalFormatting sqref="L68:N71">
    <cfRule type="cellIs" dxfId="9" priority="1" operator="equal">
      <formula>"pooling失败，请检测文库浓度后重新pooling"</formula>
    </cfRule>
    <cfRule type="cellIs" dxfId="8" priority="2" operator="equal">
      <formula>"pooling合格,请继续"</formula>
    </cfRule>
  </conditionalFormatting>
  <conditionalFormatting sqref="O2">
    <cfRule type="cellIs" dxfId="7" priority="9" operator="equal">
      <formula>"好棒！已加NC"</formula>
    </cfRule>
    <cfRule type="cellIs" dxfId="6" priority="11" operator="equal">
      <formula>"注意！无NC"</formula>
    </cfRule>
  </conditionalFormatting>
  <conditionalFormatting sqref="P2">
    <cfRule type="cellIs" dxfId="5" priority="7" operator="notEqual">
      <formula>"好棒！pooling表填写正确"</formula>
    </cfRule>
    <cfRule type="cellIs" dxfId="4" priority="8" operator="equal">
      <formula>"好棒！pooling表填写正确"</formula>
    </cfRule>
  </conditionalFormatting>
  <conditionalFormatting sqref="Q2">
    <cfRule type="cellIs" dxfId="3" priority="5" operator="equal">
      <formula>"好棒！接头没有重复"</formula>
    </cfRule>
    <cfRule type="cellIs" dxfId="2" priority="6" operator="equal">
      <formula>"请注意，接头有重复！"</formula>
    </cfRule>
  </conditionalFormatting>
  <conditionalFormatting sqref="R2">
    <cfRule type="containsText" dxfId="1" priority="3" operator="containsText" text="满足上机要求">
      <formula>NOT(ISERROR(SEARCH("满足上机要求",R2)))</formula>
    </cfRule>
    <cfRule type="containsText" dxfId="0" priority="4" operator="containsText" text="超载了">
      <formula>NOT(ISERROR(SEARCH("超载了",R2)))</formula>
    </cfRule>
  </conditionalFormatting>
  <pageMargins left="0.69930555555555596" right="0.69930555555555596" top="0.75" bottom="0.75" header="0.3" footer="0.3"/>
  <pageSetup paperSize="9" scale="37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>
      <selection activeCell="E16" sqref="E16"/>
    </sheetView>
  </sheetViews>
  <sheetFormatPr defaultColWidth="9" defaultRowHeight="14"/>
  <cols>
    <col min="4" max="4" width="17.36328125" customWidth="1"/>
    <col min="5" max="5" width="11" customWidth="1"/>
  </cols>
  <sheetData>
    <row r="1" spans="1:9">
      <c r="A1" s="166" t="s">
        <v>96</v>
      </c>
      <c r="B1" s="166"/>
      <c r="C1" s="166"/>
      <c r="D1" s="166"/>
      <c r="E1" s="166"/>
      <c r="F1" s="166"/>
      <c r="G1" s="166"/>
      <c r="H1" s="166"/>
      <c r="I1" s="166"/>
    </row>
    <row r="2" spans="1:9">
      <c r="A2" s="167" t="s">
        <v>97</v>
      </c>
      <c r="B2" s="168"/>
      <c r="C2" s="168"/>
      <c r="D2" s="168"/>
      <c r="E2" s="168" t="s">
        <v>98</v>
      </c>
      <c r="F2" s="168"/>
      <c r="G2" s="167" t="s">
        <v>99</v>
      </c>
      <c r="H2" s="168"/>
      <c r="I2" s="168"/>
    </row>
    <row r="3" spans="1:9">
      <c r="A3" s="168" t="s">
        <v>100</v>
      </c>
      <c r="B3" s="168"/>
      <c r="C3" s="168"/>
      <c r="D3" s="168"/>
      <c r="E3" s="167" t="s">
        <v>101</v>
      </c>
      <c r="F3" s="167"/>
      <c r="G3" s="167" t="s">
        <v>102</v>
      </c>
      <c r="H3" s="167"/>
      <c r="I3" s="167"/>
    </row>
    <row r="4" spans="1:9" ht="22.5">
      <c r="A4" s="169" t="str">
        <f>"IDseq-GZ2022第"&amp;MID(pooling详情!A1,14,(FIND("期",pooling详情!A1)-FIND("第",pooling详情!A1)-1))&amp;"期上机流程监控表"</f>
        <v>IDseq-GZ2022第1635期上机流程监控表</v>
      </c>
      <c r="B4" s="170"/>
      <c r="C4" s="170"/>
      <c r="D4" s="170"/>
      <c r="E4" s="170"/>
      <c r="F4" s="171"/>
      <c r="G4" s="167" t="s">
        <v>103</v>
      </c>
      <c r="H4" s="167"/>
      <c r="I4" s="167"/>
    </row>
    <row r="5" spans="1:9">
      <c r="A5" s="186" t="s">
        <v>104</v>
      </c>
      <c r="B5" s="35" t="s">
        <v>105</v>
      </c>
      <c r="C5" s="172" t="s">
        <v>106</v>
      </c>
      <c r="D5" s="172"/>
      <c r="E5" s="184" t="s">
        <v>107</v>
      </c>
      <c r="F5" s="37" t="s">
        <v>108</v>
      </c>
      <c r="G5" s="173">
        <v>20546839</v>
      </c>
      <c r="H5" s="173"/>
      <c r="I5" s="195" t="s">
        <v>18</v>
      </c>
    </row>
    <row r="6" spans="1:9">
      <c r="A6" s="186"/>
      <c r="B6" s="35" t="s">
        <v>109</v>
      </c>
      <c r="C6" s="172" t="s">
        <v>106</v>
      </c>
      <c r="D6" s="172"/>
      <c r="E6" s="184"/>
      <c r="F6" s="37" t="s">
        <v>110</v>
      </c>
      <c r="G6" s="173">
        <v>20557000</v>
      </c>
      <c r="H6" s="173"/>
      <c r="I6" s="196"/>
    </row>
    <row r="7" spans="1:9">
      <c r="A7" s="186"/>
      <c r="B7" s="35" t="s">
        <v>111</v>
      </c>
      <c r="C7" s="172" t="s">
        <v>112</v>
      </c>
      <c r="D7" s="172"/>
      <c r="E7" s="184"/>
      <c r="F7" s="37" t="s">
        <v>113</v>
      </c>
      <c r="G7" s="173">
        <v>20544484</v>
      </c>
      <c r="H7" s="173"/>
      <c r="I7" s="196"/>
    </row>
    <row r="8" spans="1:9">
      <c r="A8" s="186"/>
      <c r="B8" s="174" t="s">
        <v>114</v>
      </c>
      <c r="C8" s="175"/>
      <c r="D8" s="175" t="s">
        <v>115</v>
      </c>
      <c r="E8" s="175"/>
      <c r="F8" s="175"/>
      <c r="G8" s="175"/>
      <c r="H8" s="175"/>
      <c r="I8" s="38"/>
    </row>
    <row r="9" spans="1:9">
      <c r="A9" s="186"/>
      <c r="B9" s="175" t="s">
        <v>116</v>
      </c>
      <c r="C9" s="175"/>
      <c r="D9" s="175" t="s">
        <v>117</v>
      </c>
      <c r="E9" s="175"/>
      <c r="F9" s="175"/>
      <c r="G9" s="175"/>
      <c r="H9" s="175"/>
      <c r="I9" s="177"/>
    </row>
    <row r="10" spans="1:9">
      <c r="A10" s="186"/>
      <c r="B10" s="175" t="s">
        <v>118</v>
      </c>
      <c r="C10" s="175"/>
      <c r="D10" s="175" t="s">
        <v>115</v>
      </c>
      <c r="E10" s="175"/>
      <c r="F10" s="175"/>
      <c r="G10" s="175"/>
      <c r="H10" s="175"/>
      <c r="I10" s="177"/>
    </row>
    <row r="11" spans="1:9">
      <c r="A11" s="186"/>
      <c r="B11" s="175" t="s">
        <v>119</v>
      </c>
      <c r="C11" s="175"/>
      <c r="D11" s="176" t="s">
        <v>120</v>
      </c>
      <c r="E11" s="176"/>
      <c r="F11" s="176"/>
      <c r="G11" s="176"/>
      <c r="H11" s="176"/>
      <c r="I11" s="177"/>
    </row>
    <row r="12" spans="1:9">
      <c r="A12" s="186"/>
      <c r="B12" s="175" t="s">
        <v>121</v>
      </c>
      <c r="C12" s="175"/>
      <c r="D12" s="176" t="s">
        <v>120</v>
      </c>
      <c r="E12" s="176"/>
      <c r="F12" s="176"/>
      <c r="G12" s="176"/>
      <c r="H12" s="176"/>
      <c r="I12" s="177"/>
    </row>
    <row r="13" spans="1:9" ht="24">
      <c r="A13" s="186" t="s">
        <v>122</v>
      </c>
      <c r="B13" s="177" t="s">
        <v>123</v>
      </c>
      <c r="C13" s="177"/>
      <c r="D13" s="39" t="s">
        <v>124</v>
      </c>
      <c r="E13" s="39" t="s">
        <v>125</v>
      </c>
      <c r="F13" s="178" t="s">
        <v>123</v>
      </c>
      <c r="G13" s="178"/>
      <c r="H13" s="39" t="s">
        <v>126</v>
      </c>
      <c r="I13" s="177"/>
    </row>
    <row r="14" spans="1:9" ht="14.5" customHeight="1">
      <c r="A14" s="186"/>
      <c r="B14" s="179" t="s">
        <v>127</v>
      </c>
      <c r="C14" s="180"/>
      <c r="D14" s="181" t="s">
        <v>128</v>
      </c>
      <c r="E14" s="182"/>
      <c r="F14" s="182"/>
      <c r="G14" s="183"/>
      <c r="H14" s="40"/>
      <c r="I14" s="177"/>
    </row>
    <row r="15" spans="1:9" ht="14.5" customHeight="1">
      <c r="A15" s="186"/>
      <c r="B15" s="213" t="str">
        <f>CONCATENATE("文库稀释",pooling详情!B72,"nM")</f>
        <v>文库稀释4nM</v>
      </c>
      <c r="C15" s="214"/>
      <c r="D15" s="41">
        <f>pooling详情!$H$66</f>
        <v>43.838383838383798</v>
      </c>
      <c r="E15" s="42">
        <f>pooling详情!$D$72</f>
        <v>3</v>
      </c>
      <c r="F15" s="40"/>
      <c r="G15" s="40"/>
      <c r="H15" s="40"/>
      <c r="I15" s="177"/>
    </row>
    <row r="16" spans="1:9">
      <c r="A16" s="186"/>
      <c r="B16" s="215"/>
      <c r="C16" s="216"/>
      <c r="D16" s="36" t="s">
        <v>129</v>
      </c>
      <c r="E16" s="41">
        <f>pooling详情!$E$72</f>
        <v>29.8787878787879</v>
      </c>
      <c r="F16" s="40"/>
      <c r="G16" s="40"/>
      <c r="H16" s="40"/>
      <c r="I16" s="177"/>
    </row>
    <row r="17" spans="1:9" ht="18" customHeight="1">
      <c r="A17" s="186"/>
      <c r="B17" s="217" t="str">
        <f>CONCATENATE("文库变性(",pooling详情!B72/2,"nM)")</f>
        <v>文库变性(2nM)</v>
      </c>
      <c r="C17" s="218"/>
      <c r="D17" s="42" t="str">
        <f>CONCATENATE(pooling详情!B72,"nM文库 Pool")</f>
        <v>4nM文库 Pool</v>
      </c>
      <c r="E17" s="42">
        <f>pooling详情!$B$76</f>
        <v>5</v>
      </c>
      <c r="F17" s="221" t="s">
        <v>130</v>
      </c>
      <c r="G17" s="222"/>
      <c r="H17" s="188"/>
      <c r="I17" s="177"/>
    </row>
    <row r="18" spans="1:9" ht="18" customHeight="1">
      <c r="A18" s="186"/>
      <c r="B18" s="219"/>
      <c r="C18" s="220"/>
      <c r="D18" s="36" t="s">
        <v>131</v>
      </c>
      <c r="E18" s="36">
        <f>pooling详情!$C$76</f>
        <v>5</v>
      </c>
      <c r="F18" s="223"/>
      <c r="G18" s="224"/>
      <c r="H18" s="189"/>
      <c r="I18" s="177"/>
    </row>
    <row r="19" spans="1:9" ht="14.5" customHeight="1">
      <c r="A19" s="186" t="s">
        <v>132</v>
      </c>
      <c r="B19" s="197" t="s">
        <v>133</v>
      </c>
      <c r="C19" s="198"/>
      <c r="D19" s="43" t="str">
        <f>CONCATENATE(,pooling详情!B72/2,"nM文库)")</f>
        <v>2nM文库)</v>
      </c>
      <c r="E19" s="43">
        <f>pooling详情!$B$78</f>
        <v>10</v>
      </c>
      <c r="F19" s="201" t="s">
        <v>134</v>
      </c>
      <c r="G19" s="202"/>
      <c r="H19" s="190"/>
      <c r="I19" s="177"/>
    </row>
    <row r="20" spans="1:9">
      <c r="A20" s="186"/>
      <c r="B20" s="199"/>
      <c r="C20" s="200"/>
      <c r="D20" s="43" t="s">
        <v>129</v>
      </c>
      <c r="E20" s="43">
        <f>pooling详情!$C$78</f>
        <v>990</v>
      </c>
      <c r="F20" s="203"/>
      <c r="G20" s="204"/>
      <c r="H20" s="191"/>
      <c r="I20" s="177"/>
    </row>
    <row r="21" spans="1:9" ht="14.5" customHeight="1">
      <c r="A21" s="186"/>
      <c r="B21" s="205" t="str">
        <f>CONCATENATE("□  Nextseq 550 ( ",ROUND(pooling详情!A80,2),"pM)")</f>
        <v>□  Nextseq 550 ( 1.3pM)</v>
      </c>
      <c r="C21" s="206"/>
      <c r="D21" s="43" t="s">
        <v>135</v>
      </c>
      <c r="E21" s="44">
        <f>ROUND(pooling详情!$B$80,1)</f>
        <v>84.5</v>
      </c>
      <c r="F21" s="197" t="s">
        <v>136</v>
      </c>
      <c r="G21" s="198"/>
      <c r="H21" s="192"/>
      <c r="I21" s="177"/>
    </row>
    <row r="22" spans="1:9">
      <c r="A22" s="186"/>
      <c r="B22" s="207"/>
      <c r="C22" s="208"/>
      <c r="D22" s="43" t="s">
        <v>129</v>
      </c>
      <c r="E22" s="44">
        <f>ROUND(pooling详情!$C$80,1)</f>
        <v>1215.5</v>
      </c>
      <c r="F22" s="211"/>
      <c r="G22" s="212"/>
      <c r="H22" s="193"/>
      <c r="I22" s="177"/>
    </row>
    <row r="23" spans="1:9">
      <c r="A23" s="186"/>
      <c r="B23" s="209"/>
      <c r="C23" s="210"/>
      <c r="D23" s="43" t="s">
        <v>137</v>
      </c>
      <c r="E23" s="45">
        <v>1300</v>
      </c>
      <c r="F23" s="199"/>
      <c r="G23" s="200"/>
      <c r="H23" s="194"/>
      <c r="I23" s="177"/>
    </row>
    <row r="24" spans="1:9">
      <c r="A24" s="187" t="s">
        <v>138</v>
      </c>
      <c r="B24" s="46" t="s">
        <v>139</v>
      </c>
      <c r="C24" s="184" t="s">
        <v>140</v>
      </c>
      <c r="D24" s="184"/>
      <c r="E24" s="184"/>
      <c r="F24" s="184"/>
      <c r="G24" s="184"/>
      <c r="H24" s="184"/>
      <c r="I24" s="177"/>
    </row>
    <row r="25" spans="1:9">
      <c r="A25" s="186"/>
      <c r="B25" s="46" t="s">
        <v>141</v>
      </c>
      <c r="C25" s="185" t="s">
        <v>142</v>
      </c>
      <c r="D25" s="185"/>
      <c r="E25" s="185"/>
      <c r="F25" s="185"/>
      <c r="G25" s="185"/>
      <c r="H25" s="185"/>
      <c r="I25" s="177"/>
    </row>
  </sheetData>
  <protectedRanges>
    <protectedRange sqref="A4:F4" name="区域1"/>
  </protectedRanges>
  <mergeCells count="48">
    <mergeCell ref="I9:I25"/>
    <mergeCell ref="B19:C20"/>
    <mergeCell ref="F19:G20"/>
    <mergeCell ref="B21:C23"/>
    <mergeCell ref="F21:G23"/>
    <mergeCell ref="B15:C16"/>
    <mergeCell ref="B17:C18"/>
    <mergeCell ref="F17:G18"/>
    <mergeCell ref="C25:H25"/>
    <mergeCell ref="A5:A12"/>
    <mergeCell ref="A13:A18"/>
    <mergeCell ref="A19:A23"/>
    <mergeCell ref="A24:A25"/>
    <mergeCell ref="E5:E7"/>
    <mergeCell ref="H17:H18"/>
    <mergeCell ref="H19:H20"/>
    <mergeCell ref="H21:H23"/>
    <mergeCell ref="B13:C13"/>
    <mergeCell ref="F13:G13"/>
    <mergeCell ref="B14:C14"/>
    <mergeCell ref="D14:G14"/>
    <mergeCell ref="C24:H24"/>
    <mergeCell ref="B10:C10"/>
    <mergeCell ref="D10:H10"/>
    <mergeCell ref="B11:C11"/>
    <mergeCell ref="D11:H11"/>
    <mergeCell ref="B12:C12"/>
    <mergeCell ref="D12:H12"/>
    <mergeCell ref="C7:D7"/>
    <mergeCell ref="G7:H7"/>
    <mergeCell ref="B8:C8"/>
    <mergeCell ref="D8:H8"/>
    <mergeCell ref="B9:C9"/>
    <mergeCell ref="D9:H9"/>
    <mergeCell ref="A4:F4"/>
    <mergeCell ref="G4:I4"/>
    <mergeCell ref="C5:D5"/>
    <mergeCell ref="G5:H5"/>
    <mergeCell ref="C6:D6"/>
    <mergeCell ref="G6:H6"/>
    <mergeCell ref="I5:I7"/>
    <mergeCell ref="A1:I1"/>
    <mergeCell ref="A2:D2"/>
    <mergeCell ref="E2:F2"/>
    <mergeCell ref="G2:I2"/>
    <mergeCell ref="A3:D3"/>
    <mergeCell ref="E3:F3"/>
    <mergeCell ref="G3:I3"/>
  </mergeCells>
  <phoneticPr fontId="98" type="noConversion"/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</sheetPr>
  <dimension ref="A1:AJ101"/>
  <sheetViews>
    <sheetView showZeros="0" zoomScale="85" zoomScaleNormal="85" workbookViewId="0">
      <selection activeCell="D14" sqref="D14"/>
    </sheetView>
  </sheetViews>
  <sheetFormatPr defaultColWidth="9" defaultRowHeight="14"/>
  <cols>
    <col min="1" max="1" width="9.453125" style="18" customWidth="1"/>
    <col min="2" max="2" width="8.6328125" style="18" customWidth="1"/>
    <col min="3" max="10" width="9" style="18" customWidth="1"/>
    <col min="11" max="11" width="11.6328125" style="18" customWidth="1"/>
    <col min="12" max="12" width="9" style="18" customWidth="1"/>
    <col min="13" max="13" width="15" style="18" customWidth="1"/>
    <col min="14" max="16" width="9" style="18" customWidth="1"/>
    <col min="17" max="17" width="9" style="18"/>
    <col min="18" max="18" width="11.6328125" style="18" customWidth="1"/>
    <col min="19" max="23" width="9" style="18" customWidth="1"/>
    <col min="24" max="24" width="12.90625" style="18" customWidth="1"/>
    <col min="25" max="25" width="15" customWidth="1"/>
    <col min="26" max="26" width="74" customWidth="1"/>
    <col min="28" max="28" width="25.08984375" customWidth="1"/>
    <col min="29" max="29" width="84.08984375" customWidth="1"/>
  </cols>
  <sheetData>
    <row r="1" spans="1:36" ht="43">
      <c r="A1" s="19" t="s">
        <v>143</v>
      </c>
      <c r="B1" s="19" t="s">
        <v>144</v>
      </c>
      <c r="C1" s="20" t="s">
        <v>2</v>
      </c>
      <c r="D1" s="21" t="s">
        <v>3</v>
      </c>
      <c r="E1" s="22" t="s">
        <v>4</v>
      </c>
      <c r="F1" s="22" t="s">
        <v>5</v>
      </c>
      <c r="G1" s="22" t="s">
        <v>7</v>
      </c>
      <c r="H1" s="23" t="s">
        <v>145</v>
      </c>
      <c r="I1" s="23" t="s">
        <v>146</v>
      </c>
      <c r="J1" s="23" t="s">
        <v>147</v>
      </c>
      <c r="K1" s="23" t="s">
        <v>148</v>
      </c>
      <c r="L1" s="24" t="s">
        <v>149</v>
      </c>
      <c r="M1" s="25" t="s">
        <v>10</v>
      </c>
      <c r="N1" s="26" t="s">
        <v>150</v>
      </c>
      <c r="O1" s="26" t="s">
        <v>151</v>
      </c>
      <c r="P1" s="24" t="s">
        <v>152</v>
      </c>
      <c r="Q1" s="27" t="s">
        <v>14</v>
      </c>
      <c r="R1" s="27" t="s">
        <v>153</v>
      </c>
      <c r="S1" s="28" t="s">
        <v>15</v>
      </c>
      <c r="T1" s="28" t="s">
        <v>154</v>
      </c>
      <c r="U1" s="28" t="s">
        <v>155</v>
      </c>
      <c r="V1" s="28" t="s">
        <v>156</v>
      </c>
      <c r="W1" s="29" t="s">
        <v>157</v>
      </c>
      <c r="X1" s="28" t="s">
        <v>158</v>
      </c>
      <c r="Y1" s="30" t="s">
        <v>159</v>
      </c>
      <c r="Z1" s="30" t="s">
        <v>160</v>
      </c>
      <c r="AA1" s="31" t="s">
        <v>161</v>
      </c>
      <c r="AB1" s="31" t="s">
        <v>162</v>
      </c>
      <c r="AC1" s="31" t="s">
        <v>163</v>
      </c>
      <c r="AD1" s="32" t="s">
        <v>164</v>
      </c>
      <c r="AE1" s="32" t="s">
        <v>19</v>
      </c>
      <c r="AF1" s="32" t="s">
        <v>20</v>
      </c>
      <c r="AG1" s="32" t="s">
        <v>21</v>
      </c>
      <c r="AH1" s="32" t="s">
        <v>22</v>
      </c>
      <c r="AI1" s="32" t="s">
        <v>23</v>
      </c>
      <c r="AJ1" s="32" t="s">
        <v>24</v>
      </c>
    </row>
    <row r="2" spans="1:36">
      <c r="A2" s="18" t="str">
        <f>IF(C2=0,"","YF23"&amp;TEXT(MID(pooling详情!$A$1,14,(FIND("期",pooling详情!$A$1)-FIND("第",pooling详情!$A$1)-1)),"0000"))</f>
        <v>YF231635</v>
      </c>
      <c r="B2" s="18" t="str">
        <f>上机信息表!G2</f>
        <v>科研样本</v>
      </c>
      <c r="C2" s="18" t="str">
        <f>上机信息表!C2</f>
        <v>KY14538</v>
      </c>
      <c r="D2" s="18" t="str">
        <f>上机信息表!D2</f>
        <v>VM031共提</v>
      </c>
      <c r="E2" s="18" t="str">
        <f>上机信息表!E2</f>
        <v>研磨液白蛉</v>
      </c>
      <c r="F2" s="18" t="str">
        <f>上机信息表!F2</f>
        <v>DNA</v>
      </c>
      <c r="G2" s="18" t="str">
        <f>上机信息表!H2</f>
        <v>破壁+prime2.0DNA建库</v>
      </c>
      <c r="H2" s="18">
        <f>上机信息表!I2</f>
        <v>0.56200000000000006</v>
      </c>
      <c r="I2" s="18">
        <f>IF(F2="DNA",上机信息表!I2*70,上机信息表!I2*100)</f>
        <v>39.340000000000003</v>
      </c>
      <c r="K2" s="33" t="str">
        <f>上机信息表!A2</f>
        <v>2026.5.20</v>
      </c>
      <c r="L2" s="18">
        <f>上机信息表!J2</f>
        <v>0</v>
      </c>
      <c r="M2" s="18" t="str">
        <f>上机信息表!K2</f>
        <v>KY14538-1-T224D</v>
      </c>
      <c r="N2" s="18" t="str">
        <f>上机信息表!L2</f>
        <v>T224</v>
      </c>
      <c r="O2" s="18">
        <f>上机信息表!M2</f>
        <v>0</v>
      </c>
      <c r="P2" s="18">
        <f>上机信息表!N2</f>
        <v>13.6</v>
      </c>
      <c r="Q2" s="18">
        <f>上机信息表!O2</f>
        <v>20</v>
      </c>
      <c r="R2" s="18" t="str">
        <f>IF(C2=0,"","VMGZ22"&amp;TEXT(MID(pooling详情!$A$1,14,(FIND("期",pooling详情!$A$1)-FIND("第",pooling详情!$A$1)-1)),"0000"))</f>
        <v>VMGZ221635</v>
      </c>
      <c r="S2" s="18">
        <f>上机信息表!P2</f>
        <v>0</v>
      </c>
      <c r="T2" s="18">
        <f>IF(C2=0,"",pooling详情!$G$66)</f>
        <v>8.68</v>
      </c>
      <c r="U2" s="34">
        <f>IF(C2=0,"",pooling详情!$A$80)</f>
        <v>1.3</v>
      </c>
      <c r="V2" s="34" t="str">
        <f>IF(C2=0,"","illumina")</f>
        <v>illumina</v>
      </c>
      <c r="X2" s="18" t="str">
        <f>上机信息表!R2</f>
        <v>科研组+冯冬凤</v>
      </c>
      <c r="Y2" t="str">
        <f>IF(F2="RNA","RNA提取试剂盒",IF(LEFT(F2,3)="DNA","DNA提取试剂盒",""))</f>
        <v>DNA提取试剂盒</v>
      </c>
      <c r="Z2" t="str">
        <f>IFERROR(IF(Y2="RNA提取试剂盒",CONCATENATE(MID(上机信息表!Q2,SEARCH("提取",上机信息表!Q2),SEARCH("建",上机信息表!Q2)-2)),IF(Y2="DNA提取试剂盒",IF(ISNUMBER(FIND("呼吸道",上机信息表!Q2)),CONCATENATE(MID(上机信息表!Q2,SEARCH("提取",上机信息表!Q2),SEARCH(",",上机信息表!Q2,SEARCH("呼吸道",上机信息表!Q2))-1)),IF(ISNUMBER(FIND("组织",上机信息表!Q2)),CONCATENATE(MID(上机信息表!Q2,SEARCH("提取",上机信息表!Q2),SEARCH(",",上机信息表!Q2,SEARCH("组织",上机信息表!Q2))-1)),CONCATENATE(MID(上机信息表!Q2,SEARCH("提取",上机信息表!Q2),SEARCH(",",上机信息表!Q2)-1)))),"")),"")</f>
        <v/>
      </c>
      <c r="AA2" t="str">
        <f>IF(F2="RNA","RNA建库试剂盒",IF(LEFT(F2,3)="DNA","DNA建库试剂盒",""))</f>
        <v>DNA建库试剂盒</v>
      </c>
      <c r="AB2" t="str">
        <f>IFERROR(IF(AA2="RNA建库试剂盒",MID(上机信息表!Q2,SEARCH("建库",上机信息表!Q2),20),IF(AA2="DNA建库试剂盒",MID(上机信息表!Q2,SEARCH("建库",上机信息表!Q2),20),"")),"")</f>
        <v>建库RUO20260105/引物2025</v>
      </c>
      <c r="AC2" t="str">
        <f>IF(C2=0,"",CONCATENATE("芯片批号：",'IDseq-上机流程监控表'!$G$5,",","上机试剂批号：",'IDseq-上机流程监控表'!$G$6,",","Buffer批号：",'IDseq-上机流程监控表'!$G$7))</f>
        <v>芯片批号：20546839,上机试剂批号：20557000,Buffer批号：20544484</v>
      </c>
    </row>
    <row r="3" spans="1:36">
      <c r="A3" s="18" t="str">
        <f>IF(C3=0,"","YF23"&amp;TEXT(MID(pooling详情!$A$1,14,(FIND("期",pooling详情!$A$1)-FIND("第",pooling详情!$A$1)-1)),"0000"))</f>
        <v>YF231635</v>
      </c>
      <c r="B3" s="18" t="str">
        <f>上机信息表!G3</f>
        <v>科研样本</v>
      </c>
      <c r="C3" s="18" t="str">
        <f>上机信息表!C3</f>
        <v>KY14539</v>
      </c>
      <c r="D3" s="18" t="str">
        <f>上机信息表!D3</f>
        <v>VM031共提</v>
      </c>
      <c r="E3" s="18" t="str">
        <f>上机信息表!E3</f>
        <v>研磨液白蛉</v>
      </c>
      <c r="F3" s="18" t="str">
        <f>上机信息表!F3</f>
        <v>DNA</v>
      </c>
      <c r="G3" s="18" t="str">
        <f>上机信息表!H3</f>
        <v>破壁+prime2.0DNA建库</v>
      </c>
      <c r="H3" s="18">
        <f>上机信息表!I3</f>
        <v>0.29199999999999998</v>
      </c>
      <c r="I3" s="18">
        <f>IF(F3="DNA",上机信息表!I3*70,上机信息表!I3*100)</f>
        <v>20.440000000000001</v>
      </c>
      <c r="K3" s="33" t="str">
        <f>上机信息表!A3</f>
        <v>2026.5.20</v>
      </c>
      <c r="L3" s="18">
        <f>上机信息表!J3</f>
        <v>0</v>
      </c>
      <c r="M3" s="18" t="str">
        <f>上机信息表!K3</f>
        <v>KY14539-1-T225D</v>
      </c>
      <c r="N3" s="18" t="str">
        <f>上机信息表!L3</f>
        <v>T225</v>
      </c>
      <c r="O3" s="18">
        <f>上机信息表!M3</f>
        <v>0</v>
      </c>
      <c r="P3" s="18">
        <f>上机信息表!N3</f>
        <v>19.2</v>
      </c>
      <c r="Q3" s="18">
        <f>上机信息表!O3</f>
        <v>20</v>
      </c>
      <c r="R3" s="18" t="str">
        <f>IF(C3=0,"","VMGZ22"&amp;TEXT(MID(pooling详情!$A$1,14,(FIND("期",pooling详情!$A$1)-FIND("第",pooling详情!$A$1)-1)),"0000"))</f>
        <v>VMGZ221635</v>
      </c>
      <c r="S3" s="18">
        <f>上机信息表!P3</f>
        <v>0</v>
      </c>
      <c r="T3" s="18">
        <f>IF(C3=0,"",pooling详情!$G$66)</f>
        <v>8.68</v>
      </c>
      <c r="U3" s="34">
        <f>IF(C3=0,"",pooling详情!$A$80)</f>
        <v>1.3</v>
      </c>
      <c r="V3" s="34" t="str">
        <f t="shared" ref="V3:V34" si="0">IF(C3=0,"","illumina")</f>
        <v>illumina</v>
      </c>
      <c r="W3" s="18">
        <f>上机信息表!X3</f>
        <v>0</v>
      </c>
      <c r="X3" s="18" t="str">
        <f>上机信息表!R3</f>
        <v>科研组+冯冬凤</v>
      </c>
      <c r="Y3" t="str">
        <f t="shared" ref="Y3:Y34" si="1">IF(F3="RNA","RNA提取试剂盒",IF(LEFT(F3,3)="DNA","DNA提取试剂盒",""))</f>
        <v>DNA提取试剂盒</v>
      </c>
      <c r="Z3" t="str">
        <f>IFERROR(IF(Y3="RNA提取试剂盒",CONCATENATE(MID(上机信息表!Q3,SEARCH("提取",上机信息表!Q3),SEARCH("建",上机信息表!Q3)-2)),IF(Y3="DNA提取试剂盒",IF(ISNUMBER(FIND("呼吸道",上机信息表!Q3)),CONCATENATE(MID(上机信息表!Q3,SEARCH("提取",上机信息表!Q3),SEARCH(",",上机信息表!Q3,SEARCH("呼吸道",上机信息表!Q3))-1)),IF(ISNUMBER(FIND("组织",上机信息表!Q3)),CONCATENATE(MID(上机信息表!Q3,SEARCH("提取",上机信息表!Q3),SEARCH(",",上机信息表!Q3,SEARCH("组织",上机信息表!Q3))-1)),CONCATENATE(MID(上机信息表!Q3,SEARCH("提取",上机信息表!Q3),SEARCH(",",上机信息表!Q3)-1)))),"")),"")</f>
        <v/>
      </c>
      <c r="AA3" t="str">
        <f t="shared" ref="AA3:AA34" si="2">IF(F3="RNA","RNA建库试剂盒",IF(LEFT(F3,3)="DNA","DNA建库试剂盒",""))</f>
        <v>DNA建库试剂盒</v>
      </c>
      <c r="AB3" t="str">
        <f>IFERROR(IF(AA3="RNA建库试剂盒",MID(上机信息表!Q3,SEARCH("建库",上机信息表!Q3),20),IF(AA3="DNA建库试剂盒",MID(上机信息表!Q3,SEARCH("建库",上机信息表!Q3),20),"")),"")</f>
        <v>建库RUO20260105/引物2025</v>
      </c>
      <c r="AC3" t="str">
        <f>IF(C3=0,"",CONCATENATE("芯片批号：",'IDseq-上机流程监控表'!$G$5,",","上机试剂批号：",'IDseq-上机流程监控表'!$G$6,",","Buffer批号：",'IDseq-上机流程监控表'!$G$7))</f>
        <v>芯片批号：20546839,上机试剂批号：20557000,Buffer批号：20544484</v>
      </c>
    </row>
    <row r="4" spans="1:36">
      <c r="A4" s="18" t="str">
        <f>IF(C4=0,"","YF23"&amp;TEXT(MID(pooling详情!$A$1,14,(FIND("期",pooling详情!$A$1)-FIND("第",pooling详情!$A$1)-1)),"0000"))</f>
        <v>YF231635</v>
      </c>
      <c r="B4" s="18" t="str">
        <f>上机信息表!G4</f>
        <v>科研样本</v>
      </c>
      <c r="C4" s="18" t="str">
        <f>上机信息表!C4</f>
        <v>KY14540</v>
      </c>
      <c r="D4" s="18" t="str">
        <f>上机信息表!D4</f>
        <v>VM031共提</v>
      </c>
      <c r="E4" s="18" t="str">
        <f>上机信息表!E4</f>
        <v>研磨液白蛉</v>
      </c>
      <c r="F4" s="18" t="str">
        <f>上机信息表!F4</f>
        <v>DNA</v>
      </c>
      <c r="G4" s="18" t="str">
        <f>上机信息表!H4</f>
        <v>破壁+prime2.0DNA建库</v>
      </c>
      <c r="H4" s="18">
        <f>上机信息表!I4</f>
        <v>0.72199999999999998</v>
      </c>
      <c r="I4" s="18">
        <f>IF(F4="DNA",上机信息表!I4*70,上机信息表!I4*100)</f>
        <v>50.54</v>
      </c>
      <c r="K4" s="33" t="str">
        <f>上机信息表!A4</f>
        <v>2026.5.20</v>
      </c>
      <c r="L4" s="18">
        <f>上机信息表!J4</f>
        <v>0</v>
      </c>
      <c r="M4" s="18" t="str">
        <f>上机信息表!K4</f>
        <v>KY14540-1-T226D</v>
      </c>
      <c r="N4" s="18" t="str">
        <f>上机信息表!L4</f>
        <v>T226</v>
      </c>
      <c r="O4" s="18">
        <f>上机信息表!M4</f>
        <v>0</v>
      </c>
      <c r="P4" s="18">
        <f>上机信息表!N4</f>
        <v>17.3</v>
      </c>
      <c r="Q4" s="18">
        <f>上机信息表!O4</f>
        <v>20</v>
      </c>
      <c r="R4" s="18" t="str">
        <f>IF(C4=0,"","VMGZ22"&amp;TEXT(MID(pooling详情!$A$1,14,(FIND("期",pooling详情!$A$1)-FIND("第",pooling详情!$A$1)-1)),"0000"))</f>
        <v>VMGZ221635</v>
      </c>
      <c r="S4" s="18">
        <f>上机信息表!P4</f>
        <v>0</v>
      </c>
      <c r="T4" s="18">
        <f>IF(C4=0,"",pooling详情!$G$66)</f>
        <v>8.68</v>
      </c>
      <c r="U4" s="34">
        <f>IF(C4=0,"",pooling详情!$A$80)</f>
        <v>1.3</v>
      </c>
      <c r="V4" s="34" t="str">
        <f t="shared" si="0"/>
        <v>illumina</v>
      </c>
      <c r="W4" s="18">
        <f>上机信息表!X4</f>
        <v>0</v>
      </c>
      <c r="X4" s="18" t="str">
        <f>上机信息表!R4</f>
        <v>科研组+冯冬凤</v>
      </c>
      <c r="Y4" t="str">
        <f t="shared" si="1"/>
        <v>DNA提取试剂盒</v>
      </c>
      <c r="Z4" t="str">
        <f>IFERROR(IF(Y4="RNA提取试剂盒",CONCATENATE(MID(上机信息表!Q4,SEARCH("提取",上机信息表!Q4),SEARCH("建",上机信息表!Q4)-2)),IF(Y4="DNA提取试剂盒",IF(ISNUMBER(FIND("呼吸道",上机信息表!Q4)),CONCATENATE(MID(上机信息表!Q4,SEARCH("提取",上机信息表!Q4),SEARCH(",",上机信息表!Q4,SEARCH("呼吸道",上机信息表!Q4))-1)),IF(ISNUMBER(FIND("组织",上机信息表!Q4)),CONCATENATE(MID(上机信息表!Q4,SEARCH("提取",上机信息表!Q4),SEARCH(",",上机信息表!Q4,SEARCH("组织",上机信息表!Q4))-1)),CONCATENATE(MID(上机信息表!Q4,SEARCH("提取",上机信息表!Q4),SEARCH(",",上机信息表!Q4)-1)))),"")),"")</f>
        <v/>
      </c>
      <c r="AA4" t="str">
        <f t="shared" si="2"/>
        <v>DNA建库试剂盒</v>
      </c>
      <c r="AB4" t="str">
        <f>IFERROR(IF(AA4="RNA建库试剂盒",MID(上机信息表!Q4,SEARCH("建库",上机信息表!Q4),20),IF(AA4="DNA建库试剂盒",MID(上机信息表!Q4,SEARCH("建库",上机信息表!Q4),20),"")),"")</f>
        <v>建库RUO20260105/引物2025</v>
      </c>
      <c r="AC4" t="str">
        <f>IF(C4=0,"",CONCATENATE("芯片批号：",'IDseq-上机流程监控表'!$G$5,",","上机试剂批号：",'IDseq-上机流程监控表'!$G$6,",","Buffer批号：",'IDseq-上机流程监控表'!$G$7))</f>
        <v>芯片批号：20546839,上机试剂批号：20557000,Buffer批号：20544484</v>
      </c>
    </row>
    <row r="5" spans="1:36">
      <c r="A5" s="18" t="str">
        <f>IF(C5=0,"","YF23"&amp;TEXT(MID(pooling详情!$A$1,14,(FIND("期",pooling详情!$A$1)-FIND("第",pooling详情!$A$1)-1)),"0000"))</f>
        <v>YF231635</v>
      </c>
      <c r="B5" s="18" t="str">
        <f>上机信息表!G5</f>
        <v>科研样本</v>
      </c>
      <c r="C5" s="18" t="str">
        <f>上机信息表!C5</f>
        <v>KY14541</v>
      </c>
      <c r="D5" s="18" t="str">
        <f>上机信息表!D5</f>
        <v>VM031共提</v>
      </c>
      <c r="E5" s="18" t="str">
        <f>上机信息表!E5</f>
        <v>研磨液白蛉</v>
      </c>
      <c r="F5" s="18" t="str">
        <f>上机信息表!F5</f>
        <v>DNA</v>
      </c>
      <c r="G5" s="18" t="str">
        <f>上机信息表!H5</f>
        <v>破壁+prime2.0DNA建库</v>
      </c>
      <c r="H5" s="18">
        <f>上机信息表!I5</f>
        <v>0.51200000000000001</v>
      </c>
      <c r="I5" s="18">
        <f>IF(F5="DNA",上机信息表!I5*70,上机信息表!I5*100)</f>
        <v>35.840000000000003</v>
      </c>
      <c r="K5" s="33" t="str">
        <f>上机信息表!A5</f>
        <v>2026.5.20</v>
      </c>
      <c r="L5" s="18">
        <f>上机信息表!J5</f>
        <v>0</v>
      </c>
      <c r="M5" s="18" t="str">
        <f>上机信息表!K5</f>
        <v>KY14541-1-T227D</v>
      </c>
      <c r="N5" s="18" t="str">
        <f>上机信息表!L5</f>
        <v>T227</v>
      </c>
      <c r="O5" s="18">
        <f>上机信息表!M5</f>
        <v>0</v>
      </c>
      <c r="P5" s="18">
        <f>上机信息表!N5</f>
        <v>17.899999999999999</v>
      </c>
      <c r="Q5" s="18">
        <f>上机信息表!O5</f>
        <v>20</v>
      </c>
      <c r="R5" s="18" t="str">
        <f>IF(C5=0,"","VMGZ22"&amp;TEXT(MID(pooling详情!$A$1,14,(FIND("期",pooling详情!$A$1)-FIND("第",pooling详情!$A$1)-1)),"0000"))</f>
        <v>VMGZ221635</v>
      </c>
      <c r="S5" s="18">
        <f>上机信息表!P5</f>
        <v>0</v>
      </c>
      <c r="T5" s="18">
        <f>IF(C5=0,"",pooling详情!$G$66)</f>
        <v>8.68</v>
      </c>
      <c r="U5" s="34">
        <f>IF(C5=0,"",pooling详情!$A$80)</f>
        <v>1.3</v>
      </c>
      <c r="V5" s="34" t="str">
        <f t="shared" si="0"/>
        <v>illumina</v>
      </c>
      <c r="W5" s="18">
        <f>上机信息表!X5</f>
        <v>0</v>
      </c>
      <c r="X5" s="18" t="str">
        <f>上机信息表!R5</f>
        <v>科研组+冯冬凤</v>
      </c>
      <c r="Y5" t="str">
        <f t="shared" si="1"/>
        <v>DNA提取试剂盒</v>
      </c>
      <c r="Z5" t="str">
        <f>IFERROR(IF(Y5="RNA提取试剂盒",CONCATENATE(MID(上机信息表!Q5,SEARCH("提取",上机信息表!Q5),SEARCH("建",上机信息表!Q5)-2)),IF(Y5="DNA提取试剂盒",IF(ISNUMBER(FIND("呼吸道",上机信息表!Q5)),CONCATENATE(MID(上机信息表!Q5,SEARCH("提取",上机信息表!Q5),SEARCH(",",上机信息表!Q5,SEARCH("呼吸道",上机信息表!Q5))-1)),IF(ISNUMBER(FIND("组织",上机信息表!Q5)),CONCATENATE(MID(上机信息表!Q5,SEARCH("提取",上机信息表!Q5),SEARCH(",",上机信息表!Q5,SEARCH("组织",上机信息表!Q5))-1)),CONCATENATE(MID(上机信息表!Q5,SEARCH("提取",上机信息表!Q5),SEARCH(",",上机信息表!Q5)-1)))),"")),"")</f>
        <v/>
      </c>
      <c r="AA5" t="str">
        <f t="shared" si="2"/>
        <v>DNA建库试剂盒</v>
      </c>
      <c r="AB5" t="str">
        <f>IFERROR(IF(AA5="RNA建库试剂盒",MID(上机信息表!Q5,SEARCH("建库",上机信息表!Q5),20),IF(AA5="DNA建库试剂盒",MID(上机信息表!Q5,SEARCH("建库",上机信息表!Q5),20),"")),"")</f>
        <v>建库RUO20260105/引物2025</v>
      </c>
      <c r="AC5" t="str">
        <f>IF(C5=0,"",CONCATENATE("芯片批号：",'IDseq-上机流程监控表'!$G$5,",","上机试剂批号：",'IDseq-上机流程监控表'!$G$6,",","Buffer批号：",'IDseq-上机流程监控表'!$G$7))</f>
        <v>芯片批号：20546839,上机试剂批号：20557000,Buffer批号：20544484</v>
      </c>
    </row>
    <row r="6" spans="1:36">
      <c r="A6" s="18" t="str">
        <f>IF(C6=0,"","YF23"&amp;TEXT(MID(pooling详情!$A$1,14,(FIND("期",pooling详情!$A$1)-FIND("第",pooling详情!$A$1)-1)),"0000"))</f>
        <v>YF231635</v>
      </c>
      <c r="B6" s="18" t="str">
        <f>上机信息表!G6</f>
        <v>科研样本</v>
      </c>
      <c r="C6" s="18" t="str">
        <f>上机信息表!C6</f>
        <v>KY14542</v>
      </c>
      <c r="D6" s="18" t="str">
        <f>上机信息表!D6</f>
        <v>VM031共提</v>
      </c>
      <c r="E6" s="18" t="str">
        <f>上机信息表!E6</f>
        <v>研磨液白蛉</v>
      </c>
      <c r="F6" s="18" t="str">
        <f>上机信息表!F6</f>
        <v>DNA</v>
      </c>
      <c r="G6" s="18" t="str">
        <f>上机信息表!H6</f>
        <v>破壁+prime2.0DNA建库</v>
      </c>
      <c r="H6" s="18">
        <f>上机信息表!I6</f>
        <v>0.45200000000000001</v>
      </c>
      <c r="I6" s="18">
        <f>IF(F6="DNA",上机信息表!I6*70,上机信息表!I6*100)</f>
        <v>31.64</v>
      </c>
      <c r="K6" s="33" t="str">
        <f>上机信息表!A6</f>
        <v>2026.5.20</v>
      </c>
      <c r="L6" s="18">
        <f>上机信息表!J6</f>
        <v>0</v>
      </c>
      <c r="M6" s="18" t="str">
        <f>上机信息表!K6</f>
        <v>KY14542-1-T230D</v>
      </c>
      <c r="N6" s="18" t="str">
        <f>上机信息表!L6</f>
        <v>T230</v>
      </c>
      <c r="O6" s="18">
        <f>上机信息表!M6</f>
        <v>0</v>
      </c>
      <c r="P6" s="18">
        <f>上机信息表!N6</f>
        <v>14.4</v>
      </c>
      <c r="Q6" s="18">
        <f>上机信息表!O6</f>
        <v>20</v>
      </c>
      <c r="R6" s="18" t="str">
        <f>IF(C6=0,"","VMGZ22"&amp;TEXT(MID(pooling详情!$A$1,14,(FIND("期",pooling详情!$A$1)-FIND("第",pooling详情!$A$1)-1)),"0000"))</f>
        <v>VMGZ221635</v>
      </c>
      <c r="S6" s="18">
        <f>上机信息表!P6</f>
        <v>0</v>
      </c>
      <c r="T6" s="18">
        <f>IF(C6=0,"",pooling详情!$G$66)</f>
        <v>8.68</v>
      </c>
      <c r="U6" s="34">
        <f>IF(C6=0,"",pooling详情!$A$80)</f>
        <v>1.3</v>
      </c>
      <c r="V6" s="34" t="str">
        <f t="shared" si="0"/>
        <v>illumina</v>
      </c>
      <c r="W6" s="18">
        <f>上机信息表!X6</f>
        <v>0</v>
      </c>
      <c r="X6" s="18" t="str">
        <f>上机信息表!R6</f>
        <v>科研组+冯冬凤</v>
      </c>
      <c r="Y6" t="str">
        <f t="shared" si="1"/>
        <v>DNA提取试剂盒</v>
      </c>
      <c r="Z6" t="str">
        <f>IFERROR(IF(Y6="RNA提取试剂盒",CONCATENATE(MID(上机信息表!Q6,SEARCH("提取",上机信息表!Q6),SEARCH("建",上机信息表!Q6)-2)),IF(Y6="DNA提取试剂盒",IF(ISNUMBER(FIND("呼吸道",上机信息表!Q6)),CONCATENATE(MID(上机信息表!Q6,SEARCH("提取",上机信息表!Q6),SEARCH(",",上机信息表!Q6,SEARCH("呼吸道",上机信息表!Q6))-1)),IF(ISNUMBER(FIND("组织",上机信息表!Q6)),CONCATENATE(MID(上机信息表!Q6,SEARCH("提取",上机信息表!Q6),SEARCH(",",上机信息表!Q6,SEARCH("组织",上机信息表!Q6))-1)),CONCATENATE(MID(上机信息表!Q6,SEARCH("提取",上机信息表!Q6),SEARCH(",",上机信息表!Q6)-1)))),"")),"")</f>
        <v/>
      </c>
      <c r="AA6" t="str">
        <f t="shared" si="2"/>
        <v>DNA建库试剂盒</v>
      </c>
      <c r="AB6" t="str">
        <f>IFERROR(IF(AA6="RNA建库试剂盒",MID(上机信息表!Q6,SEARCH("建库",上机信息表!Q6),20),IF(AA6="DNA建库试剂盒",MID(上机信息表!Q6,SEARCH("建库",上机信息表!Q6),20),"")),"")</f>
        <v>建库RUO20260105/引物2025</v>
      </c>
      <c r="AC6" t="str">
        <f>IF(C6=0,"",CONCATENATE("芯片批号：",'IDseq-上机流程监控表'!$G$5,",","上机试剂批号：",'IDseq-上机流程监控表'!$G$6,",","Buffer批号：",'IDseq-上机流程监控表'!$G$7))</f>
        <v>芯片批号：20546839,上机试剂批号：20557000,Buffer批号：20544484</v>
      </c>
    </row>
    <row r="7" spans="1:36">
      <c r="A7" s="18" t="str">
        <f>IF(C7=0,"","YF23"&amp;TEXT(MID(pooling详情!$A$1,14,(FIND("期",pooling详情!$A$1)-FIND("第",pooling详情!$A$1)-1)),"0000"))</f>
        <v>YF231635</v>
      </c>
      <c r="B7" s="18" t="str">
        <f>上机信息表!G7</f>
        <v>科研样本</v>
      </c>
      <c r="C7" s="18" t="str">
        <f>上机信息表!C7</f>
        <v>KY14543</v>
      </c>
      <c r="D7" s="18" t="str">
        <f>上机信息表!D7</f>
        <v>VM031共提</v>
      </c>
      <c r="E7" s="18" t="str">
        <f>上机信息表!E7</f>
        <v>研磨液白蛉</v>
      </c>
      <c r="F7" s="18" t="str">
        <f>上机信息表!F7</f>
        <v>DNA</v>
      </c>
      <c r="G7" s="18" t="str">
        <f>上机信息表!H7</f>
        <v>破壁+prime2.0DNA建库</v>
      </c>
      <c r="H7" s="18">
        <f>上机信息表!I7</f>
        <v>0.86799999999999999</v>
      </c>
      <c r="I7" s="18">
        <f>IF(F7="DNA",上机信息表!I7*70,上机信息表!I7*100)</f>
        <v>60.76</v>
      </c>
      <c r="K7" s="33" t="str">
        <f>上机信息表!A7</f>
        <v>2026.5.20</v>
      </c>
      <c r="L7" s="18">
        <f>上机信息表!J7</f>
        <v>0</v>
      </c>
      <c r="M7" s="18" t="str">
        <f>上机信息表!K7</f>
        <v>KY14543-1-T229D</v>
      </c>
      <c r="N7" s="18" t="str">
        <f>上机信息表!L7</f>
        <v>T229</v>
      </c>
      <c r="O7" s="18">
        <f>上机信息表!M7</f>
        <v>0</v>
      </c>
      <c r="P7" s="18">
        <f>上机信息表!N7</f>
        <v>15.1</v>
      </c>
      <c r="Q7" s="18">
        <f>上机信息表!O7</f>
        <v>20</v>
      </c>
      <c r="R7" s="18" t="str">
        <f>IF(C7=0,"","VMGZ22"&amp;TEXT(MID(pooling详情!$A$1,14,(FIND("期",pooling详情!$A$1)-FIND("第",pooling详情!$A$1)-1)),"0000"))</f>
        <v>VMGZ221635</v>
      </c>
      <c r="S7" s="18">
        <f>上机信息表!P7</f>
        <v>0</v>
      </c>
      <c r="T7" s="18">
        <f>IF(C7=0,"",pooling详情!$G$66)</f>
        <v>8.68</v>
      </c>
      <c r="U7" s="34">
        <f>IF(C7=0,"",pooling详情!$A$80)</f>
        <v>1.3</v>
      </c>
      <c r="V7" s="34" t="str">
        <f t="shared" si="0"/>
        <v>illumina</v>
      </c>
      <c r="W7" s="18">
        <f>上机信息表!X7</f>
        <v>0</v>
      </c>
      <c r="X7" s="18" t="str">
        <f>上机信息表!R7</f>
        <v>科研组+冯冬凤</v>
      </c>
      <c r="Y7" t="str">
        <f t="shared" si="1"/>
        <v>DNA提取试剂盒</v>
      </c>
      <c r="Z7" t="str">
        <f>IFERROR(IF(Y7="RNA提取试剂盒",CONCATENATE(MID(上机信息表!Q7,SEARCH("提取",上机信息表!Q7),SEARCH("建",上机信息表!Q7)-2)),IF(Y7="DNA提取试剂盒",IF(ISNUMBER(FIND("呼吸道",上机信息表!Q7)),CONCATENATE(MID(上机信息表!Q7,SEARCH("提取",上机信息表!Q7),SEARCH(",",上机信息表!Q7,SEARCH("呼吸道",上机信息表!Q7))-1)),IF(ISNUMBER(FIND("组织",上机信息表!Q7)),CONCATENATE(MID(上机信息表!Q7,SEARCH("提取",上机信息表!Q7),SEARCH(",",上机信息表!Q7,SEARCH("组织",上机信息表!Q7))-1)),CONCATENATE(MID(上机信息表!Q7,SEARCH("提取",上机信息表!Q7),SEARCH(",",上机信息表!Q7)-1)))),"")),"")</f>
        <v/>
      </c>
      <c r="AA7" t="str">
        <f t="shared" si="2"/>
        <v>DNA建库试剂盒</v>
      </c>
      <c r="AB7" t="str">
        <f>IFERROR(IF(AA7="RNA建库试剂盒",MID(上机信息表!Q7,SEARCH("建库",上机信息表!Q7),20),IF(AA7="DNA建库试剂盒",MID(上机信息表!Q7,SEARCH("建库",上机信息表!Q7),20),"")),"")</f>
        <v>建库RUO20260105/引物2025</v>
      </c>
      <c r="AC7" t="str">
        <f>IF(C7=0,"",CONCATENATE("芯片批号：",'IDseq-上机流程监控表'!$G$5,",","上机试剂批号：",'IDseq-上机流程监控表'!$G$6,",","Buffer批号：",'IDseq-上机流程监控表'!$G$7))</f>
        <v>芯片批号：20546839,上机试剂批号：20557000,Buffer批号：20544484</v>
      </c>
    </row>
    <row r="8" spans="1:36">
      <c r="A8" s="18" t="str">
        <f>IF(C8=0,"","YF23"&amp;TEXT(MID(pooling详情!$A$1,14,(FIND("期",pooling详情!$A$1)-FIND("第",pooling详情!$A$1)-1)),"0000"))</f>
        <v/>
      </c>
      <c r="B8" s="18">
        <f>上机信息表!G8</f>
        <v>0</v>
      </c>
      <c r="C8" s="18">
        <f>上机信息表!C8</f>
        <v>0</v>
      </c>
      <c r="D8" s="18">
        <f>上机信息表!D8</f>
        <v>0</v>
      </c>
      <c r="E8" s="18">
        <f>上机信息表!E8</f>
        <v>0</v>
      </c>
      <c r="F8" s="18">
        <f>上机信息表!F8</f>
        <v>0</v>
      </c>
      <c r="G8" s="18">
        <f>上机信息表!H8</f>
        <v>0</v>
      </c>
      <c r="H8" s="18">
        <f>上机信息表!I8</f>
        <v>0</v>
      </c>
      <c r="I8" s="18">
        <f>IF(F8="DNA",上机信息表!I8*70,上机信息表!I8*100)</f>
        <v>0</v>
      </c>
      <c r="K8" s="33">
        <f>上机信息表!A8</f>
        <v>0</v>
      </c>
      <c r="L8" s="18">
        <f>上机信息表!J8</f>
        <v>0</v>
      </c>
      <c r="M8" s="18">
        <f>上机信息表!K8</f>
        <v>0</v>
      </c>
      <c r="N8" s="18">
        <f>上机信息表!L8</f>
        <v>0</v>
      </c>
      <c r="O8" s="18">
        <f>上机信息表!M8</f>
        <v>0</v>
      </c>
      <c r="P8" s="18">
        <f>上机信息表!N8</f>
        <v>0</v>
      </c>
      <c r="Q8" s="18">
        <f>上机信息表!O8</f>
        <v>0</v>
      </c>
      <c r="R8" s="18" t="str">
        <f>IF(C8=0,"","VMGZ22"&amp;TEXT(MID(pooling详情!$A$1,14,(FIND("期",pooling详情!$A$1)-FIND("第",pooling详情!$A$1)-1)),"0000"))</f>
        <v/>
      </c>
      <c r="S8" s="18">
        <f>上机信息表!P8</f>
        <v>0</v>
      </c>
      <c r="T8" s="18" t="str">
        <f>IF(C8=0,"",pooling详情!$G$66)</f>
        <v/>
      </c>
      <c r="U8" s="34" t="str">
        <f>IF(C8=0,"",pooling详情!$A$80)</f>
        <v/>
      </c>
      <c r="V8" s="34" t="str">
        <f t="shared" si="0"/>
        <v/>
      </c>
      <c r="W8" s="18">
        <f>上机信息表!X8</f>
        <v>0</v>
      </c>
      <c r="X8" s="18">
        <f>上机信息表!R8</f>
        <v>0</v>
      </c>
      <c r="Y8" t="str">
        <f t="shared" si="1"/>
        <v/>
      </c>
      <c r="Z8" t="str">
        <f>IFERROR(IF(Y8="RNA提取试剂盒",CONCATENATE(MID(上机信息表!Q8,SEARCH("提取",上机信息表!Q8),SEARCH("建",上机信息表!Q8)-2)),IF(Y8="DNA提取试剂盒",IF(ISNUMBER(FIND("呼吸道",上机信息表!Q8)),CONCATENATE(MID(上机信息表!Q8,SEARCH("提取",上机信息表!Q8),SEARCH(",",上机信息表!Q8,SEARCH("呼吸道",上机信息表!Q8))-1)),IF(ISNUMBER(FIND("组织",上机信息表!Q8)),CONCATENATE(MID(上机信息表!Q8,SEARCH("提取",上机信息表!Q8),SEARCH(",",上机信息表!Q8,SEARCH("组织",上机信息表!Q8))-1)),CONCATENATE(MID(上机信息表!Q8,SEARCH("提取",上机信息表!Q8),SEARCH(",",上机信息表!Q8)-1)))),"")),"")</f>
        <v/>
      </c>
      <c r="AA8" t="str">
        <f t="shared" si="2"/>
        <v/>
      </c>
      <c r="AB8" t="str">
        <f>IFERROR(IF(AA8="RNA建库试剂盒",MID(上机信息表!Q8,SEARCH("建库",上机信息表!Q8),20),IF(AA8="DNA建库试剂盒",MID(上机信息表!Q8,SEARCH("建库",上机信息表!Q8),20),"")),"")</f>
        <v/>
      </c>
      <c r="AC8" t="str">
        <f>IF(C8=0,"",CONCATENATE("芯片批号：",'IDseq-上机流程监控表'!$G$5,",","上机试剂批号：",'IDseq-上机流程监控表'!$G$6,",","Buffer批号：",'IDseq-上机流程监控表'!$G$7))</f>
        <v/>
      </c>
    </row>
    <row r="9" spans="1:36">
      <c r="A9" s="18" t="str">
        <f>IF(C9=0,"","YF23"&amp;TEXT(MID(pooling详情!$A$1,14,(FIND("期",pooling详情!$A$1)-FIND("第",pooling详情!$A$1)-1)),"0000"))</f>
        <v/>
      </c>
      <c r="B9" s="18">
        <f>上机信息表!G9</f>
        <v>0</v>
      </c>
      <c r="C9" s="18">
        <f>上机信息表!C9</f>
        <v>0</v>
      </c>
      <c r="D9" s="18">
        <f>上机信息表!D9</f>
        <v>0</v>
      </c>
      <c r="E9" s="18">
        <f>上机信息表!E9</f>
        <v>0</v>
      </c>
      <c r="F9" s="18">
        <f>上机信息表!F9</f>
        <v>0</v>
      </c>
      <c r="G9" s="18">
        <f>上机信息表!H9</f>
        <v>0</v>
      </c>
      <c r="H9" s="18">
        <f>上机信息表!I9</f>
        <v>0</v>
      </c>
      <c r="I9" s="18">
        <f>IF(F9="DNA",上机信息表!I9*70,上机信息表!I9*100)</f>
        <v>0</v>
      </c>
      <c r="K9" s="33">
        <f>上机信息表!A9</f>
        <v>0</v>
      </c>
      <c r="L9" s="18">
        <f>上机信息表!J9</f>
        <v>0</v>
      </c>
      <c r="M9" s="18">
        <f>上机信息表!K9</f>
        <v>0</v>
      </c>
      <c r="N9" s="18">
        <f>上机信息表!L9</f>
        <v>0</v>
      </c>
      <c r="O9" s="18">
        <f>上机信息表!M9</f>
        <v>0</v>
      </c>
      <c r="P9" s="18">
        <f>上机信息表!N9</f>
        <v>0</v>
      </c>
      <c r="Q9" s="18">
        <f>上机信息表!O9</f>
        <v>0</v>
      </c>
      <c r="R9" s="18" t="str">
        <f>IF(C9=0,"","VMGZ22"&amp;TEXT(MID(pooling详情!$A$1,14,(FIND("期",pooling详情!$A$1)-FIND("第",pooling详情!$A$1)-1)),"0000"))</f>
        <v/>
      </c>
      <c r="S9" s="18">
        <f>上机信息表!P9</f>
        <v>0</v>
      </c>
      <c r="T9" s="18" t="str">
        <f>IF(C9=0,"",pooling详情!$G$66)</f>
        <v/>
      </c>
      <c r="U9" s="34" t="str">
        <f>IF(C9=0,"",pooling详情!$A$80)</f>
        <v/>
      </c>
      <c r="V9" s="34" t="str">
        <f t="shared" si="0"/>
        <v/>
      </c>
      <c r="W9" s="18">
        <f>上机信息表!X9</f>
        <v>0</v>
      </c>
      <c r="X9" s="18">
        <f>上机信息表!R9</f>
        <v>0</v>
      </c>
      <c r="Y9" t="str">
        <f t="shared" si="1"/>
        <v/>
      </c>
      <c r="Z9" t="str">
        <f>IFERROR(IF(Y9="RNA提取试剂盒",CONCATENATE(MID(上机信息表!Q9,SEARCH("提取",上机信息表!Q9),SEARCH("建",上机信息表!Q9)-2)),IF(Y9="DNA提取试剂盒",IF(ISNUMBER(FIND("呼吸道",上机信息表!Q9)),CONCATENATE(MID(上机信息表!Q9,SEARCH("提取",上机信息表!Q9),SEARCH(",",上机信息表!Q9,SEARCH("呼吸道",上机信息表!Q9))-1)),IF(ISNUMBER(FIND("组织",上机信息表!Q9)),CONCATENATE(MID(上机信息表!Q9,SEARCH("提取",上机信息表!Q9),SEARCH(",",上机信息表!Q9,SEARCH("组织",上机信息表!Q9))-1)),CONCATENATE(MID(上机信息表!Q9,SEARCH("提取",上机信息表!Q9),SEARCH(",",上机信息表!Q9)-1)))),"")),"")</f>
        <v/>
      </c>
      <c r="AA9" t="str">
        <f t="shared" si="2"/>
        <v/>
      </c>
      <c r="AB9" t="str">
        <f>IFERROR(IF(AA9="RNA建库试剂盒",MID(上机信息表!Q9,SEARCH("建库",上机信息表!Q9),20),IF(AA9="DNA建库试剂盒",MID(上机信息表!Q9,SEARCH("建库",上机信息表!Q9),20),"")),"")</f>
        <v/>
      </c>
      <c r="AC9" t="str">
        <f>IF(C9=0,"",CONCATENATE("芯片批号：",'IDseq-上机流程监控表'!$G$5,",","上机试剂批号：",'IDseq-上机流程监控表'!$G$6,",","Buffer批号：",'IDseq-上机流程监控表'!$G$7))</f>
        <v/>
      </c>
    </row>
    <row r="10" spans="1:36">
      <c r="A10" s="18" t="str">
        <f>IF(C10=0,"","YF23"&amp;TEXT(MID(pooling详情!$A$1,14,(FIND("期",pooling详情!$A$1)-FIND("第",pooling详情!$A$1)-1)),"0000"))</f>
        <v/>
      </c>
      <c r="B10" s="18">
        <f>上机信息表!G10</f>
        <v>0</v>
      </c>
      <c r="C10" s="18">
        <f>上机信息表!C10</f>
        <v>0</v>
      </c>
      <c r="D10" s="18">
        <f>上机信息表!D10</f>
        <v>0</v>
      </c>
      <c r="E10" s="18">
        <f>上机信息表!E10</f>
        <v>0</v>
      </c>
      <c r="F10" s="18">
        <f>上机信息表!F10</f>
        <v>0</v>
      </c>
      <c r="G10" s="18">
        <f>上机信息表!H10</f>
        <v>0</v>
      </c>
      <c r="H10" s="18">
        <f>上机信息表!I10</f>
        <v>0</v>
      </c>
      <c r="I10" s="18">
        <f>IF(F10="DNA",上机信息表!I10*70,上机信息表!I10*100)</f>
        <v>0</v>
      </c>
      <c r="K10" s="33">
        <f>上机信息表!A10</f>
        <v>0</v>
      </c>
      <c r="L10" s="18">
        <f>上机信息表!J10</f>
        <v>0</v>
      </c>
      <c r="M10" s="18">
        <f>上机信息表!K10</f>
        <v>0</v>
      </c>
      <c r="N10" s="18">
        <f>上机信息表!L10</f>
        <v>0</v>
      </c>
      <c r="O10" s="18">
        <f>上机信息表!M10</f>
        <v>0</v>
      </c>
      <c r="P10" s="18">
        <f>上机信息表!N10</f>
        <v>0</v>
      </c>
      <c r="Q10" s="18">
        <f>上机信息表!O10</f>
        <v>0</v>
      </c>
      <c r="R10" s="18" t="str">
        <f>IF(C10=0,"","VMGZ22"&amp;TEXT(MID(pooling详情!$A$1,14,(FIND("期",pooling详情!$A$1)-FIND("第",pooling详情!$A$1)-1)),"0000"))</f>
        <v/>
      </c>
      <c r="S10" s="18">
        <f>上机信息表!P10</f>
        <v>0</v>
      </c>
      <c r="T10" s="18" t="str">
        <f>IF(C10=0,"",pooling详情!$G$66)</f>
        <v/>
      </c>
      <c r="U10" s="34" t="str">
        <f>IF(C10=0,"",pooling详情!$A$80)</f>
        <v/>
      </c>
      <c r="V10" s="34" t="str">
        <f t="shared" si="0"/>
        <v/>
      </c>
      <c r="W10" s="18">
        <f>上机信息表!X10</f>
        <v>0</v>
      </c>
      <c r="X10" s="18">
        <f>上机信息表!R10</f>
        <v>0</v>
      </c>
      <c r="Y10" t="str">
        <f t="shared" si="1"/>
        <v/>
      </c>
      <c r="Z10" t="str">
        <f>IFERROR(IF(Y10="RNA提取试剂盒",CONCATENATE(MID(上机信息表!Q10,SEARCH("提取",上机信息表!Q10),SEARCH("建",上机信息表!Q10)-2)),IF(Y10="DNA提取试剂盒",IF(ISNUMBER(FIND("呼吸道",上机信息表!Q10)),CONCATENATE(MID(上机信息表!Q10,SEARCH("提取",上机信息表!Q10),SEARCH(",",上机信息表!Q10,SEARCH("呼吸道",上机信息表!Q10))-1)),IF(ISNUMBER(FIND("组织",上机信息表!Q10)),CONCATENATE(MID(上机信息表!Q10,SEARCH("提取",上机信息表!Q10),SEARCH(",",上机信息表!Q10,SEARCH("组织",上机信息表!Q10))-1)),CONCATENATE(MID(上机信息表!Q10,SEARCH("提取",上机信息表!Q10),SEARCH(",",上机信息表!Q10)-1)))),"")),"")</f>
        <v/>
      </c>
      <c r="AA10" t="str">
        <f t="shared" si="2"/>
        <v/>
      </c>
      <c r="AB10" t="str">
        <f>IFERROR(IF(AA10="RNA建库试剂盒",MID(上机信息表!Q10,SEARCH("建库",上机信息表!Q10),20),IF(AA10="DNA建库试剂盒",MID(上机信息表!Q10,SEARCH("建库",上机信息表!Q10),20),"")),"")</f>
        <v/>
      </c>
      <c r="AC10" t="str">
        <f>IF(C10=0,"",CONCATENATE("芯片批号：",'IDseq-上机流程监控表'!$G$5,",","上机试剂批号：",'IDseq-上机流程监控表'!$G$6,",","Buffer批号：",'IDseq-上机流程监控表'!$G$7))</f>
        <v/>
      </c>
    </row>
    <row r="11" spans="1:36">
      <c r="A11" s="18" t="str">
        <f>IF(C11=0,"","YF23"&amp;TEXT(MID(pooling详情!$A$1,14,(FIND("期",pooling详情!$A$1)-FIND("第",pooling详情!$A$1)-1)),"0000"))</f>
        <v/>
      </c>
      <c r="B11" s="18">
        <f>上机信息表!G11</f>
        <v>0</v>
      </c>
      <c r="C11" s="18">
        <f>上机信息表!C11</f>
        <v>0</v>
      </c>
      <c r="D11" s="18">
        <f>上机信息表!D11</f>
        <v>0</v>
      </c>
      <c r="E11" s="18">
        <f>上机信息表!E11</f>
        <v>0</v>
      </c>
      <c r="F11" s="18">
        <f>上机信息表!F11</f>
        <v>0</v>
      </c>
      <c r="G11" s="18">
        <f>上机信息表!H11</f>
        <v>0</v>
      </c>
      <c r="H11" s="18">
        <f>上机信息表!I11</f>
        <v>0</v>
      </c>
      <c r="I11" s="18">
        <f>IF(F11="DNA",上机信息表!I11*70,上机信息表!I11*100)</f>
        <v>0</v>
      </c>
      <c r="K11" s="33">
        <f>上机信息表!A11</f>
        <v>0</v>
      </c>
      <c r="L11" s="18">
        <f>上机信息表!J11</f>
        <v>0</v>
      </c>
      <c r="M11" s="18">
        <f>上机信息表!K11</f>
        <v>0</v>
      </c>
      <c r="N11" s="18">
        <f>上机信息表!L11</f>
        <v>0</v>
      </c>
      <c r="O11" s="18">
        <f>上机信息表!M11</f>
        <v>0</v>
      </c>
      <c r="P11" s="18">
        <f>上机信息表!N11</f>
        <v>0</v>
      </c>
      <c r="Q11" s="18">
        <f>上机信息表!O11</f>
        <v>0</v>
      </c>
      <c r="R11" s="18" t="str">
        <f>IF(C11=0,"","VMGZ22"&amp;TEXT(MID(pooling详情!$A$1,14,(FIND("期",pooling详情!$A$1)-FIND("第",pooling详情!$A$1)-1)),"0000"))</f>
        <v/>
      </c>
      <c r="S11" s="18">
        <f>上机信息表!P11</f>
        <v>0</v>
      </c>
      <c r="T11" s="18" t="str">
        <f>IF(C11=0,"",pooling详情!$G$66)</f>
        <v/>
      </c>
      <c r="U11" s="34" t="str">
        <f>IF(C11=0,"",pooling详情!$A$80)</f>
        <v/>
      </c>
      <c r="V11" s="34" t="str">
        <f t="shared" si="0"/>
        <v/>
      </c>
      <c r="W11" s="18">
        <f>上机信息表!X11</f>
        <v>0</v>
      </c>
      <c r="X11" s="18">
        <f>上机信息表!R11</f>
        <v>0</v>
      </c>
      <c r="Y11" t="str">
        <f t="shared" si="1"/>
        <v/>
      </c>
      <c r="Z11" t="str">
        <f>IFERROR(IF(Y11="RNA提取试剂盒",CONCATENATE(MID(上机信息表!Q11,SEARCH("提取",上机信息表!Q11),SEARCH("建",上机信息表!Q11)-2)),IF(Y11="DNA提取试剂盒",IF(ISNUMBER(FIND("呼吸道",上机信息表!Q11)),CONCATENATE(MID(上机信息表!Q11,SEARCH("提取",上机信息表!Q11),SEARCH(",",上机信息表!Q11,SEARCH("呼吸道",上机信息表!Q11))-1)),IF(ISNUMBER(FIND("组织",上机信息表!Q11)),CONCATENATE(MID(上机信息表!Q11,SEARCH("提取",上机信息表!Q11),SEARCH(",",上机信息表!Q11,SEARCH("组织",上机信息表!Q11))-1)),CONCATENATE(MID(上机信息表!Q11,SEARCH("提取",上机信息表!Q11),SEARCH(",",上机信息表!Q11)-1)))),"")),"")</f>
        <v/>
      </c>
      <c r="AA11" t="str">
        <f t="shared" si="2"/>
        <v/>
      </c>
      <c r="AB11" t="str">
        <f>IFERROR(IF(AA11="RNA建库试剂盒",MID(上机信息表!Q11,SEARCH("建库",上机信息表!Q11),20),IF(AA11="DNA建库试剂盒",MID(上机信息表!Q11,SEARCH("建库",上机信息表!Q11),20),"")),"")</f>
        <v/>
      </c>
      <c r="AC11" t="str">
        <f>IF(C11=0,"",CONCATENATE("芯片批号：",'IDseq-上机流程监控表'!$G$5,",","上机试剂批号：",'IDseq-上机流程监控表'!$G$6,",","Buffer批号：",'IDseq-上机流程监控表'!$G$7))</f>
        <v/>
      </c>
    </row>
    <row r="12" spans="1:36">
      <c r="A12" s="18" t="str">
        <f>IF(C12=0,"","YF23"&amp;TEXT(MID(pooling详情!$A$1,14,(FIND("期",pooling详情!$A$1)-FIND("第",pooling详情!$A$1)-1)),"0000"))</f>
        <v/>
      </c>
      <c r="B12" s="18">
        <f>上机信息表!G12</f>
        <v>0</v>
      </c>
      <c r="C12" s="18">
        <f>上机信息表!C12</f>
        <v>0</v>
      </c>
      <c r="D12" s="18">
        <f>上机信息表!D12</f>
        <v>0</v>
      </c>
      <c r="E12" s="18">
        <f>上机信息表!E12</f>
        <v>0</v>
      </c>
      <c r="F12" s="18">
        <f>上机信息表!F12</f>
        <v>0</v>
      </c>
      <c r="G12" s="18">
        <f>上机信息表!H12</f>
        <v>0</v>
      </c>
      <c r="H12" s="18">
        <f>上机信息表!I12</f>
        <v>0</v>
      </c>
      <c r="I12" s="18">
        <f>IF(F12="DNA",上机信息表!I12*70,上机信息表!I12*100)</f>
        <v>0</v>
      </c>
      <c r="K12" s="33">
        <f>上机信息表!A12</f>
        <v>0</v>
      </c>
      <c r="L12" s="18">
        <f>上机信息表!J12</f>
        <v>0</v>
      </c>
      <c r="M12" s="18">
        <f>上机信息表!K12</f>
        <v>0</v>
      </c>
      <c r="N12" s="18">
        <f>上机信息表!L12</f>
        <v>0</v>
      </c>
      <c r="O12" s="18">
        <f>上机信息表!M12</f>
        <v>0</v>
      </c>
      <c r="P12" s="18">
        <f>上机信息表!N12</f>
        <v>0</v>
      </c>
      <c r="Q12" s="18">
        <f>上机信息表!O12</f>
        <v>0</v>
      </c>
      <c r="R12" s="18" t="str">
        <f>IF(C12=0,"","VMGZ22"&amp;TEXT(MID(pooling详情!$A$1,14,(FIND("期",pooling详情!$A$1)-FIND("第",pooling详情!$A$1)-1)),"0000"))</f>
        <v/>
      </c>
      <c r="S12" s="18">
        <f>上机信息表!P12</f>
        <v>0</v>
      </c>
      <c r="T12" s="18" t="str">
        <f>IF(C12=0,"",pooling详情!$G$66)</f>
        <v/>
      </c>
      <c r="U12" s="34" t="str">
        <f>IF(C12=0,"",pooling详情!$A$80)</f>
        <v/>
      </c>
      <c r="V12" s="34" t="str">
        <f t="shared" si="0"/>
        <v/>
      </c>
      <c r="W12" s="18">
        <f>上机信息表!X12</f>
        <v>0</v>
      </c>
      <c r="X12" s="18">
        <f>上机信息表!R12</f>
        <v>0</v>
      </c>
      <c r="Y12" t="str">
        <f t="shared" si="1"/>
        <v/>
      </c>
      <c r="Z12" t="str">
        <f>IFERROR(IF(Y12="RNA提取试剂盒",CONCATENATE(MID(上机信息表!Q12,SEARCH("提取",上机信息表!Q12),SEARCH("建",上机信息表!Q12)-2)),IF(Y12="DNA提取试剂盒",IF(ISNUMBER(FIND("呼吸道",上机信息表!Q12)),CONCATENATE(MID(上机信息表!Q12,SEARCH("提取",上机信息表!Q12),SEARCH(",",上机信息表!Q12,SEARCH("呼吸道",上机信息表!Q12))-1)),IF(ISNUMBER(FIND("组织",上机信息表!Q12)),CONCATENATE(MID(上机信息表!Q12,SEARCH("提取",上机信息表!Q12),SEARCH(",",上机信息表!Q12,SEARCH("组织",上机信息表!Q12))-1)),CONCATENATE(MID(上机信息表!Q12,SEARCH("提取",上机信息表!Q12),SEARCH(",",上机信息表!Q12)-1)))),"")),"")</f>
        <v/>
      </c>
      <c r="AA12" t="str">
        <f t="shared" si="2"/>
        <v/>
      </c>
      <c r="AB12" t="str">
        <f>IFERROR(IF(AA12="RNA建库试剂盒",MID(上机信息表!Q12,SEARCH("建库",上机信息表!Q12),20),IF(AA12="DNA建库试剂盒",MID(上机信息表!Q12,SEARCH("建库",上机信息表!Q12),20),"")),"")</f>
        <v/>
      </c>
      <c r="AC12" t="str">
        <f>IF(C12=0,"",CONCATENATE("芯片批号：",'IDseq-上机流程监控表'!$G$5,",","上机试剂批号：",'IDseq-上机流程监控表'!$G$6,",","Buffer批号：",'IDseq-上机流程监控表'!$G$7))</f>
        <v/>
      </c>
    </row>
    <row r="13" spans="1:36">
      <c r="A13" s="18" t="str">
        <f>IF(C13=0,"","YF23"&amp;TEXT(MID(pooling详情!$A$1,14,(FIND("期",pooling详情!$A$1)-FIND("第",pooling详情!$A$1)-1)),"0000"))</f>
        <v/>
      </c>
      <c r="B13" s="18">
        <f>上机信息表!G13</f>
        <v>0</v>
      </c>
      <c r="C13" s="18">
        <f>上机信息表!C13</f>
        <v>0</v>
      </c>
      <c r="D13" s="18">
        <f>上机信息表!D13</f>
        <v>0</v>
      </c>
      <c r="E13" s="18">
        <f>上机信息表!E13</f>
        <v>0</v>
      </c>
      <c r="F13" s="18">
        <f>上机信息表!F13</f>
        <v>0</v>
      </c>
      <c r="G13" s="18">
        <f>上机信息表!H13</f>
        <v>0</v>
      </c>
      <c r="H13" s="18">
        <f>上机信息表!I13</f>
        <v>0</v>
      </c>
      <c r="I13" s="18">
        <f>IF(F13="DNA",上机信息表!I13*70,上机信息表!I13*100)</f>
        <v>0</v>
      </c>
      <c r="K13" s="33">
        <f>上机信息表!A13</f>
        <v>0</v>
      </c>
      <c r="L13" s="18">
        <f>上机信息表!J13</f>
        <v>0</v>
      </c>
      <c r="M13" s="18">
        <f>上机信息表!K13</f>
        <v>0</v>
      </c>
      <c r="N13" s="18">
        <f>上机信息表!L13</f>
        <v>0</v>
      </c>
      <c r="O13" s="18">
        <f>上机信息表!M13</f>
        <v>0</v>
      </c>
      <c r="P13" s="18">
        <f>上机信息表!N13</f>
        <v>0</v>
      </c>
      <c r="Q13" s="18">
        <f>上机信息表!O13</f>
        <v>0</v>
      </c>
      <c r="R13" s="18" t="str">
        <f>IF(C13=0,"","VMGZ22"&amp;TEXT(MID(pooling详情!$A$1,14,(FIND("期",pooling详情!$A$1)-FIND("第",pooling详情!$A$1)-1)),"0000"))</f>
        <v/>
      </c>
      <c r="S13" s="18">
        <f>上机信息表!P13</f>
        <v>0</v>
      </c>
      <c r="T13" s="18" t="str">
        <f>IF(C13=0,"",pooling详情!$G$66)</f>
        <v/>
      </c>
      <c r="U13" s="34" t="str">
        <f>IF(C13=0,"",pooling详情!$A$80)</f>
        <v/>
      </c>
      <c r="V13" s="34" t="str">
        <f t="shared" si="0"/>
        <v/>
      </c>
      <c r="W13" s="18">
        <f>上机信息表!X13</f>
        <v>0</v>
      </c>
      <c r="X13" s="18">
        <f>上机信息表!R13</f>
        <v>0</v>
      </c>
      <c r="Y13" t="str">
        <f t="shared" si="1"/>
        <v/>
      </c>
      <c r="Z13" t="str">
        <f>IFERROR(IF(Y13="RNA提取试剂盒",CONCATENATE(MID(上机信息表!Q13,SEARCH("提取",上机信息表!Q13),SEARCH("建",上机信息表!Q13)-2)),IF(Y13="DNA提取试剂盒",IF(ISNUMBER(FIND("呼吸道",上机信息表!Q13)),CONCATENATE(MID(上机信息表!Q13,SEARCH("提取",上机信息表!Q13),SEARCH(",",上机信息表!Q13,SEARCH("呼吸道",上机信息表!Q13))-1)),IF(ISNUMBER(FIND("组织",上机信息表!Q13)),CONCATENATE(MID(上机信息表!Q13,SEARCH("提取",上机信息表!Q13),SEARCH(",",上机信息表!Q13,SEARCH("组织",上机信息表!Q13))-1)),CONCATENATE(MID(上机信息表!Q13,SEARCH("提取",上机信息表!Q13),SEARCH(",",上机信息表!Q13)-1)))),"")),"")</f>
        <v/>
      </c>
      <c r="AA13" t="str">
        <f t="shared" si="2"/>
        <v/>
      </c>
      <c r="AB13" t="str">
        <f>IFERROR(IF(AA13="RNA建库试剂盒",MID(上机信息表!Q13,SEARCH("建库",上机信息表!Q13),20),IF(AA13="DNA建库试剂盒",MID(上机信息表!Q13,SEARCH("建库",上机信息表!Q13),20),"")),"")</f>
        <v/>
      </c>
      <c r="AC13" t="str">
        <f>IF(C13=0,"",CONCATENATE("芯片批号：",'IDseq-上机流程监控表'!$G$5,",","上机试剂批号：",'IDseq-上机流程监控表'!$G$6,",","Buffer批号：",'IDseq-上机流程监控表'!$G$7))</f>
        <v/>
      </c>
    </row>
    <row r="14" spans="1:36">
      <c r="A14" s="18" t="str">
        <f>IF(C14=0,"","YF23"&amp;TEXT(MID(pooling详情!$A$1,14,(FIND("期",pooling详情!$A$1)-FIND("第",pooling详情!$A$1)-1)),"0000"))</f>
        <v/>
      </c>
      <c r="B14" s="18">
        <f>上机信息表!G14</f>
        <v>0</v>
      </c>
      <c r="C14" s="18">
        <f>上机信息表!C14</f>
        <v>0</v>
      </c>
      <c r="D14" s="18">
        <f>上机信息表!D14</f>
        <v>0</v>
      </c>
      <c r="E14" s="18">
        <f>上机信息表!E14</f>
        <v>0</v>
      </c>
      <c r="F14" s="18">
        <f>上机信息表!F14</f>
        <v>0</v>
      </c>
      <c r="G14" s="18">
        <f>上机信息表!H14</f>
        <v>0</v>
      </c>
      <c r="H14" s="18">
        <f>上机信息表!I14</f>
        <v>0</v>
      </c>
      <c r="I14" s="18">
        <f>IF(F14="DNA",上机信息表!I14*70,上机信息表!I14*100)</f>
        <v>0</v>
      </c>
      <c r="K14" s="33">
        <f>上机信息表!A14</f>
        <v>0</v>
      </c>
      <c r="L14" s="18">
        <f>上机信息表!J14</f>
        <v>0</v>
      </c>
      <c r="M14" s="18">
        <f>上机信息表!K14</f>
        <v>0</v>
      </c>
      <c r="N14" s="18">
        <f>上机信息表!L14</f>
        <v>0</v>
      </c>
      <c r="O14" s="18">
        <f>上机信息表!M14</f>
        <v>0</v>
      </c>
      <c r="P14" s="18">
        <f>上机信息表!N14</f>
        <v>0</v>
      </c>
      <c r="Q14" s="18">
        <f>上机信息表!O14</f>
        <v>0</v>
      </c>
      <c r="R14" s="18" t="str">
        <f>IF(C14=0,"","VMGZ22"&amp;TEXT(MID(pooling详情!$A$1,14,(FIND("期",pooling详情!$A$1)-FIND("第",pooling详情!$A$1)-1)),"0000"))</f>
        <v/>
      </c>
      <c r="S14" s="18">
        <f>上机信息表!P14</f>
        <v>0</v>
      </c>
      <c r="T14" s="18" t="str">
        <f>IF(C14=0,"",pooling详情!$G$66)</f>
        <v/>
      </c>
      <c r="U14" s="34" t="str">
        <f>IF(C14=0,"",pooling详情!$A$80)</f>
        <v/>
      </c>
      <c r="V14" s="34" t="str">
        <f t="shared" si="0"/>
        <v/>
      </c>
      <c r="W14" s="18">
        <f>上机信息表!X14</f>
        <v>0</v>
      </c>
      <c r="X14" s="18">
        <f>上机信息表!R14</f>
        <v>0</v>
      </c>
      <c r="Y14" t="str">
        <f t="shared" si="1"/>
        <v/>
      </c>
      <c r="Z14" t="str">
        <f>IFERROR(IF(Y14="RNA提取试剂盒",CONCATENATE(MID(上机信息表!Q14,SEARCH("提取",上机信息表!Q14),SEARCH("建",上机信息表!Q14)-2)),IF(Y14="DNA提取试剂盒",IF(ISNUMBER(FIND("呼吸道",上机信息表!Q14)),CONCATENATE(MID(上机信息表!Q14,SEARCH("提取",上机信息表!Q14),SEARCH(",",上机信息表!Q14,SEARCH("呼吸道",上机信息表!Q14))-1)),IF(ISNUMBER(FIND("组织",上机信息表!Q14)),CONCATENATE(MID(上机信息表!Q14,SEARCH("提取",上机信息表!Q14),SEARCH(",",上机信息表!Q14,SEARCH("组织",上机信息表!Q14))-1)),CONCATENATE(MID(上机信息表!Q14,SEARCH("提取",上机信息表!Q14),SEARCH(",",上机信息表!Q14)-1)))),"")),"")</f>
        <v/>
      </c>
      <c r="AA14" t="str">
        <f t="shared" si="2"/>
        <v/>
      </c>
      <c r="AB14" t="str">
        <f>IFERROR(IF(AA14="RNA建库试剂盒",MID(上机信息表!Q14,SEARCH("建库",上机信息表!Q14),20),IF(AA14="DNA建库试剂盒",MID(上机信息表!Q14,SEARCH("建库",上机信息表!Q14),20),"")),"")</f>
        <v/>
      </c>
      <c r="AC14" t="str">
        <f>IF(C14=0,"",CONCATENATE("芯片批号：",'IDseq-上机流程监控表'!$G$5,",","上机试剂批号：",'IDseq-上机流程监控表'!$G$6,",","Buffer批号：",'IDseq-上机流程监控表'!$G$7))</f>
        <v/>
      </c>
    </row>
    <row r="15" spans="1:36">
      <c r="A15" s="18" t="str">
        <f>IF(C15=0,"","YF23"&amp;TEXT(MID(pooling详情!$A$1,14,(FIND("期",pooling详情!$A$1)-FIND("第",pooling详情!$A$1)-1)),"0000"))</f>
        <v/>
      </c>
      <c r="B15" s="18">
        <f>上机信息表!G15</f>
        <v>0</v>
      </c>
      <c r="C15" s="18">
        <f>上机信息表!C15</f>
        <v>0</v>
      </c>
      <c r="D15" s="18">
        <f>上机信息表!D15</f>
        <v>0</v>
      </c>
      <c r="E15" s="18">
        <f>上机信息表!E15</f>
        <v>0</v>
      </c>
      <c r="F15" s="18">
        <f>上机信息表!F15</f>
        <v>0</v>
      </c>
      <c r="G15" s="18">
        <f>上机信息表!H15</f>
        <v>0</v>
      </c>
      <c r="H15" s="18">
        <f>上机信息表!I15</f>
        <v>0</v>
      </c>
      <c r="I15" s="18">
        <f>IF(F15="DNA",上机信息表!I15*70,上机信息表!I15*100)</f>
        <v>0</v>
      </c>
      <c r="K15" s="33">
        <f>上机信息表!A15</f>
        <v>0</v>
      </c>
      <c r="L15" s="18">
        <f>上机信息表!J15</f>
        <v>0</v>
      </c>
      <c r="M15" s="18">
        <f>上机信息表!K15</f>
        <v>0</v>
      </c>
      <c r="N15" s="18">
        <f>上机信息表!L15</f>
        <v>0</v>
      </c>
      <c r="O15" s="18">
        <f>上机信息表!M15</f>
        <v>0</v>
      </c>
      <c r="P15" s="18">
        <f>上机信息表!N15</f>
        <v>0</v>
      </c>
      <c r="Q15" s="18">
        <f>上机信息表!O15</f>
        <v>0</v>
      </c>
      <c r="R15" s="18" t="str">
        <f>IF(C15=0,"","VMGZ22"&amp;TEXT(MID(pooling详情!$A$1,14,(FIND("期",pooling详情!$A$1)-FIND("第",pooling详情!$A$1)-1)),"0000"))</f>
        <v/>
      </c>
      <c r="S15" s="18">
        <f>上机信息表!P15</f>
        <v>0</v>
      </c>
      <c r="T15" s="18" t="str">
        <f>IF(C15=0,"",pooling详情!$G$66)</f>
        <v/>
      </c>
      <c r="U15" s="34" t="str">
        <f>IF(C15=0,"",pooling详情!$A$80)</f>
        <v/>
      </c>
      <c r="V15" s="34" t="str">
        <f t="shared" si="0"/>
        <v/>
      </c>
      <c r="W15" s="18">
        <f>上机信息表!X15</f>
        <v>0</v>
      </c>
      <c r="X15" s="18">
        <f>上机信息表!R15</f>
        <v>0</v>
      </c>
      <c r="Y15" t="str">
        <f t="shared" si="1"/>
        <v/>
      </c>
      <c r="Z15" t="str">
        <f>IFERROR(IF(Y15="RNA提取试剂盒",CONCATENATE(MID(上机信息表!Q15,SEARCH("提取",上机信息表!Q15),SEARCH("建",上机信息表!Q15)-2)),IF(Y15="DNA提取试剂盒",IF(ISNUMBER(FIND("呼吸道",上机信息表!Q15)),CONCATENATE(MID(上机信息表!Q15,SEARCH("提取",上机信息表!Q15),SEARCH(",",上机信息表!Q15,SEARCH("呼吸道",上机信息表!Q15))-1)),IF(ISNUMBER(FIND("组织",上机信息表!Q15)),CONCATENATE(MID(上机信息表!Q15,SEARCH("提取",上机信息表!Q15),SEARCH(",",上机信息表!Q15,SEARCH("组织",上机信息表!Q15))-1)),CONCATENATE(MID(上机信息表!Q15,SEARCH("提取",上机信息表!Q15),SEARCH(",",上机信息表!Q15)-1)))),"")),"")</f>
        <v/>
      </c>
      <c r="AA15" t="str">
        <f t="shared" si="2"/>
        <v/>
      </c>
      <c r="AB15" t="str">
        <f>IFERROR(IF(AA15="RNA建库试剂盒",MID(上机信息表!Q15,SEARCH("建库",上机信息表!Q15),20),IF(AA15="DNA建库试剂盒",MID(上机信息表!Q15,SEARCH("建库",上机信息表!Q15),20),"")),"")</f>
        <v/>
      </c>
      <c r="AC15" t="str">
        <f>IF(C15=0,"",CONCATENATE("芯片批号：",'IDseq-上机流程监控表'!$G$5,",","上机试剂批号：",'IDseq-上机流程监控表'!$G$6,",","Buffer批号：",'IDseq-上机流程监控表'!$G$7))</f>
        <v/>
      </c>
    </row>
    <row r="16" spans="1:36">
      <c r="A16" s="18" t="str">
        <f>IF(C16=0,"","YF23"&amp;TEXT(MID(pooling详情!$A$1,14,(FIND("期",pooling详情!$A$1)-FIND("第",pooling详情!$A$1)-1)),"0000"))</f>
        <v/>
      </c>
      <c r="B16" s="18">
        <f>上机信息表!G16</f>
        <v>0</v>
      </c>
      <c r="C16" s="18">
        <f>上机信息表!C16</f>
        <v>0</v>
      </c>
      <c r="D16" s="18">
        <f>上机信息表!D16</f>
        <v>0</v>
      </c>
      <c r="E16" s="18">
        <f>上机信息表!E16</f>
        <v>0</v>
      </c>
      <c r="F16" s="18">
        <f>上机信息表!F16</f>
        <v>0</v>
      </c>
      <c r="G16" s="18">
        <f>上机信息表!H16</f>
        <v>0</v>
      </c>
      <c r="H16" s="18">
        <f>上机信息表!I16</f>
        <v>0</v>
      </c>
      <c r="I16" s="18">
        <f>IF(F16="DNA",上机信息表!I16*70,上机信息表!I16*100)</f>
        <v>0</v>
      </c>
      <c r="K16" s="33">
        <f>上机信息表!A16</f>
        <v>0</v>
      </c>
      <c r="L16" s="18">
        <f>上机信息表!J16</f>
        <v>0</v>
      </c>
      <c r="M16" s="18">
        <f>上机信息表!K16</f>
        <v>0</v>
      </c>
      <c r="N16" s="18">
        <f>上机信息表!L16</f>
        <v>0</v>
      </c>
      <c r="O16" s="18">
        <f>上机信息表!M16</f>
        <v>0</v>
      </c>
      <c r="P16" s="18">
        <f>上机信息表!N16</f>
        <v>0</v>
      </c>
      <c r="Q16" s="18">
        <f>上机信息表!O16</f>
        <v>0</v>
      </c>
      <c r="R16" s="18" t="str">
        <f>IF(C16=0,"","VMGZ22"&amp;TEXT(MID(pooling详情!$A$1,14,(FIND("期",pooling详情!$A$1)-FIND("第",pooling详情!$A$1)-1)),"0000"))</f>
        <v/>
      </c>
      <c r="S16" s="18">
        <f>上机信息表!P16</f>
        <v>0</v>
      </c>
      <c r="T16" s="18" t="str">
        <f>IF(C16=0,"",pooling详情!$G$66)</f>
        <v/>
      </c>
      <c r="U16" s="34" t="str">
        <f>IF(C16=0,"",pooling详情!$A$80)</f>
        <v/>
      </c>
      <c r="V16" s="34" t="str">
        <f t="shared" si="0"/>
        <v/>
      </c>
      <c r="W16" s="18">
        <f>上机信息表!X16</f>
        <v>0</v>
      </c>
      <c r="X16" s="18">
        <f>上机信息表!R16</f>
        <v>0</v>
      </c>
      <c r="Y16" t="str">
        <f t="shared" si="1"/>
        <v/>
      </c>
      <c r="Z16" t="str">
        <f>IFERROR(IF(Y16="RNA提取试剂盒",CONCATENATE(MID(上机信息表!Q16,SEARCH("提取",上机信息表!Q16),SEARCH("建",上机信息表!Q16)-2)),IF(Y16="DNA提取试剂盒",IF(ISNUMBER(FIND("呼吸道",上机信息表!Q16)),CONCATENATE(MID(上机信息表!Q16,SEARCH("提取",上机信息表!Q16),SEARCH(",",上机信息表!Q16,SEARCH("呼吸道",上机信息表!Q16))-1)),IF(ISNUMBER(FIND("组织",上机信息表!Q16)),CONCATENATE(MID(上机信息表!Q16,SEARCH("提取",上机信息表!Q16),SEARCH(",",上机信息表!Q16,SEARCH("组织",上机信息表!Q16))-1)),CONCATENATE(MID(上机信息表!Q16,SEARCH("提取",上机信息表!Q16),SEARCH(",",上机信息表!Q16)-1)))),"")),"")</f>
        <v/>
      </c>
      <c r="AA16" t="str">
        <f t="shared" si="2"/>
        <v/>
      </c>
      <c r="AB16" t="str">
        <f>IFERROR(IF(AA16="RNA建库试剂盒",MID(上机信息表!Q16,SEARCH("建库",上机信息表!Q16),20),IF(AA16="DNA建库试剂盒",MID(上机信息表!Q16,SEARCH("建库",上机信息表!Q16),20),"")),"")</f>
        <v/>
      </c>
      <c r="AC16" t="str">
        <f>IF(C16=0,"",CONCATENATE("芯片批号：",'IDseq-上机流程监控表'!$G$5,",","上机试剂批号：",'IDseq-上机流程监控表'!$G$6,",","Buffer批号：",'IDseq-上机流程监控表'!$G$7))</f>
        <v/>
      </c>
    </row>
    <row r="17" spans="1:29">
      <c r="A17" s="18" t="str">
        <f>IF(C17=0,"","YF23"&amp;TEXT(MID(pooling详情!$A$1,14,(FIND("期",pooling详情!$A$1)-FIND("第",pooling详情!$A$1)-1)),"0000"))</f>
        <v/>
      </c>
      <c r="B17" s="18">
        <f>上机信息表!G17</f>
        <v>0</v>
      </c>
      <c r="C17" s="18">
        <f>上机信息表!C17</f>
        <v>0</v>
      </c>
      <c r="D17" s="18">
        <f>上机信息表!D17</f>
        <v>0</v>
      </c>
      <c r="E17" s="18">
        <f>上机信息表!E17</f>
        <v>0</v>
      </c>
      <c r="F17" s="18">
        <f>上机信息表!F17</f>
        <v>0</v>
      </c>
      <c r="G17" s="18">
        <f>上机信息表!H17</f>
        <v>0</v>
      </c>
      <c r="H17" s="18">
        <f>上机信息表!I17</f>
        <v>0</v>
      </c>
      <c r="I17" s="18">
        <f>IF(F17="DNA",上机信息表!I17*70,上机信息表!I17*100)</f>
        <v>0</v>
      </c>
      <c r="K17" s="33">
        <f>上机信息表!A17</f>
        <v>0</v>
      </c>
      <c r="L17" s="18">
        <f>上机信息表!J17</f>
        <v>0</v>
      </c>
      <c r="M17" s="18">
        <f>上机信息表!K17</f>
        <v>0</v>
      </c>
      <c r="N17" s="18">
        <f>上机信息表!L17</f>
        <v>0</v>
      </c>
      <c r="O17" s="18">
        <f>上机信息表!M17</f>
        <v>0</v>
      </c>
      <c r="P17" s="18">
        <f>上机信息表!N17</f>
        <v>0</v>
      </c>
      <c r="Q17" s="18">
        <f>上机信息表!O17</f>
        <v>0</v>
      </c>
      <c r="R17" s="18" t="str">
        <f>IF(C17=0,"","VMGZ22"&amp;TEXT(MID(pooling详情!$A$1,14,(FIND("期",pooling详情!$A$1)-FIND("第",pooling详情!$A$1)-1)),"0000"))</f>
        <v/>
      </c>
      <c r="S17" s="18">
        <f>上机信息表!P17</f>
        <v>0</v>
      </c>
      <c r="T17" s="18" t="str">
        <f>IF(C17=0,"",pooling详情!$G$66)</f>
        <v/>
      </c>
      <c r="U17" s="34" t="str">
        <f>IF(C17=0,"",pooling详情!$A$80)</f>
        <v/>
      </c>
      <c r="V17" s="34" t="str">
        <f t="shared" si="0"/>
        <v/>
      </c>
      <c r="W17" s="18">
        <f>上机信息表!X17</f>
        <v>0</v>
      </c>
      <c r="X17" s="18">
        <f>上机信息表!R17</f>
        <v>0</v>
      </c>
      <c r="Y17" t="str">
        <f t="shared" si="1"/>
        <v/>
      </c>
      <c r="Z17" t="str">
        <f>IFERROR(IF(Y17="RNA提取试剂盒",CONCATENATE(MID(上机信息表!Q17,SEARCH("提取",上机信息表!Q17),SEARCH("建",上机信息表!Q17)-2)),IF(Y17="DNA提取试剂盒",IF(ISNUMBER(FIND("呼吸道",上机信息表!Q17)),CONCATENATE(MID(上机信息表!Q17,SEARCH("提取",上机信息表!Q17),SEARCH(",",上机信息表!Q17,SEARCH("呼吸道",上机信息表!Q17))-1)),IF(ISNUMBER(FIND("组织",上机信息表!Q17)),CONCATENATE(MID(上机信息表!Q17,SEARCH("提取",上机信息表!Q17),SEARCH(",",上机信息表!Q17,SEARCH("组织",上机信息表!Q17))-1)),CONCATENATE(MID(上机信息表!Q17,SEARCH("提取",上机信息表!Q17),SEARCH(",",上机信息表!Q17)-1)))),"")),"")</f>
        <v/>
      </c>
      <c r="AA17" t="str">
        <f t="shared" si="2"/>
        <v/>
      </c>
      <c r="AB17" t="str">
        <f>IFERROR(IF(AA17="RNA建库试剂盒",MID(上机信息表!Q17,SEARCH("建库",上机信息表!Q17),20),IF(AA17="DNA建库试剂盒",MID(上机信息表!Q17,SEARCH("建库",上机信息表!Q17),20),"")),"")</f>
        <v/>
      </c>
      <c r="AC17" t="str">
        <f>IF(C17=0,"",CONCATENATE("芯片批号：",'IDseq-上机流程监控表'!$G$5,",","上机试剂批号：",'IDseq-上机流程监控表'!$G$6,",","Buffer批号：",'IDseq-上机流程监控表'!$G$7))</f>
        <v/>
      </c>
    </row>
    <row r="18" spans="1:29">
      <c r="A18" s="18" t="str">
        <f>IF(C18=0,"","YF23"&amp;TEXT(MID(pooling详情!$A$1,14,(FIND("期",pooling详情!$A$1)-FIND("第",pooling详情!$A$1)-1)),"0000"))</f>
        <v/>
      </c>
      <c r="B18" s="18">
        <f>上机信息表!G18</f>
        <v>0</v>
      </c>
      <c r="C18" s="18">
        <f>上机信息表!C18</f>
        <v>0</v>
      </c>
      <c r="D18" s="18">
        <f>上机信息表!D18</f>
        <v>0</v>
      </c>
      <c r="E18" s="18">
        <f>上机信息表!E18</f>
        <v>0</v>
      </c>
      <c r="F18" s="18">
        <f>上机信息表!F18</f>
        <v>0</v>
      </c>
      <c r="G18" s="18">
        <f>上机信息表!H18</f>
        <v>0</v>
      </c>
      <c r="H18" s="18">
        <f>上机信息表!I18</f>
        <v>0</v>
      </c>
      <c r="I18" s="18">
        <f>IF(F18="DNA",上机信息表!I18*70,上机信息表!I18*100)</f>
        <v>0</v>
      </c>
      <c r="K18" s="33">
        <f>上机信息表!A18</f>
        <v>0</v>
      </c>
      <c r="L18" s="18">
        <f>上机信息表!J18</f>
        <v>0</v>
      </c>
      <c r="M18" s="18">
        <f>上机信息表!K18</f>
        <v>0</v>
      </c>
      <c r="N18" s="18">
        <f>上机信息表!L18</f>
        <v>0</v>
      </c>
      <c r="O18" s="18">
        <f>上机信息表!M18</f>
        <v>0</v>
      </c>
      <c r="P18" s="18">
        <f>上机信息表!N18</f>
        <v>0</v>
      </c>
      <c r="Q18" s="18">
        <f>上机信息表!O18</f>
        <v>0</v>
      </c>
      <c r="R18" s="18" t="str">
        <f>IF(C18=0,"","VMGZ22"&amp;TEXT(MID(pooling详情!$A$1,14,(FIND("期",pooling详情!$A$1)-FIND("第",pooling详情!$A$1)-1)),"0000"))</f>
        <v/>
      </c>
      <c r="S18" s="18">
        <f>上机信息表!P18</f>
        <v>0</v>
      </c>
      <c r="T18" s="18" t="str">
        <f>IF(C18=0,"",pooling详情!$G$66)</f>
        <v/>
      </c>
      <c r="U18" s="34" t="str">
        <f>IF(C18=0,"",pooling详情!$A$80)</f>
        <v/>
      </c>
      <c r="V18" s="34" t="str">
        <f t="shared" si="0"/>
        <v/>
      </c>
      <c r="W18" s="18">
        <f>上机信息表!X18</f>
        <v>0</v>
      </c>
      <c r="X18" s="18">
        <f>上机信息表!R18</f>
        <v>0</v>
      </c>
      <c r="Y18" t="str">
        <f t="shared" si="1"/>
        <v/>
      </c>
      <c r="Z18" t="str">
        <f>IFERROR(IF(Y18="RNA提取试剂盒",CONCATENATE(MID(上机信息表!Q18,SEARCH("提取",上机信息表!Q18),SEARCH("建",上机信息表!Q18)-2)),IF(Y18="DNA提取试剂盒",IF(ISNUMBER(FIND("呼吸道",上机信息表!Q18)),CONCATENATE(MID(上机信息表!Q18,SEARCH("提取",上机信息表!Q18),SEARCH(",",上机信息表!Q18,SEARCH("呼吸道",上机信息表!Q18))-1)),IF(ISNUMBER(FIND("组织",上机信息表!Q18)),CONCATENATE(MID(上机信息表!Q18,SEARCH("提取",上机信息表!Q18),SEARCH(",",上机信息表!Q18,SEARCH("组织",上机信息表!Q18))-1)),CONCATENATE(MID(上机信息表!Q18,SEARCH("提取",上机信息表!Q18),SEARCH(",",上机信息表!Q18)-1)))),"")),"")</f>
        <v/>
      </c>
      <c r="AA18" t="str">
        <f t="shared" si="2"/>
        <v/>
      </c>
      <c r="AB18" t="str">
        <f>IFERROR(IF(AA18="RNA建库试剂盒",MID(上机信息表!Q18,SEARCH("建库",上机信息表!Q18),20),IF(AA18="DNA建库试剂盒",MID(上机信息表!Q18,SEARCH("建库",上机信息表!Q18),20),"")),"")</f>
        <v/>
      </c>
      <c r="AC18" t="str">
        <f>IF(C18=0,"",CONCATENATE("芯片批号：",'IDseq-上机流程监控表'!$G$5,",","上机试剂批号：",'IDseq-上机流程监控表'!$G$6,",","Buffer批号：",'IDseq-上机流程监控表'!$G$7))</f>
        <v/>
      </c>
    </row>
    <row r="19" spans="1:29">
      <c r="A19" s="18" t="str">
        <f>IF(C19=0,"","YF23"&amp;TEXT(MID(pooling详情!$A$1,14,(FIND("期",pooling详情!$A$1)-FIND("第",pooling详情!$A$1)-1)),"0000"))</f>
        <v/>
      </c>
      <c r="B19" s="18">
        <f>上机信息表!G19</f>
        <v>0</v>
      </c>
      <c r="C19" s="18">
        <f>上机信息表!C19</f>
        <v>0</v>
      </c>
      <c r="D19" s="18">
        <f>上机信息表!D19</f>
        <v>0</v>
      </c>
      <c r="E19" s="18">
        <f>上机信息表!E19</f>
        <v>0</v>
      </c>
      <c r="F19" s="18">
        <f>上机信息表!F19</f>
        <v>0</v>
      </c>
      <c r="G19" s="18">
        <f>上机信息表!H19</f>
        <v>0</v>
      </c>
      <c r="H19" s="18">
        <f>上机信息表!I19</f>
        <v>0</v>
      </c>
      <c r="I19" s="18">
        <f>IF(F19="DNA",上机信息表!I19*70,上机信息表!I19*100)</f>
        <v>0</v>
      </c>
      <c r="K19" s="33">
        <f>上机信息表!A19</f>
        <v>0</v>
      </c>
      <c r="L19" s="18">
        <f>上机信息表!J19</f>
        <v>0</v>
      </c>
      <c r="M19" s="18">
        <f>上机信息表!K19</f>
        <v>0</v>
      </c>
      <c r="N19" s="18">
        <f>上机信息表!L19</f>
        <v>0</v>
      </c>
      <c r="O19" s="18">
        <f>上机信息表!M19</f>
        <v>0</v>
      </c>
      <c r="P19" s="18">
        <f>上机信息表!N19</f>
        <v>0</v>
      </c>
      <c r="Q19" s="18">
        <f>上机信息表!O19</f>
        <v>0</v>
      </c>
      <c r="R19" s="18" t="str">
        <f>IF(C19=0,"","VMGZ22"&amp;TEXT(MID(pooling详情!$A$1,14,(FIND("期",pooling详情!$A$1)-FIND("第",pooling详情!$A$1)-1)),"0000"))</f>
        <v/>
      </c>
      <c r="S19" s="18">
        <f>上机信息表!P19</f>
        <v>0</v>
      </c>
      <c r="T19" s="18" t="str">
        <f>IF(C19=0,"",pooling详情!$G$66)</f>
        <v/>
      </c>
      <c r="U19" s="34" t="str">
        <f>IF(C19=0,"",pooling详情!$A$80)</f>
        <v/>
      </c>
      <c r="V19" s="34" t="str">
        <f t="shared" si="0"/>
        <v/>
      </c>
      <c r="W19" s="18">
        <f>上机信息表!X19</f>
        <v>0</v>
      </c>
      <c r="X19" s="18">
        <f>上机信息表!R19</f>
        <v>0</v>
      </c>
      <c r="Y19" t="str">
        <f t="shared" si="1"/>
        <v/>
      </c>
      <c r="Z19" t="str">
        <f>IFERROR(IF(Y19="RNA提取试剂盒",CONCATENATE(MID(上机信息表!Q19,SEARCH("提取",上机信息表!Q19),SEARCH("建",上机信息表!Q19)-2)),IF(Y19="DNA提取试剂盒",IF(ISNUMBER(FIND("呼吸道",上机信息表!Q19)),CONCATENATE(MID(上机信息表!Q19,SEARCH("提取",上机信息表!Q19),SEARCH(",",上机信息表!Q19,SEARCH("呼吸道",上机信息表!Q19))-1)),IF(ISNUMBER(FIND("组织",上机信息表!Q19)),CONCATENATE(MID(上机信息表!Q19,SEARCH("提取",上机信息表!Q19),SEARCH(",",上机信息表!Q19,SEARCH("组织",上机信息表!Q19))-1)),CONCATENATE(MID(上机信息表!Q19,SEARCH("提取",上机信息表!Q19),SEARCH(",",上机信息表!Q19)-1)))),"")),"")</f>
        <v/>
      </c>
      <c r="AA19" t="str">
        <f t="shared" si="2"/>
        <v/>
      </c>
      <c r="AB19" t="str">
        <f>IFERROR(IF(AA19="RNA建库试剂盒",MID(上机信息表!Q19,SEARCH("建库",上机信息表!Q19),20),IF(AA19="DNA建库试剂盒",MID(上机信息表!Q19,SEARCH("建库",上机信息表!Q19),20),"")),"")</f>
        <v/>
      </c>
      <c r="AC19" t="str">
        <f>IF(C19=0,"",CONCATENATE("芯片批号：",'IDseq-上机流程监控表'!$G$5,",","上机试剂批号：",'IDseq-上机流程监控表'!$G$6,",","Buffer批号：",'IDseq-上机流程监控表'!$G$7))</f>
        <v/>
      </c>
    </row>
    <row r="20" spans="1:29">
      <c r="A20" s="18" t="str">
        <f>IF(C20=0,"","YF23"&amp;TEXT(MID(pooling详情!$A$1,14,(FIND("期",pooling详情!$A$1)-FIND("第",pooling详情!$A$1)-1)),"0000"))</f>
        <v/>
      </c>
      <c r="B20" s="18">
        <f>上机信息表!G20</f>
        <v>0</v>
      </c>
      <c r="C20" s="18">
        <f>上机信息表!C20</f>
        <v>0</v>
      </c>
      <c r="D20" s="18">
        <f>上机信息表!D20</f>
        <v>0</v>
      </c>
      <c r="E20" s="18">
        <f>上机信息表!E20</f>
        <v>0</v>
      </c>
      <c r="F20" s="18">
        <f>上机信息表!F20</f>
        <v>0</v>
      </c>
      <c r="G20" s="18">
        <f>上机信息表!H20</f>
        <v>0</v>
      </c>
      <c r="H20" s="18">
        <f>上机信息表!I20</f>
        <v>0</v>
      </c>
      <c r="I20" s="18">
        <f>IF(F20="DNA",上机信息表!I20*70,上机信息表!I20*100)</f>
        <v>0</v>
      </c>
      <c r="K20" s="33">
        <f>上机信息表!A20</f>
        <v>0</v>
      </c>
      <c r="L20" s="18">
        <f>上机信息表!J20</f>
        <v>0</v>
      </c>
      <c r="M20" s="18">
        <f>上机信息表!K20</f>
        <v>0</v>
      </c>
      <c r="N20" s="18">
        <f>上机信息表!L20</f>
        <v>0</v>
      </c>
      <c r="O20" s="18">
        <f>上机信息表!M20</f>
        <v>0</v>
      </c>
      <c r="P20" s="18">
        <f>上机信息表!N20</f>
        <v>0</v>
      </c>
      <c r="Q20" s="18">
        <f>上机信息表!O20</f>
        <v>0</v>
      </c>
      <c r="R20" s="18" t="str">
        <f>IF(C20=0,"","VMGZ22"&amp;TEXT(MID(pooling详情!$A$1,14,(FIND("期",pooling详情!$A$1)-FIND("第",pooling详情!$A$1)-1)),"0000"))</f>
        <v/>
      </c>
      <c r="S20" s="18">
        <f>上机信息表!P20</f>
        <v>0</v>
      </c>
      <c r="T20" s="18" t="str">
        <f>IF(C20=0,"",pooling详情!$G$66)</f>
        <v/>
      </c>
      <c r="U20" s="34" t="str">
        <f>IF(C20=0,"",pooling详情!$A$80)</f>
        <v/>
      </c>
      <c r="V20" s="34" t="str">
        <f t="shared" si="0"/>
        <v/>
      </c>
      <c r="W20" s="18">
        <f>上机信息表!X20</f>
        <v>0</v>
      </c>
      <c r="X20" s="18">
        <f>上机信息表!R20</f>
        <v>0</v>
      </c>
      <c r="Y20" t="str">
        <f t="shared" si="1"/>
        <v/>
      </c>
      <c r="Z20" t="str">
        <f>IFERROR(IF(Y20="RNA提取试剂盒",CONCATENATE(MID(上机信息表!Q20,SEARCH("提取",上机信息表!Q20),SEARCH("建",上机信息表!Q20)-2)),IF(Y20="DNA提取试剂盒",IF(ISNUMBER(FIND("呼吸道",上机信息表!Q20)),CONCATENATE(MID(上机信息表!Q20,SEARCH("提取",上机信息表!Q20),SEARCH(",",上机信息表!Q20,SEARCH("呼吸道",上机信息表!Q20))-1)),IF(ISNUMBER(FIND("组织",上机信息表!Q20)),CONCATENATE(MID(上机信息表!Q20,SEARCH("提取",上机信息表!Q20),SEARCH(",",上机信息表!Q20,SEARCH("组织",上机信息表!Q20))-1)),CONCATENATE(MID(上机信息表!Q20,SEARCH("提取",上机信息表!Q20),SEARCH(",",上机信息表!Q20)-1)))),"")),"")</f>
        <v/>
      </c>
      <c r="AA20" t="str">
        <f t="shared" si="2"/>
        <v/>
      </c>
      <c r="AB20" t="str">
        <f>IFERROR(IF(AA20="RNA建库试剂盒",MID(上机信息表!Q20,SEARCH("建库",上机信息表!Q20),20),IF(AA20="DNA建库试剂盒",MID(上机信息表!Q20,SEARCH("建库",上机信息表!Q20),20),"")),"")</f>
        <v/>
      </c>
      <c r="AC20" t="str">
        <f>IF(C20=0,"",CONCATENATE("芯片批号：",'IDseq-上机流程监控表'!$G$5,",","上机试剂批号：",'IDseq-上机流程监控表'!$G$6,",","Buffer批号：",'IDseq-上机流程监控表'!$G$7))</f>
        <v/>
      </c>
    </row>
    <row r="21" spans="1:29">
      <c r="A21" s="18" t="str">
        <f>IF(C21=0,"","YF23"&amp;TEXT(MID(pooling详情!$A$1,14,(FIND("期",pooling详情!$A$1)-FIND("第",pooling详情!$A$1)-1)),"0000"))</f>
        <v/>
      </c>
      <c r="B21" s="18">
        <f>上机信息表!G21</f>
        <v>0</v>
      </c>
      <c r="C21" s="18">
        <f>上机信息表!C21</f>
        <v>0</v>
      </c>
      <c r="D21" s="18">
        <f>上机信息表!D21</f>
        <v>0</v>
      </c>
      <c r="E21" s="18">
        <f>上机信息表!E21</f>
        <v>0</v>
      </c>
      <c r="F21" s="18">
        <f>上机信息表!F21</f>
        <v>0</v>
      </c>
      <c r="G21" s="18">
        <f>上机信息表!H21</f>
        <v>0</v>
      </c>
      <c r="H21" s="18">
        <f>上机信息表!I21</f>
        <v>0</v>
      </c>
      <c r="I21" s="18">
        <f>IF(F21="DNA",上机信息表!I21*70,上机信息表!I21*100)</f>
        <v>0</v>
      </c>
      <c r="K21" s="33">
        <f>上机信息表!A21</f>
        <v>0</v>
      </c>
      <c r="L21" s="18">
        <f>上机信息表!J21</f>
        <v>0</v>
      </c>
      <c r="M21" s="18">
        <f>上机信息表!K21</f>
        <v>0</v>
      </c>
      <c r="N21" s="18">
        <f>上机信息表!L21</f>
        <v>0</v>
      </c>
      <c r="O21" s="18">
        <f>上机信息表!M21</f>
        <v>0</v>
      </c>
      <c r="P21" s="18">
        <f>上机信息表!N21</f>
        <v>0</v>
      </c>
      <c r="Q21" s="18">
        <f>上机信息表!O21</f>
        <v>0</v>
      </c>
      <c r="R21" s="18" t="str">
        <f>IF(C21=0,"","VMGZ22"&amp;TEXT(MID(pooling详情!$A$1,14,(FIND("期",pooling详情!$A$1)-FIND("第",pooling详情!$A$1)-1)),"0000"))</f>
        <v/>
      </c>
      <c r="S21" s="18">
        <f>上机信息表!P21</f>
        <v>0</v>
      </c>
      <c r="T21" s="18" t="str">
        <f>IF(C21=0,"",pooling详情!$G$66)</f>
        <v/>
      </c>
      <c r="U21" s="34" t="str">
        <f>IF(C21=0,"",pooling详情!$A$80)</f>
        <v/>
      </c>
      <c r="V21" s="34" t="str">
        <f t="shared" si="0"/>
        <v/>
      </c>
      <c r="W21" s="18">
        <f>上机信息表!X21</f>
        <v>0</v>
      </c>
      <c r="X21" s="18">
        <f>上机信息表!R21</f>
        <v>0</v>
      </c>
      <c r="Y21" t="str">
        <f t="shared" si="1"/>
        <v/>
      </c>
      <c r="Z21" t="str">
        <f>IFERROR(IF(Y21="RNA提取试剂盒",CONCATENATE(MID(上机信息表!Q21,SEARCH("提取",上机信息表!Q21),SEARCH("建",上机信息表!Q21)-2)),IF(Y21="DNA提取试剂盒",IF(ISNUMBER(FIND("呼吸道",上机信息表!Q21)),CONCATENATE(MID(上机信息表!Q21,SEARCH("提取",上机信息表!Q21),SEARCH(",",上机信息表!Q21,SEARCH("呼吸道",上机信息表!Q21))-1)),IF(ISNUMBER(FIND("组织",上机信息表!Q21)),CONCATENATE(MID(上机信息表!Q21,SEARCH("提取",上机信息表!Q21),SEARCH(",",上机信息表!Q21,SEARCH("组织",上机信息表!Q21))-1)),CONCATENATE(MID(上机信息表!Q21,SEARCH("提取",上机信息表!Q21),SEARCH(",",上机信息表!Q21)-1)))),"")),"")</f>
        <v/>
      </c>
      <c r="AA21" t="str">
        <f t="shared" si="2"/>
        <v/>
      </c>
      <c r="AB21" t="str">
        <f>IFERROR(IF(AA21="RNA建库试剂盒",MID(上机信息表!Q21,SEARCH("建库",上机信息表!Q21),20),IF(AA21="DNA建库试剂盒",MID(上机信息表!Q21,SEARCH("建库",上机信息表!Q21),20),"")),"")</f>
        <v/>
      </c>
      <c r="AC21" t="str">
        <f>IF(C21=0,"",CONCATENATE("芯片批号：",'IDseq-上机流程监控表'!$G$5,",","上机试剂批号：",'IDseq-上机流程监控表'!$G$6,",","Buffer批号：",'IDseq-上机流程监控表'!$G$7))</f>
        <v/>
      </c>
    </row>
    <row r="22" spans="1:29">
      <c r="A22" s="18" t="str">
        <f>IF(C22=0,"","YF23"&amp;TEXT(MID(pooling详情!$A$1,14,(FIND("期",pooling详情!$A$1)-FIND("第",pooling详情!$A$1)-1)),"0000"))</f>
        <v/>
      </c>
      <c r="B22" s="18">
        <f>上机信息表!G22</f>
        <v>0</v>
      </c>
      <c r="C22" s="18">
        <f>上机信息表!C22</f>
        <v>0</v>
      </c>
      <c r="D22" s="18">
        <f>上机信息表!D22</f>
        <v>0</v>
      </c>
      <c r="E22" s="18">
        <f>上机信息表!E22</f>
        <v>0</v>
      </c>
      <c r="F22" s="18">
        <f>上机信息表!F22</f>
        <v>0</v>
      </c>
      <c r="G22" s="18">
        <f>上机信息表!H22</f>
        <v>0</v>
      </c>
      <c r="H22" s="18">
        <f>上机信息表!I22</f>
        <v>0</v>
      </c>
      <c r="I22" s="18">
        <f>IF(F22="DNA",上机信息表!I22*70,上机信息表!I22*100)</f>
        <v>0</v>
      </c>
      <c r="K22" s="33">
        <f>上机信息表!A22</f>
        <v>0</v>
      </c>
      <c r="L22" s="18">
        <f>上机信息表!J22</f>
        <v>0</v>
      </c>
      <c r="M22" s="18">
        <f>上机信息表!K22</f>
        <v>0</v>
      </c>
      <c r="N22" s="18">
        <f>上机信息表!L22</f>
        <v>0</v>
      </c>
      <c r="O22" s="18">
        <f>上机信息表!M22</f>
        <v>0</v>
      </c>
      <c r="P22" s="18">
        <f>上机信息表!N22</f>
        <v>0</v>
      </c>
      <c r="Q22" s="18">
        <f>上机信息表!O22</f>
        <v>0</v>
      </c>
      <c r="R22" s="18" t="str">
        <f>IF(C22=0,"","VMGZ22"&amp;TEXT(MID(pooling详情!$A$1,14,(FIND("期",pooling详情!$A$1)-FIND("第",pooling详情!$A$1)-1)),"0000"))</f>
        <v/>
      </c>
      <c r="S22" s="18">
        <f>上机信息表!P22</f>
        <v>0</v>
      </c>
      <c r="T22" s="18" t="str">
        <f>IF(C22=0,"",pooling详情!$G$66)</f>
        <v/>
      </c>
      <c r="U22" s="34" t="str">
        <f>IF(C22=0,"",pooling详情!$A$80)</f>
        <v/>
      </c>
      <c r="V22" s="34" t="str">
        <f t="shared" si="0"/>
        <v/>
      </c>
      <c r="W22" s="18">
        <f>上机信息表!X22</f>
        <v>0</v>
      </c>
      <c r="X22" s="18">
        <f>上机信息表!R22</f>
        <v>0</v>
      </c>
      <c r="Y22" t="str">
        <f t="shared" si="1"/>
        <v/>
      </c>
      <c r="Z22" t="str">
        <f>IFERROR(IF(Y22="RNA提取试剂盒",CONCATENATE(MID(上机信息表!Q22,SEARCH("提取",上机信息表!Q22),SEARCH("建",上机信息表!Q22)-2)),IF(Y22="DNA提取试剂盒",IF(ISNUMBER(FIND("呼吸道",上机信息表!Q22)),CONCATENATE(MID(上机信息表!Q22,SEARCH("提取",上机信息表!Q22),SEARCH(",",上机信息表!Q22,SEARCH("呼吸道",上机信息表!Q22))-1)),IF(ISNUMBER(FIND("组织",上机信息表!Q22)),CONCATENATE(MID(上机信息表!Q22,SEARCH("提取",上机信息表!Q22),SEARCH(",",上机信息表!Q22,SEARCH("组织",上机信息表!Q22))-1)),CONCATENATE(MID(上机信息表!Q22,SEARCH("提取",上机信息表!Q22),SEARCH(",",上机信息表!Q22)-1)))),"")),"")</f>
        <v/>
      </c>
      <c r="AA22" t="str">
        <f t="shared" si="2"/>
        <v/>
      </c>
      <c r="AB22" t="str">
        <f>IFERROR(IF(AA22="RNA建库试剂盒",MID(上机信息表!Q22,SEARCH("建库",上机信息表!Q22),20),IF(AA22="DNA建库试剂盒",MID(上机信息表!Q22,SEARCH("建库",上机信息表!Q22),20),"")),"")</f>
        <v/>
      </c>
      <c r="AC22" t="str">
        <f>IF(C22=0,"",CONCATENATE("芯片批号：",'IDseq-上机流程监控表'!$G$5,",","上机试剂批号：",'IDseq-上机流程监控表'!$G$6,",","Buffer批号：",'IDseq-上机流程监控表'!$G$7))</f>
        <v/>
      </c>
    </row>
    <row r="23" spans="1:29">
      <c r="A23" s="18" t="str">
        <f>IF(C23=0,"","YF23"&amp;TEXT(MID(pooling详情!$A$1,14,(FIND("期",pooling详情!$A$1)-FIND("第",pooling详情!$A$1)-1)),"0000"))</f>
        <v/>
      </c>
      <c r="B23" s="18">
        <f>上机信息表!G23</f>
        <v>0</v>
      </c>
      <c r="C23" s="18">
        <f>上机信息表!C23</f>
        <v>0</v>
      </c>
      <c r="D23" s="18">
        <f>上机信息表!D23</f>
        <v>0</v>
      </c>
      <c r="E23" s="18">
        <f>上机信息表!E23</f>
        <v>0</v>
      </c>
      <c r="F23" s="18">
        <f>上机信息表!F23</f>
        <v>0</v>
      </c>
      <c r="G23" s="18">
        <f>上机信息表!H23</f>
        <v>0</v>
      </c>
      <c r="H23" s="18">
        <f>上机信息表!I23</f>
        <v>0</v>
      </c>
      <c r="I23" s="18">
        <f>IF(F23="DNA",上机信息表!I23*70,上机信息表!I23*100)</f>
        <v>0</v>
      </c>
      <c r="K23" s="33">
        <f>上机信息表!A23</f>
        <v>0</v>
      </c>
      <c r="L23" s="18">
        <f>上机信息表!J23</f>
        <v>0</v>
      </c>
      <c r="M23" s="18">
        <f>上机信息表!K23</f>
        <v>0</v>
      </c>
      <c r="N23" s="18">
        <f>上机信息表!L23</f>
        <v>0</v>
      </c>
      <c r="O23" s="18">
        <f>上机信息表!M23</f>
        <v>0</v>
      </c>
      <c r="P23" s="18">
        <f>上机信息表!N23</f>
        <v>0</v>
      </c>
      <c r="Q23" s="18">
        <f>上机信息表!O23</f>
        <v>0</v>
      </c>
      <c r="R23" s="18" t="str">
        <f>IF(C23=0,"","VMGZ22"&amp;TEXT(MID(pooling详情!$A$1,14,(FIND("期",pooling详情!$A$1)-FIND("第",pooling详情!$A$1)-1)),"0000"))</f>
        <v/>
      </c>
      <c r="S23" s="18">
        <f>上机信息表!P23</f>
        <v>0</v>
      </c>
      <c r="T23" s="18" t="str">
        <f>IF(C23=0,"",pooling详情!$G$66)</f>
        <v/>
      </c>
      <c r="U23" s="34" t="str">
        <f>IF(C23=0,"",pooling详情!$A$80)</f>
        <v/>
      </c>
      <c r="V23" s="34" t="str">
        <f t="shared" si="0"/>
        <v/>
      </c>
      <c r="W23" s="18">
        <f>上机信息表!X23</f>
        <v>0</v>
      </c>
      <c r="X23" s="18">
        <f>上机信息表!R23</f>
        <v>0</v>
      </c>
      <c r="Y23" t="str">
        <f t="shared" si="1"/>
        <v/>
      </c>
      <c r="Z23" t="str">
        <f>IFERROR(IF(Y23="RNA提取试剂盒",CONCATENATE(MID(上机信息表!Q23,SEARCH("提取",上机信息表!Q23),SEARCH("建",上机信息表!Q23)-2)),IF(Y23="DNA提取试剂盒",IF(ISNUMBER(FIND("呼吸道",上机信息表!Q23)),CONCATENATE(MID(上机信息表!Q23,SEARCH("提取",上机信息表!Q23),SEARCH(",",上机信息表!Q23,SEARCH("呼吸道",上机信息表!Q23))-1)),IF(ISNUMBER(FIND("组织",上机信息表!Q23)),CONCATENATE(MID(上机信息表!Q23,SEARCH("提取",上机信息表!Q23),SEARCH(",",上机信息表!Q23,SEARCH("组织",上机信息表!Q23))-1)),CONCATENATE(MID(上机信息表!Q23,SEARCH("提取",上机信息表!Q23),SEARCH(",",上机信息表!Q23)-1)))),"")),"")</f>
        <v/>
      </c>
      <c r="AA23" t="str">
        <f t="shared" si="2"/>
        <v/>
      </c>
      <c r="AB23" t="str">
        <f>IFERROR(IF(AA23="RNA建库试剂盒",MID(上机信息表!Q23,SEARCH("建库",上机信息表!Q23),20),IF(AA23="DNA建库试剂盒",MID(上机信息表!Q23,SEARCH("建库",上机信息表!Q23),20),"")),"")</f>
        <v/>
      </c>
      <c r="AC23" t="str">
        <f>IF(C23=0,"",CONCATENATE("芯片批号：",'IDseq-上机流程监控表'!$G$5,",","上机试剂批号：",'IDseq-上机流程监控表'!$G$6,",","Buffer批号：",'IDseq-上机流程监控表'!$G$7))</f>
        <v/>
      </c>
    </row>
    <row r="24" spans="1:29">
      <c r="A24" s="18" t="str">
        <f>IF(C24=0,"","YF23"&amp;TEXT(MID(pooling详情!$A$1,14,(FIND("期",pooling详情!$A$1)-FIND("第",pooling详情!$A$1)-1)),"0000"))</f>
        <v/>
      </c>
      <c r="B24" s="18">
        <f>上机信息表!G24</f>
        <v>0</v>
      </c>
      <c r="C24" s="18">
        <f>上机信息表!C24</f>
        <v>0</v>
      </c>
      <c r="D24" s="18">
        <f>上机信息表!D24</f>
        <v>0</v>
      </c>
      <c r="E24" s="18">
        <f>上机信息表!E24</f>
        <v>0</v>
      </c>
      <c r="F24" s="18">
        <f>上机信息表!F24</f>
        <v>0</v>
      </c>
      <c r="G24" s="18">
        <f>上机信息表!H24</f>
        <v>0</v>
      </c>
      <c r="H24" s="18">
        <f>上机信息表!I24</f>
        <v>0</v>
      </c>
      <c r="I24" s="18">
        <f>IF(F24="DNA",上机信息表!I24*70,上机信息表!I24*100)</f>
        <v>0</v>
      </c>
      <c r="K24" s="33">
        <f>上机信息表!A24</f>
        <v>0</v>
      </c>
      <c r="L24" s="18">
        <f>上机信息表!J24</f>
        <v>0</v>
      </c>
      <c r="M24" s="18">
        <f>上机信息表!K24</f>
        <v>0</v>
      </c>
      <c r="N24" s="18">
        <f>上机信息表!L24</f>
        <v>0</v>
      </c>
      <c r="O24" s="18">
        <f>上机信息表!M24</f>
        <v>0</v>
      </c>
      <c r="P24" s="18">
        <f>上机信息表!N24</f>
        <v>0</v>
      </c>
      <c r="Q24" s="18">
        <f>上机信息表!O24</f>
        <v>0</v>
      </c>
      <c r="R24" s="18" t="str">
        <f>IF(C24=0,"","VMGZ22"&amp;TEXT(MID(pooling详情!$A$1,14,(FIND("期",pooling详情!$A$1)-FIND("第",pooling详情!$A$1)-1)),"0000"))</f>
        <v/>
      </c>
      <c r="S24" s="18">
        <f>上机信息表!P24</f>
        <v>0</v>
      </c>
      <c r="T24" s="18" t="str">
        <f>IF(C24=0,"",pooling详情!$G$66)</f>
        <v/>
      </c>
      <c r="U24" s="34" t="str">
        <f>IF(C24=0,"",pooling详情!$A$80)</f>
        <v/>
      </c>
      <c r="V24" s="34" t="str">
        <f t="shared" si="0"/>
        <v/>
      </c>
      <c r="W24" s="18">
        <f>上机信息表!X24</f>
        <v>0</v>
      </c>
      <c r="X24" s="18">
        <f>上机信息表!R24</f>
        <v>0</v>
      </c>
      <c r="Y24" t="str">
        <f t="shared" si="1"/>
        <v/>
      </c>
      <c r="Z24" t="str">
        <f>IFERROR(IF(Y24="RNA提取试剂盒",CONCATENATE(MID(上机信息表!Q24,SEARCH("提取",上机信息表!Q24),SEARCH("建",上机信息表!Q24)-2)),IF(Y24="DNA提取试剂盒",IF(ISNUMBER(FIND("呼吸道",上机信息表!Q24)),CONCATENATE(MID(上机信息表!Q24,SEARCH("提取",上机信息表!Q24),SEARCH(",",上机信息表!Q24,SEARCH("呼吸道",上机信息表!Q24))-1)),IF(ISNUMBER(FIND("组织",上机信息表!Q24)),CONCATENATE(MID(上机信息表!Q24,SEARCH("提取",上机信息表!Q24),SEARCH(",",上机信息表!Q24,SEARCH("组织",上机信息表!Q24))-1)),CONCATENATE(MID(上机信息表!Q24,SEARCH("提取",上机信息表!Q24),SEARCH(",",上机信息表!Q24)-1)))),"")),"")</f>
        <v/>
      </c>
      <c r="AA24" t="str">
        <f t="shared" si="2"/>
        <v/>
      </c>
      <c r="AB24" t="str">
        <f>IFERROR(IF(AA24="RNA建库试剂盒",MID(上机信息表!Q24,SEARCH("建库",上机信息表!Q24),20),IF(AA24="DNA建库试剂盒",MID(上机信息表!Q24,SEARCH("建库",上机信息表!Q24),20),"")),"")</f>
        <v/>
      </c>
      <c r="AC24" t="str">
        <f>IF(C24=0,"",CONCATENATE("芯片批号：",'IDseq-上机流程监控表'!$G$5,",","上机试剂批号：",'IDseq-上机流程监控表'!$G$6,",","Buffer批号：",'IDseq-上机流程监控表'!$G$7))</f>
        <v/>
      </c>
    </row>
    <row r="25" spans="1:29">
      <c r="A25" s="18" t="str">
        <f>IF(C25=0,"","YF23"&amp;TEXT(MID(pooling详情!$A$1,14,(FIND("期",pooling详情!$A$1)-FIND("第",pooling详情!$A$1)-1)),"0000"))</f>
        <v/>
      </c>
      <c r="B25" s="18">
        <f>上机信息表!G25</f>
        <v>0</v>
      </c>
      <c r="C25" s="18">
        <f>上机信息表!C25</f>
        <v>0</v>
      </c>
      <c r="D25" s="18">
        <f>上机信息表!D25</f>
        <v>0</v>
      </c>
      <c r="E25" s="18">
        <f>上机信息表!E25</f>
        <v>0</v>
      </c>
      <c r="F25" s="18">
        <f>上机信息表!F25</f>
        <v>0</v>
      </c>
      <c r="G25" s="18">
        <f>上机信息表!H25</f>
        <v>0</v>
      </c>
      <c r="H25" s="18">
        <f>上机信息表!I25</f>
        <v>0</v>
      </c>
      <c r="I25" s="18">
        <f>IF(F25="DNA",上机信息表!I25*70,上机信息表!I25*100)</f>
        <v>0</v>
      </c>
      <c r="K25" s="33">
        <f>上机信息表!A25</f>
        <v>0</v>
      </c>
      <c r="L25" s="18">
        <f>上机信息表!J25</f>
        <v>0</v>
      </c>
      <c r="M25" s="18">
        <f>上机信息表!K25</f>
        <v>0</v>
      </c>
      <c r="N25" s="18">
        <f>上机信息表!L25</f>
        <v>0</v>
      </c>
      <c r="O25" s="18">
        <f>上机信息表!M25</f>
        <v>0</v>
      </c>
      <c r="P25" s="18">
        <f>上机信息表!N25</f>
        <v>0</v>
      </c>
      <c r="Q25" s="18">
        <f>上机信息表!O25</f>
        <v>0</v>
      </c>
      <c r="R25" s="18" t="str">
        <f>IF(C25=0,"","VMGZ22"&amp;TEXT(MID(pooling详情!$A$1,14,(FIND("期",pooling详情!$A$1)-FIND("第",pooling详情!$A$1)-1)),"0000"))</f>
        <v/>
      </c>
      <c r="S25" s="18">
        <f>上机信息表!P25</f>
        <v>0</v>
      </c>
      <c r="T25" s="18" t="str">
        <f>IF(C25=0,"",pooling详情!$G$66)</f>
        <v/>
      </c>
      <c r="U25" s="34" t="str">
        <f>IF(C25=0,"",pooling详情!$A$80)</f>
        <v/>
      </c>
      <c r="V25" s="34" t="str">
        <f t="shared" si="0"/>
        <v/>
      </c>
      <c r="W25" s="18">
        <f>上机信息表!X25</f>
        <v>0</v>
      </c>
      <c r="X25" s="18">
        <f>上机信息表!R25</f>
        <v>0</v>
      </c>
      <c r="Y25" t="str">
        <f t="shared" si="1"/>
        <v/>
      </c>
      <c r="Z25" t="str">
        <f>IFERROR(IF(Y25="RNA提取试剂盒",CONCATENATE(MID(上机信息表!Q25,SEARCH("提取",上机信息表!Q25),SEARCH("建",上机信息表!Q25)-2)),IF(Y25="DNA提取试剂盒",IF(ISNUMBER(FIND("呼吸道",上机信息表!Q25)),CONCATENATE(MID(上机信息表!Q25,SEARCH("提取",上机信息表!Q25),SEARCH(",",上机信息表!Q25,SEARCH("呼吸道",上机信息表!Q25))-1)),IF(ISNUMBER(FIND("组织",上机信息表!Q25)),CONCATENATE(MID(上机信息表!Q25,SEARCH("提取",上机信息表!Q25),SEARCH(",",上机信息表!Q25,SEARCH("组织",上机信息表!Q25))-1)),CONCATENATE(MID(上机信息表!Q25,SEARCH("提取",上机信息表!Q25),SEARCH(",",上机信息表!Q25)-1)))),"")),"")</f>
        <v/>
      </c>
      <c r="AA25" t="str">
        <f t="shared" si="2"/>
        <v/>
      </c>
      <c r="AB25" t="str">
        <f>IFERROR(IF(AA25="RNA建库试剂盒",MID(上机信息表!Q25,SEARCH("建库",上机信息表!Q25),20),IF(AA25="DNA建库试剂盒",MID(上机信息表!Q25,SEARCH("建库",上机信息表!Q25),20),"")),"")</f>
        <v/>
      </c>
      <c r="AC25" t="str">
        <f>IF(C25=0,"",CONCATENATE("芯片批号：",'IDseq-上机流程监控表'!$G$5,",","上机试剂批号：",'IDseq-上机流程监控表'!$G$6,",","Buffer批号：",'IDseq-上机流程监控表'!$G$7))</f>
        <v/>
      </c>
    </row>
    <row r="26" spans="1:29">
      <c r="A26" s="18" t="str">
        <f>IF(C26=0,"","YF23"&amp;TEXT(MID(pooling详情!$A$1,14,(FIND("期",pooling详情!$A$1)-FIND("第",pooling详情!$A$1)-1)),"0000"))</f>
        <v/>
      </c>
      <c r="B26" s="18">
        <f>上机信息表!G26</f>
        <v>0</v>
      </c>
      <c r="C26" s="18">
        <f>上机信息表!C26</f>
        <v>0</v>
      </c>
      <c r="D26" s="18">
        <f>上机信息表!D26</f>
        <v>0</v>
      </c>
      <c r="E26" s="18">
        <f>上机信息表!E26</f>
        <v>0</v>
      </c>
      <c r="F26" s="18">
        <f>上机信息表!F26</f>
        <v>0</v>
      </c>
      <c r="G26" s="18">
        <f>上机信息表!H26</f>
        <v>0</v>
      </c>
      <c r="H26" s="18">
        <f>上机信息表!I26</f>
        <v>0</v>
      </c>
      <c r="I26" s="18">
        <f>IF(F26="DNA",上机信息表!I26*70,上机信息表!I26*100)</f>
        <v>0</v>
      </c>
      <c r="K26" s="33">
        <f>上机信息表!A26</f>
        <v>0</v>
      </c>
      <c r="L26" s="18">
        <f>上机信息表!J26</f>
        <v>0</v>
      </c>
      <c r="M26" s="18">
        <f>上机信息表!K26</f>
        <v>0</v>
      </c>
      <c r="N26" s="18">
        <f>上机信息表!L26</f>
        <v>0</v>
      </c>
      <c r="O26" s="18">
        <f>上机信息表!M26</f>
        <v>0</v>
      </c>
      <c r="P26" s="18">
        <f>上机信息表!N26</f>
        <v>0</v>
      </c>
      <c r="Q26" s="18">
        <f>上机信息表!O26</f>
        <v>0</v>
      </c>
      <c r="R26" s="18" t="str">
        <f>IF(C26=0,"","VMGZ22"&amp;TEXT(MID(pooling详情!$A$1,14,(FIND("期",pooling详情!$A$1)-FIND("第",pooling详情!$A$1)-1)),"0000"))</f>
        <v/>
      </c>
      <c r="S26" s="18">
        <f>上机信息表!P26</f>
        <v>0</v>
      </c>
      <c r="T26" s="18" t="str">
        <f>IF(C26=0,"",pooling详情!$G$66)</f>
        <v/>
      </c>
      <c r="U26" s="34" t="str">
        <f>IF(C26=0,"",pooling详情!$A$80)</f>
        <v/>
      </c>
      <c r="V26" s="34" t="str">
        <f t="shared" si="0"/>
        <v/>
      </c>
      <c r="W26" s="18">
        <f>上机信息表!X26</f>
        <v>0</v>
      </c>
      <c r="X26" s="18">
        <f>上机信息表!R26</f>
        <v>0</v>
      </c>
      <c r="Y26" t="str">
        <f t="shared" si="1"/>
        <v/>
      </c>
      <c r="Z26" t="str">
        <f>IFERROR(IF(Y26="RNA提取试剂盒",CONCATENATE(MID(上机信息表!Q26,SEARCH("提取",上机信息表!Q26),SEARCH("建",上机信息表!Q26)-2)),IF(Y26="DNA提取试剂盒",IF(ISNUMBER(FIND("呼吸道",上机信息表!Q26)),CONCATENATE(MID(上机信息表!Q26,SEARCH("提取",上机信息表!Q26),SEARCH(",",上机信息表!Q26,SEARCH("呼吸道",上机信息表!Q26))-1)),IF(ISNUMBER(FIND("组织",上机信息表!Q26)),CONCATENATE(MID(上机信息表!Q26,SEARCH("提取",上机信息表!Q26),SEARCH(",",上机信息表!Q26,SEARCH("组织",上机信息表!Q26))-1)),CONCATENATE(MID(上机信息表!Q26,SEARCH("提取",上机信息表!Q26),SEARCH(",",上机信息表!Q26)-1)))),"")),"")</f>
        <v/>
      </c>
      <c r="AA26" t="str">
        <f t="shared" si="2"/>
        <v/>
      </c>
      <c r="AB26" t="str">
        <f>IFERROR(IF(AA26="RNA建库试剂盒",MID(上机信息表!Q26,SEARCH("建库",上机信息表!Q26),20),IF(AA26="DNA建库试剂盒",MID(上机信息表!Q26,SEARCH("建库",上机信息表!Q26),20),"")),"")</f>
        <v/>
      </c>
      <c r="AC26" t="str">
        <f>IF(C26=0,"",CONCATENATE("芯片批号：",'IDseq-上机流程监控表'!$G$5,",","上机试剂批号：",'IDseq-上机流程监控表'!$G$6,",","Buffer批号：",'IDseq-上机流程监控表'!$G$7))</f>
        <v/>
      </c>
    </row>
    <row r="27" spans="1:29">
      <c r="A27" s="18" t="str">
        <f>IF(C27=0,"","YF23"&amp;TEXT(MID(pooling详情!$A$1,14,(FIND("期",pooling详情!$A$1)-FIND("第",pooling详情!$A$1)-1)),"0000"))</f>
        <v/>
      </c>
      <c r="B27" s="18">
        <f>上机信息表!G27</f>
        <v>0</v>
      </c>
      <c r="C27" s="18">
        <f>上机信息表!C27</f>
        <v>0</v>
      </c>
      <c r="D27" s="18">
        <f>上机信息表!D27</f>
        <v>0</v>
      </c>
      <c r="E27" s="18">
        <f>上机信息表!E27</f>
        <v>0</v>
      </c>
      <c r="F27" s="18">
        <f>上机信息表!F27</f>
        <v>0</v>
      </c>
      <c r="G27" s="18">
        <f>上机信息表!H27</f>
        <v>0</v>
      </c>
      <c r="H27" s="18">
        <f>上机信息表!I27</f>
        <v>0</v>
      </c>
      <c r="I27" s="18">
        <f>IF(F27="DNA",上机信息表!I27*70,上机信息表!I27*100)</f>
        <v>0</v>
      </c>
      <c r="K27" s="33">
        <f>上机信息表!A27</f>
        <v>0</v>
      </c>
      <c r="L27" s="18">
        <f>上机信息表!J27</f>
        <v>0</v>
      </c>
      <c r="M27" s="18">
        <f>上机信息表!K27</f>
        <v>0</v>
      </c>
      <c r="N27" s="18">
        <f>上机信息表!L27</f>
        <v>0</v>
      </c>
      <c r="O27" s="18">
        <f>上机信息表!M27</f>
        <v>0</v>
      </c>
      <c r="P27" s="18">
        <f>上机信息表!N27</f>
        <v>0</v>
      </c>
      <c r="Q27" s="18">
        <f>上机信息表!O27</f>
        <v>0</v>
      </c>
      <c r="R27" s="18" t="str">
        <f>IF(C27=0,"","VMGZ22"&amp;TEXT(MID(pooling详情!$A$1,14,(FIND("期",pooling详情!$A$1)-FIND("第",pooling详情!$A$1)-1)),"0000"))</f>
        <v/>
      </c>
      <c r="S27" s="18">
        <f>上机信息表!P27</f>
        <v>0</v>
      </c>
      <c r="T27" s="18" t="str">
        <f>IF(C27=0,"",pooling详情!$G$66)</f>
        <v/>
      </c>
      <c r="U27" s="34" t="str">
        <f>IF(C27=0,"",pooling详情!$A$80)</f>
        <v/>
      </c>
      <c r="V27" s="34" t="str">
        <f t="shared" si="0"/>
        <v/>
      </c>
      <c r="W27" s="18">
        <f>上机信息表!X27</f>
        <v>0</v>
      </c>
      <c r="X27" s="18">
        <f>上机信息表!R27</f>
        <v>0</v>
      </c>
      <c r="Y27" t="str">
        <f t="shared" si="1"/>
        <v/>
      </c>
      <c r="Z27" t="str">
        <f>IFERROR(IF(Y27="RNA提取试剂盒",CONCATENATE(MID(上机信息表!Q27,SEARCH("提取",上机信息表!Q27),SEARCH("建",上机信息表!Q27)-2)),IF(Y27="DNA提取试剂盒",IF(ISNUMBER(FIND("呼吸道",上机信息表!Q27)),CONCATENATE(MID(上机信息表!Q27,SEARCH("提取",上机信息表!Q27),SEARCH(",",上机信息表!Q27,SEARCH("呼吸道",上机信息表!Q27))-1)),IF(ISNUMBER(FIND("组织",上机信息表!Q27)),CONCATENATE(MID(上机信息表!Q27,SEARCH("提取",上机信息表!Q27),SEARCH(",",上机信息表!Q27,SEARCH("组织",上机信息表!Q27))-1)),CONCATENATE(MID(上机信息表!Q27,SEARCH("提取",上机信息表!Q27),SEARCH(",",上机信息表!Q27)-1)))),"")),"")</f>
        <v/>
      </c>
      <c r="AA27" t="str">
        <f t="shared" si="2"/>
        <v/>
      </c>
      <c r="AB27" t="str">
        <f>IFERROR(IF(AA27="RNA建库试剂盒",MID(上机信息表!Q27,SEARCH("建库",上机信息表!Q27),20),IF(AA27="DNA建库试剂盒",MID(上机信息表!Q27,SEARCH("建库",上机信息表!Q27),20),"")),"")</f>
        <v/>
      </c>
      <c r="AC27" t="str">
        <f>IF(C27=0,"",CONCATENATE("芯片批号：",'IDseq-上机流程监控表'!$G$5,",","上机试剂批号：",'IDseq-上机流程监控表'!$G$6,",","Buffer批号：",'IDseq-上机流程监控表'!$G$7))</f>
        <v/>
      </c>
    </row>
    <row r="28" spans="1:29">
      <c r="A28" s="18" t="str">
        <f>IF(C28=0,"","YF23"&amp;TEXT(MID(pooling详情!$A$1,14,(FIND("期",pooling详情!$A$1)-FIND("第",pooling详情!$A$1)-1)),"0000"))</f>
        <v/>
      </c>
      <c r="B28" s="18">
        <f>上机信息表!G28</f>
        <v>0</v>
      </c>
      <c r="C28" s="18">
        <f>上机信息表!C28</f>
        <v>0</v>
      </c>
      <c r="D28" s="18">
        <f>上机信息表!D28</f>
        <v>0</v>
      </c>
      <c r="E28" s="18">
        <f>上机信息表!E28</f>
        <v>0</v>
      </c>
      <c r="F28" s="18">
        <f>上机信息表!F28</f>
        <v>0</v>
      </c>
      <c r="G28" s="18">
        <f>上机信息表!H28</f>
        <v>0</v>
      </c>
      <c r="H28" s="18">
        <f>上机信息表!I28</f>
        <v>0</v>
      </c>
      <c r="I28" s="18">
        <f>IF(F28="DNA",上机信息表!I28*70,上机信息表!I28*100)</f>
        <v>0</v>
      </c>
      <c r="K28" s="33">
        <f>上机信息表!A28</f>
        <v>0</v>
      </c>
      <c r="L28" s="18">
        <f>上机信息表!J28</f>
        <v>0</v>
      </c>
      <c r="M28" s="18">
        <f>上机信息表!K28</f>
        <v>0</v>
      </c>
      <c r="N28" s="18">
        <f>上机信息表!L28</f>
        <v>0</v>
      </c>
      <c r="O28" s="18">
        <f>上机信息表!M28</f>
        <v>0</v>
      </c>
      <c r="P28" s="18">
        <f>上机信息表!N28</f>
        <v>0</v>
      </c>
      <c r="Q28" s="18">
        <f>上机信息表!O28</f>
        <v>0</v>
      </c>
      <c r="R28" s="18" t="str">
        <f>IF(C28=0,"","VMGZ22"&amp;TEXT(MID(pooling详情!$A$1,14,(FIND("期",pooling详情!$A$1)-FIND("第",pooling详情!$A$1)-1)),"0000"))</f>
        <v/>
      </c>
      <c r="S28" s="18">
        <f>上机信息表!P28</f>
        <v>0</v>
      </c>
      <c r="T28" s="18" t="str">
        <f>IF(C28=0,"",pooling详情!$G$66)</f>
        <v/>
      </c>
      <c r="U28" s="34" t="str">
        <f>IF(C28=0,"",pooling详情!$A$80)</f>
        <v/>
      </c>
      <c r="V28" s="34" t="str">
        <f t="shared" si="0"/>
        <v/>
      </c>
      <c r="W28" s="18">
        <f>上机信息表!X28</f>
        <v>0</v>
      </c>
      <c r="X28" s="18">
        <f>上机信息表!R28</f>
        <v>0</v>
      </c>
      <c r="Y28" t="str">
        <f t="shared" si="1"/>
        <v/>
      </c>
      <c r="Z28" t="str">
        <f>IFERROR(IF(Y28="RNA提取试剂盒",CONCATENATE(MID(上机信息表!Q28,SEARCH("提取",上机信息表!Q28),SEARCH("建",上机信息表!Q28)-2)),IF(Y28="DNA提取试剂盒",IF(ISNUMBER(FIND("呼吸道",上机信息表!Q28)),CONCATENATE(MID(上机信息表!Q28,SEARCH("提取",上机信息表!Q28),SEARCH(",",上机信息表!Q28,SEARCH("呼吸道",上机信息表!Q28))-1)),IF(ISNUMBER(FIND("组织",上机信息表!Q28)),CONCATENATE(MID(上机信息表!Q28,SEARCH("提取",上机信息表!Q28),SEARCH(",",上机信息表!Q28,SEARCH("组织",上机信息表!Q28))-1)),CONCATENATE(MID(上机信息表!Q28,SEARCH("提取",上机信息表!Q28),SEARCH(",",上机信息表!Q28)-1)))),"")),"")</f>
        <v/>
      </c>
      <c r="AA28" t="str">
        <f t="shared" si="2"/>
        <v/>
      </c>
      <c r="AB28" t="str">
        <f>IFERROR(IF(AA28="RNA建库试剂盒",MID(上机信息表!Q28,SEARCH("建库",上机信息表!Q28),20),IF(AA28="DNA建库试剂盒",MID(上机信息表!Q28,SEARCH("建库",上机信息表!Q28),20),"")),"")</f>
        <v/>
      </c>
      <c r="AC28" t="str">
        <f>IF(C28=0,"",CONCATENATE("芯片批号：",'IDseq-上机流程监控表'!$G$5,",","上机试剂批号：",'IDseq-上机流程监控表'!$G$6,",","Buffer批号：",'IDseq-上机流程监控表'!$G$7))</f>
        <v/>
      </c>
    </row>
    <row r="29" spans="1:29">
      <c r="A29" s="18" t="str">
        <f>IF(C29=0,"","YF23"&amp;TEXT(MID(pooling详情!$A$1,14,(FIND("期",pooling详情!$A$1)-FIND("第",pooling详情!$A$1)-1)),"0000"))</f>
        <v/>
      </c>
      <c r="B29" s="18">
        <f>上机信息表!G29</f>
        <v>0</v>
      </c>
      <c r="C29" s="18">
        <f>上机信息表!C29</f>
        <v>0</v>
      </c>
      <c r="D29" s="18">
        <f>上机信息表!D29</f>
        <v>0</v>
      </c>
      <c r="E29" s="18">
        <f>上机信息表!E29</f>
        <v>0</v>
      </c>
      <c r="F29" s="18">
        <f>上机信息表!F29</f>
        <v>0</v>
      </c>
      <c r="G29" s="18">
        <f>上机信息表!H29</f>
        <v>0</v>
      </c>
      <c r="H29" s="18">
        <f>上机信息表!I29</f>
        <v>0</v>
      </c>
      <c r="I29" s="18">
        <f>IF(F29="DNA",上机信息表!I29*70,上机信息表!I29*100)</f>
        <v>0</v>
      </c>
      <c r="K29" s="33">
        <f>上机信息表!A29</f>
        <v>0</v>
      </c>
      <c r="L29" s="18">
        <f>上机信息表!J29</f>
        <v>0</v>
      </c>
      <c r="M29" s="18">
        <f>上机信息表!K29</f>
        <v>0</v>
      </c>
      <c r="N29" s="18">
        <f>上机信息表!L29</f>
        <v>0</v>
      </c>
      <c r="O29" s="18">
        <f>上机信息表!M29</f>
        <v>0</v>
      </c>
      <c r="P29" s="18">
        <f>上机信息表!N29</f>
        <v>0</v>
      </c>
      <c r="Q29" s="18">
        <f>上机信息表!O29</f>
        <v>0</v>
      </c>
      <c r="R29" s="18" t="str">
        <f>IF(C29=0,"","VMGZ22"&amp;TEXT(MID(pooling详情!$A$1,14,(FIND("期",pooling详情!$A$1)-FIND("第",pooling详情!$A$1)-1)),"0000"))</f>
        <v/>
      </c>
      <c r="S29" s="18">
        <f>上机信息表!P29</f>
        <v>0</v>
      </c>
      <c r="T29" s="18" t="str">
        <f>IF(C29=0,"",pooling详情!$G$66)</f>
        <v/>
      </c>
      <c r="U29" s="34" t="str">
        <f>IF(C29=0,"",pooling详情!$A$80)</f>
        <v/>
      </c>
      <c r="V29" s="34" t="str">
        <f t="shared" si="0"/>
        <v/>
      </c>
      <c r="W29" s="18">
        <f>上机信息表!X29</f>
        <v>0</v>
      </c>
      <c r="X29" s="18">
        <f>上机信息表!R29</f>
        <v>0</v>
      </c>
      <c r="Y29" t="str">
        <f t="shared" si="1"/>
        <v/>
      </c>
      <c r="Z29" t="str">
        <f>IFERROR(IF(Y29="RNA提取试剂盒",CONCATENATE(MID(上机信息表!Q29,SEARCH("提取",上机信息表!Q29),SEARCH("建",上机信息表!Q29)-2)),IF(Y29="DNA提取试剂盒",IF(ISNUMBER(FIND("呼吸道",上机信息表!Q29)),CONCATENATE(MID(上机信息表!Q29,SEARCH("提取",上机信息表!Q29),SEARCH(",",上机信息表!Q29,SEARCH("呼吸道",上机信息表!Q29))-1)),IF(ISNUMBER(FIND("组织",上机信息表!Q29)),CONCATENATE(MID(上机信息表!Q29,SEARCH("提取",上机信息表!Q29),SEARCH(",",上机信息表!Q29,SEARCH("组织",上机信息表!Q29))-1)),CONCATENATE(MID(上机信息表!Q29,SEARCH("提取",上机信息表!Q29),SEARCH(",",上机信息表!Q29)-1)))),"")),"")</f>
        <v/>
      </c>
      <c r="AA29" t="str">
        <f t="shared" si="2"/>
        <v/>
      </c>
      <c r="AB29" t="str">
        <f>IFERROR(IF(AA29="RNA建库试剂盒",MID(上机信息表!Q29,SEARCH("建库",上机信息表!Q29),20),IF(AA29="DNA建库试剂盒",MID(上机信息表!Q29,SEARCH("建库",上机信息表!Q29),20),"")),"")</f>
        <v/>
      </c>
      <c r="AC29" t="str">
        <f>IF(C29=0,"",CONCATENATE("芯片批号：",'IDseq-上机流程监控表'!$G$5,",","上机试剂批号：",'IDseq-上机流程监控表'!$G$6,",","Buffer批号：",'IDseq-上机流程监控表'!$G$7))</f>
        <v/>
      </c>
    </row>
    <row r="30" spans="1:29">
      <c r="A30" s="18" t="str">
        <f>IF(C30=0,"","YF23"&amp;TEXT(MID(pooling详情!$A$1,14,(FIND("期",pooling详情!$A$1)-FIND("第",pooling详情!$A$1)-1)),"0000"))</f>
        <v/>
      </c>
      <c r="B30" s="18">
        <f>上机信息表!G30</f>
        <v>0</v>
      </c>
      <c r="C30" s="18">
        <f>上机信息表!C30</f>
        <v>0</v>
      </c>
      <c r="D30" s="18">
        <f>上机信息表!D30</f>
        <v>0</v>
      </c>
      <c r="E30" s="18">
        <f>上机信息表!E30</f>
        <v>0</v>
      </c>
      <c r="F30" s="18">
        <f>上机信息表!F30</f>
        <v>0</v>
      </c>
      <c r="G30" s="18">
        <f>上机信息表!H30</f>
        <v>0</v>
      </c>
      <c r="H30" s="18">
        <f>上机信息表!I30</f>
        <v>0</v>
      </c>
      <c r="I30" s="18">
        <f>IF(F30="DNA",上机信息表!I30*70,上机信息表!I30*100)</f>
        <v>0</v>
      </c>
      <c r="K30" s="33">
        <f>上机信息表!A30</f>
        <v>0</v>
      </c>
      <c r="L30" s="18">
        <f>上机信息表!J30</f>
        <v>0</v>
      </c>
      <c r="M30" s="18">
        <f>上机信息表!K30</f>
        <v>0</v>
      </c>
      <c r="N30" s="18">
        <f>上机信息表!L30</f>
        <v>0</v>
      </c>
      <c r="O30" s="18">
        <f>上机信息表!M30</f>
        <v>0</v>
      </c>
      <c r="P30" s="18">
        <f>上机信息表!N30</f>
        <v>0</v>
      </c>
      <c r="Q30" s="18">
        <f>上机信息表!O30</f>
        <v>0</v>
      </c>
      <c r="R30" s="18" t="str">
        <f>IF(C30=0,"","VMGZ22"&amp;TEXT(MID(pooling详情!$A$1,14,(FIND("期",pooling详情!$A$1)-FIND("第",pooling详情!$A$1)-1)),"0000"))</f>
        <v/>
      </c>
      <c r="S30" s="18">
        <f>上机信息表!P30</f>
        <v>0</v>
      </c>
      <c r="T30" s="18" t="str">
        <f>IF(C30=0,"",pooling详情!$G$66)</f>
        <v/>
      </c>
      <c r="U30" s="34" t="str">
        <f>IF(C30=0,"",pooling详情!$A$80)</f>
        <v/>
      </c>
      <c r="V30" s="34" t="str">
        <f t="shared" si="0"/>
        <v/>
      </c>
      <c r="W30" s="18">
        <f>上机信息表!X30</f>
        <v>0</v>
      </c>
      <c r="X30" s="18">
        <f>上机信息表!R30</f>
        <v>0</v>
      </c>
      <c r="Y30" t="str">
        <f t="shared" si="1"/>
        <v/>
      </c>
      <c r="Z30" t="str">
        <f>IFERROR(IF(Y30="RNA提取试剂盒",CONCATENATE(MID(上机信息表!Q30,SEARCH("提取",上机信息表!Q30),SEARCH("建",上机信息表!Q30)-2)),IF(Y30="DNA提取试剂盒",IF(ISNUMBER(FIND("呼吸道",上机信息表!Q30)),CONCATENATE(MID(上机信息表!Q30,SEARCH("提取",上机信息表!Q30),SEARCH(",",上机信息表!Q30,SEARCH("呼吸道",上机信息表!Q30))-1)),IF(ISNUMBER(FIND("组织",上机信息表!Q30)),CONCATENATE(MID(上机信息表!Q30,SEARCH("提取",上机信息表!Q30),SEARCH(",",上机信息表!Q30,SEARCH("组织",上机信息表!Q30))-1)),CONCATENATE(MID(上机信息表!Q30,SEARCH("提取",上机信息表!Q30),SEARCH(",",上机信息表!Q30)-1)))),"")),"")</f>
        <v/>
      </c>
      <c r="AA30" t="str">
        <f t="shared" si="2"/>
        <v/>
      </c>
      <c r="AB30" t="str">
        <f>IFERROR(IF(AA30="RNA建库试剂盒",MID(上机信息表!Q30,SEARCH("建库",上机信息表!Q30),20),IF(AA30="DNA建库试剂盒",MID(上机信息表!Q30,SEARCH("建库",上机信息表!Q30),20),"")),"")</f>
        <v/>
      </c>
      <c r="AC30" t="str">
        <f>IF(C30=0,"",CONCATENATE("芯片批号：",'IDseq-上机流程监控表'!$G$5,",","上机试剂批号：",'IDseq-上机流程监控表'!$G$6,",","Buffer批号：",'IDseq-上机流程监控表'!$G$7))</f>
        <v/>
      </c>
    </row>
    <row r="31" spans="1:29">
      <c r="A31" s="18" t="str">
        <f>IF(C31=0,"","YF23"&amp;TEXT(MID(pooling详情!$A$1,14,(FIND("期",pooling详情!$A$1)-FIND("第",pooling详情!$A$1)-1)),"0000"))</f>
        <v/>
      </c>
      <c r="B31" s="18">
        <f>上机信息表!G31</f>
        <v>0</v>
      </c>
      <c r="C31" s="18">
        <f>上机信息表!C31</f>
        <v>0</v>
      </c>
      <c r="D31" s="18">
        <f>上机信息表!D31</f>
        <v>0</v>
      </c>
      <c r="E31" s="18">
        <f>上机信息表!E31</f>
        <v>0</v>
      </c>
      <c r="F31" s="18">
        <f>上机信息表!F31</f>
        <v>0</v>
      </c>
      <c r="G31" s="18">
        <f>上机信息表!H31</f>
        <v>0</v>
      </c>
      <c r="H31" s="18">
        <f>上机信息表!I31</f>
        <v>0</v>
      </c>
      <c r="I31" s="18">
        <f>IF(F31="DNA",上机信息表!I31*70,上机信息表!I31*100)</f>
        <v>0</v>
      </c>
      <c r="K31" s="33">
        <f>上机信息表!A31</f>
        <v>0</v>
      </c>
      <c r="L31" s="18">
        <f>上机信息表!J31</f>
        <v>0</v>
      </c>
      <c r="M31" s="18">
        <f>上机信息表!K31</f>
        <v>0</v>
      </c>
      <c r="N31" s="18">
        <f>上机信息表!L31</f>
        <v>0</v>
      </c>
      <c r="O31" s="18">
        <f>上机信息表!M31</f>
        <v>0</v>
      </c>
      <c r="P31" s="18">
        <f>上机信息表!N31</f>
        <v>0</v>
      </c>
      <c r="Q31" s="18">
        <f>上机信息表!O31</f>
        <v>0</v>
      </c>
      <c r="R31" s="18" t="str">
        <f>IF(C31=0,"","VMGZ22"&amp;TEXT(MID(pooling详情!$A$1,14,(FIND("期",pooling详情!$A$1)-FIND("第",pooling详情!$A$1)-1)),"0000"))</f>
        <v/>
      </c>
      <c r="S31" s="18">
        <f>上机信息表!P31</f>
        <v>0</v>
      </c>
      <c r="T31" s="18" t="str">
        <f>IF(C31=0,"",pooling详情!$G$66)</f>
        <v/>
      </c>
      <c r="U31" s="34" t="str">
        <f>IF(C31=0,"",pooling详情!$A$80)</f>
        <v/>
      </c>
      <c r="V31" s="34" t="str">
        <f t="shared" si="0"/>
        <v/>
      </c>
      <c r="W31" s="18">
        <f>上机信息表!X31</f>
        <v>0</v>
      </c>
      <c r="X31" s="18">
        <f>上机信息表!R31</f>
        <v>0</v>
      </c>
      <c r="Y31" t="str">
        <f t="shared" si="1"/>
        <v/>
      </c>
      <c r="Z31" t="str">
        <f>IFERROR(IF(Y31="RNA提取试剂盒",CONCATENATE(MID(上机信息表!Q31,SEARCH("提取",上机信息表!Q31),SEARCH("建",上机信息表!Q31)-2)),IF(Y31="DNA提取试剂盒",IF(ISNUMBER(FIND("呼吸道",上机信息表!Q31)),CONCATENATE(MID(上机信息表!Q31,SEARCH("提取",上机信息表!Q31),SEARCH(",",上机信息表!Q31,SEARCH("呼吸道",上机信息表!Q31))-1)),IF(ISNUMBER(FIND("组织",上机信息表!Q31)),CONCATENATE(MID(上机信息表!Q31,SEARCH("提取",上机信息表!Q31),SEARCH(",",上机信息表!Q31,SEARCH("组织",上机信息表!Q31))-1)),CONCATENATE(MID(上机信息表!Q31,SEARCH("提取",上机信息表!Q31),SEARCH(",",上机信息表!Q31)-1)))),"")),"")</f>
        <v/>
      </c>
      <c r="AA31" t="str">
        <f t="shared" si="2"/>
        <v/>
      </c>
      <c r="AB31" t="str">
        <f>IFERROR(IF(AA31="RNA建库试剂盒",MID(上机信息表!Q31,SEARCH("建库",上机信息表!Q31),20),IF(AA31="DNA建库试剂盒",MID(上机信息表!Q31,SEARCH("建库",上机信息表!Q31),20),"")),"")</f>
        <v/>
      </c>
      <c r="AC31" t="str">
        <f>IF(C31=0,"",CONCATENATE("芯片批号：",'IDseq-上机流程监控表'!$G$5,",","上机试剂批号：",'IDseq-上机流程监控表'!$G$6,",","Buffer批号：",'IDseq-上机流程监控表'!$G$7))</f>
        <v/>
      </c>
    </row>
    <row r="32" spans="1:29">
      <c r="A32" s="18" t="str">
        <f>IF(C32=0,"","YF23"&amp;TEXT(MID(pooling详情!$A$1,14,(FIND("期",pooling详情!$A$1)-FIND("第",pooling详情!$A$1)-1)),"0000"))</f>
        <v/>
      </c>
      <c r="B32" s="18">
        <f>上机信息表!G32</f>
        <v>0</v>
      </c>
      <c r="C32" s="18">
        <f>上机信息表!C32</f>
        <v>0</v>
      </c>
      <c r="D32" s="18">
        <f>上机信息表!D32</f>
        <v>0</v>
      </c>
      <c r="E32" s="18">
        <f>上机信息表!E32</f>
        <v>0</v>
      </c>
      <c r="F32" s="18">
        <f>上机信息表!F32</f>
        <v>0</v>
      </c>
      <c r="G32" s="18">
        <f>上机信息表!H32</f>
        <v>0</v>
      </c>
      <c r="H32" s="18">
        <f>上机信息表!I32</f>
        <v>0</v>
      </c>
      <c r="I32" s="18">
        <f>IF(F32="DNA",上机信息表!I32*70,上机信息表!I32*100)</f>
        <v>0</v>
      </c>
      <c r="K32" s="33">
        <f>上机信息表!A32</f>
        <v>0</v>
      </c>
      <c r="L32" s="18">
        <f>上机信息表!J32</f>
        <v>0</v>
      </c>
      <c r="M32" s="18">
        <f>上机信息表!K32</f>
        <v>0</v>
      </c>
      <c r="N32" s="18">
        <f>上机信息表!L32</f>
        <v>0</v>
      </c>
      <c r="O32" s="18">
        <f>上机信息表!M32</f>
        <v>0</v>
      </c>
      <c r="P32" s="18">
        <f>上机信息表!N32</f>
        <v>0</v>
      </c>
      <c r="Q32" s="18">
        <f>上机信息表!O32</f>
        <v>0</v>
      </c>
      <c r="R32" s="18" t="str">
        <f>IF(C32=0,"","VMGZ22"&amp;TEXT(MID(pooling详情!$A$1,14,(FIND("期",pooling详情!$A$1)-FIND("第",pooling详情!$A$1)-1)),"0000"))</f>
        <v/>
      </c>
      <c r="S32" s="18">
        <f>上机信息表!P32</f>
        <v>0</v>
      </c>
      <c r="T32" s="18" t="str">
        <f>IF(C32=0,"",pooling详情!$G$66)</f>
        <v/>
      </c>
      <c r="U32" s="34" t="str">
        <f>IF(C32=0,"",pooling详情!$A$80)</f>
        <v/>
      </c>
      <c r="V32" s="34" t="str">
        <f t="shared" si="0"/>
        <v/>
      </c>
      <c r="W32" s="18">
        <f>上机信息表!X32</f>
        <v>0</v>
      </c>
      <c r="X32" s="18">
        <f>上机信息表!R32</f>
        <v>0</v>
      </c>
      <c r="Y32" t="str">
        <f t="shared" si="1"/>
        <v/>
      </c>
      <c r="Z32" t="str">
        <f>IFERROR(IF(Y32="RNA提取试剂盒",CONCATENATE(MID(上机信息表!Q32,SEARCH("提取",上机信息表!Q32),SEARCH("建",上机信息表!Q32)-2)),IF(Y32="DNA提取试剂盒",IF(ISNUMBER(FIND("呼吸道",上机信息表!Q32)),CONCATENATE(MID(上机信息表!Q32,SEARCH("提取",上机信息表!Q32),SEARCH(",",上机信息表!Q32,SEARCH("呼吸道",上机信息表!Q32))-1)),IF(ISNUMBER(FIND("组织",上机信息表!Q32)),CONCATENATE(MID(上机信息表!Q32,SEARCH("提取",上机信息表!Q32),SEARCH(",",上机信息表!Q32,SEARCH("组织",上机信息表!Q32))-1)),CONCATENATE(MID(上机信息表!Q32,SEARCH("提取",上机信息表!Q32),SEARCH(",",上机信息表!Q32)-1)))),"")),"")</f>
        <v/>
      </c>
      <c r="AA32" t="str">
        <f t="shared" si="2"/>
        <v/>
      </c>
      <c r="AB32" t="str">
        <f>IFERROR(IF(AA32="RNA建库试剂盒",MID(上机信息表!Q32,SEARCH("建库",上机信息表!Q32),20),IF(AA32="DNA建库试剂盒",MID(上机信息表!Q32,SEARCH("建库",上机信息表!Q32),20),"")),"")</f>
        <v/>
      </c>
      <c r="AC32" t="str">
        <f>IF(C32=0,"",CONCATENATE("芯片批号：",'IDseq-上机流程监控表'!$G$5,",","上机试剂批号：",'IDseq-上机流程监控表'!$G$6,",","Buffer批号：",'IDseq-上机流程监控表'!$G$7))</f>
        <v/>
      </c>
    </row>
    <row r="33" spans="1:29">
      <c r="A33" s="18" t="str">
        <f>IF(C33=0,"","YF23"&amp;TEXT(MID(pooling详情!$A$1,14,(FIND("期",pooling详情!$A$1)-FIND("第",pooling详情!$A$1)-1)),"0000"))</f>
        <v/>
      </c>
      <c r="B33" s="18">
        <f>上机信息表!G33</f>
        <v>0</v>
      </c>
      <c r="C33" s="18">
        <f>上机信息表!C33</f>
        <v>0</v>
      </c>
      <c r="D33" s="18">
        <f>上机信息表!D33</f>
        <v>0</v>
      </c>
      <c r="E33" s="18">
        <f>上机信息表!E33</f>
        <v>0</v>
      </c>
      <c r="F33" s="18">
        <f>上机信息表!F33</f>
        <v>0</v>
      </c>
      <c r="G33" s="18">
        <f>上机信息表!H33</f>
        <v>0</v>
      </c>
      <c r="H33" s="18">
        <f>上机信息表!I33</f>
        <v>0</v>
      </c>
      <c r="I33" s="18">
        <f>IF(F33="DNA",上机信息表!I33*70,上机信息表!I33*100)</f>
        <v>0</v>
      </c>
      <c r="K33" s="33">
        <f>上机信息表!A33</f>
        <v>0</v>
      </c>
      <c r="L33" s="18">
        <f>上机信息表!J33</f>
        <v>0</v>
      </c>
      <c r="M33" s="18">
        <f>上机信息表!K33</f>
        <v>0</v>
      </c>
      <c r="N33" s="18">
        <f>上机信息表!L33</f>
        <v>0</v>
      </c>
      <c r="O33" s="18">
        <f>上机信息表!M33</f>
        <v>0</v>
      </c>
      <c r="P33" s="18">
        <f>上机信息表!N33</f>
        <v>0</v>
      </c>
      <c r="Q33" s="18">
        <f>上机信息表!O33</f>
        <v>0</v>
      </c>
      <c r="R33" s="18" t="str">
        <f>IF(C33=0,"","VMGZ22"&amp;TEXT(MID(pooling详情!$A$1,14,(FIND("期",pooling详情!$A$1)-FIND("第",pooling详情!$A$1)-1)),"0000"))</f>
        <v/>
      </c>
      <c r="S33" s="18">
        <f>上机信息表!P33</f>
        <v>0</v>
      </c>
      <c r="T33" s="18" t="str">
        <f>IF(C33=0,"",pooling详情!$G$66)</f>
        <v/>
      </c>
      <c r="U33" s="34" t="str">
        <f>IF(C33=0,"",pooling详情!$A$80)</f>
        <v/>
      </c>
      <c r="V33" s="34" t="str">
        <f t="shared" si="0"/>
        <v/>
      </c>
      <c r="W33" s="18">
        <f>上机信息表!X33</f>
        <v>0</v>
      </c>
      <c r="X33" s="18">
        <f>上机信息表!R33</f>
        <v>0</v>
      </c>
      <c r="Y33" t="str">
        <f t="shared" si="1"/>
        <v/>
      </c>
      <c r="Z33" t="str">
        <f>IFERROR(IF(Y33="RNA提取试剂盒",CONCATENATE(MID(上机信息表!Q33,SEARCH("提取",上机信息表!Q33),SEARCH("建",上机信息表!Q33)-2)),IF(Y33="DNA提取试剂盒",IF(ISNUMBER(FIND("呼吸道",上机信息表!Q33)),CONCATENATE(MID(上机信息表!Q33,SEARCH("提取",上机信息表!Q33),SEARCH(",",上机信息表!Q33,SEARCH("呼吸道",上机信息表!Q33))-1)),IF(ISNUMBER(FIND("组织",上机信息表!Q33)),CONCATENATE(MID(上机信息表!Q33,SEARCH("提取",上机信息表!Q33),SEARCH(",",上机信息表!Q33,SEARCH("组织",上机信息表!Q33))-1)),CONCATENATE(MID(上机信息表!Q33,SEARCH("提取",上机信息表!Q33),SEARCH(",",上机信息表!Q33)-1)))),"")),"")</f>
        <v/>
      </c>
      <c r="AA33" t="str">
        <f t="shared" si="2"/>
        <v/>
      </c>
      <c r="AB33" t="str">
        <f>IFERROR(IF(AA33="RNA建库试剂盒",MID(上机信息表!Q33,SEARCH("建库",上机信息表!Q33),20),IF(AA33="DNA建库试剂盒",MID(上机信息表!Q33,SEARCH("建库",上机信息表!Q33),20),"")),"")</f>
        <v/>
      </c>
      <c r="AC33" t="str">
        <f>IF(C33=0,"",CONCATENATE("芯片批号：",'IDseq-上机流程监控表'!$G$5,",","上机试剂批号：",'IDseq-上机流程监控表'!$G$6,",","Buffer批号：",'IDseq-上机流程监控表'!$G$7))</f>
        <v/>
      </c>
    </row>
    <row r="34" spans="1:29">
      <c r="A34" s="18" t="str">
        <f>IF(C34=0,"","YF23"&amp;TEXT(MID(pooling详情!$A$1,14,(FIND("期",pooling详情!$A$1)-FIND("第",pooling详情!$A$1)-1)),"0000"))</f>
        <v/>
      </c>
      <c r="B34" s="18">
        <f>上机信息表!G34</f>
        <v>0</v>
      </c>
      <c r="C34" s="18">
        <f>上机信息表!C34</f>
        <v>0</v>
      </c>
      <c r="D34" s="18">
        <f>上机信息表!D34</f>
        <v>0</v>
      </c>
      <c r="E34" s="18">
        <f>上机信息表!E34</f>
        <v>0</v>
      </c>
      <c r="F34" s="18">
        <f>上机信息表!F34</f>
        <v>0</v>
      </c>
      <c r="G34" s="18">
        <f>上机信息表!H34</f>
        <v>0</v>
      </c>
      <c r="H34" s="18">
        <f>上机信息表!I34</f>
        <v>0</v>
      </c>
      <c r="I34" s="18">
        <f>IF(F34="DNA",上机信息表!I34*70,上机信息表!I34*100)</f>
        <v>0</v>
      </c>
      <c r="K34" s="33">
        <f>上机信息表!A34</f>
        <v>0</v>
      </c>
      <c r="L34" s="18">
        <f>上机信息表!J34</f>
        <v>0</v>
      </c>
      <c r="M34" s="18">
        <f>上机信息表!K34</f>
        <v>0</v>
      </c>
      <c r="N34" s="18">
        <f>上机信息表!L34</f>
        <v>0</v>
      </c>
      <c r="O34" s="18">
        <f>上机信息表!M34</f>
        <v>0</v>
      </c>
      <c r="P34" s="18">
        <f>上机信息表!N34</f>
        <v>0</v>
      </c>
      <c r="Q34" s="18">
        <f>上机信息表!O34</f>
        <v>0</v>
      </c>
      <c r="R34" s="18" t="str">
        <f>IF(C34=0,"","VMGZ22"&amp;TEXT(MID(pooling详情!$A$1,14,(FIND("期",pooling详情!$A$1)-FIND("第",pooling详情!$A$1)-1)),"0000"))</f>
        <v/>
      </c>
      <c r="S34" s="18">
        <f>上机信息表!P34</f>
        <v>0</v>
      </c>
      <c r="T34" s="18" t="str">
        <f>IF(C34=0,"",pooling详情!$G$66)</f>
        <v/>
      </c>
      <c r="U34" s="34" t="str">
        <f>IF(C34=0,"",pooling详情!$A$80)</f>
        <v/>
      </c>
      <c r="V34" s="34" t="str">
        <f t="shared" si="0"/>
        <v/>
      </c>
      <c r="W34" s="18">
        <f>上机信息表!X34</f>
        <v>0</v>
      </c>
      <c r="X34" s="18">
        <f>上机信息表!R34</f>
        <v>0</v>
      </c>
      <c r="Y34" t="str">
        <f t="shared" si="1"/>
        <v/>
      </c>
      <c r="Z34" t="str">
        <f>IFERROR(IF(Y34="RNA提取试剂盒",CONCATENATE(MID(上机信息表!Q34,SEARCH("提取",上机信息表!Q34),SEARCH("建",上机信息表!Q34)-2)),IF(Y34="DNA提取试剂盒",IF(ISNUMBER(FIND("呼吸道",上机信息表!Q34)),CONCATENATE(MID(上机信息表!Q34,SEARCH("提取",上机信息表!Q34),SEARCH(",",上机信息表!Q34,SEARCH("呼吸道",上机信息表!Q34))-1)),IF(ISNUMBER(FIND("组织",上机信息表!Q34)),CONCATENATE(MID(上机信息表!Q34,SEARCH("提取",上机信息表!Q34),SEARCH(",",上机信息表!Q34,SEARCH("组织",上机信息表!Q34))-1)),CONCATENATE(MID(上机信息表!Q34,SEARCH("提取",上机信息表!Q34),SEARCH(",",上机信息表!Q34)-1)))),"")),"")</f>
        <v/>
      </c>
      <c r="AA34" t="str">
        <f t="shared" si="2"/>
        <v/>
      </c>
      <c r="AB34" t="str">
        <f>IFERROR(IF(AA34="RNA建库试剂盒",MID(上机信息表!Q34,SEARCH("建库",上机信息表!Q34),20),IF(AA34="DNA建库试剂盒",MID(上机信息表!Q34,SEARCH("建库",上机信息表!Q34),20),"")),"")</f>
        <v/>
      </c>
      <c r="AC34" t="str">
        <f>IF(C34=0,"",CONCATENATE("芯片批号：",'IDseq-上机流程监控表'!$G$5,",","上机试剂批号：",'IDseq-上机流程监控表'!$G$6,",","Buffer批号：",'IDseq-上机流程监控表'!$G$7))</f>
        <v/>
      </c>
    </row>
    <row r="35" spans="1:29">
      <c r="A35" s="18" t="str">
        <f>IF(C35=0,"","YF23"&amp;TEXT(MID(pooling详情!$A$1,14,(FIND("期",pooling详情!$A$1)-FIND("第",pooling详情!$A$1)-1)),"0000"))</f>
        <v/>
      </c>
      <c r="B35" s="18">
        <f>上机信息表!G35</f>
        <v>0</v>
      </c>
      <c r="C35" s="18">
        <f>上机信息表!C35</f>
        <v>0</v>
      </c>
      <c r="D35" s="18">
        <f>上机信息表!D35</f>
        <v>0</v>
      </c>
      <c r="E35" s="18">
        <f>上机信息表!E35</f>
        <v>0</v>
      </c>
      <c r="F35" s="18">
        <f>上机信息表!F35</f>
        <v>0</v>
      </c>
      <c r="G35" s="18">
        <f>上机信息表!H35</f>
        <v>0</v>
      </c>
      <c r="H35" s="18">
        <f>上机信息表!I35</f>
        <v>0</v>
      </c>
      <c r="I35" s="18">
        <f>IF(F35="DNA",上机信息表!I35*70,上机信息表!I35*100)</f>
        <v>0</v>
      </c>
      <c r="K35" s="33">
        <f>上机信息表!A35</f>
        <v>0</v>
      </c>
      <c r="L35" s="18">
        <f>上机信息表!J35</f>
        <v>0</v>
      </c>
      <c r="M35" s="18">
        <f>上机信息表!K35</f>
        <v>0</v>
      </c>
      <c r="N35" s="18">
        <f>上机信息表!L35</f>
        <v>0</v>
      </c>
      <c r="O35" s="18">
        <f>上机信息表!M35</f>
        <v>0</v>
      </c>
      <c r="P35" s="18">
        <f>上机信息表!N35</f>
        <v>0</v>
      </c>
      <c r="Q35" s="18">
        <f>上机信息表!O35</f>
        <v>0</v>
      </c>
      <c r="R35" s="18" t="str">
        <f>IF(C35=0,"","VMGZ22"&amp;TEXT(MID(pooling详情!$A$1,14,(FIND("期",pooling详情!$A$1)-FIND("第",pooling详情!$A$1)-1)),"0000"))</f>
        <v/>
      </c>
      <c r="S35" s="18">
        <f>上机信息表!P35</f>
        <v>0</v>
      </c>
      <c r="T35" s="18" t="str">
        <f>IF(C35=0,"",pooling详情!$G$66)</f>
        <v/>
      </c>
      <c r="U35" s="34" t="str">
        <f>IF(C35=0,"",pooling详情!$A$80)</f>
        <v/>
      </c>
      <c r="V35" s="34" t="str">
        <f t="shared" ref="V35:V66" si="3">IF(C35=0,"","illumina")</f>
        <v/>
      </c>
      <c r="W35" s="18">
        <f>上机信息表!X35</f>
        <v>0</v>
      </c>
      <c r="X35" s="18">
        <f>上机信息表!R35</f>
        <v>0</v>
      </c>
      <c r="Y35" t="str">
        <f t="shared" ref="Y35:Y66" si="4">IF(F35="RNA","RNA提取试剂盒",IF(LEFT(F35,3)="DNA","DNA提取试剂盒",""))</f>
        <v/>
      </c>
      <c r="Z35" t="str">
        <f>IFERROR(IF(Y35="RNA提取试剂盒",CONCATENATE(MID(上机信息表!Q35,SEARCH("提取",上机信息表!Q35),SEARCH("建",上机信息表!Q35)-2)),IF(Y35="DNA提取试剂盒",IF(ISNUMBER(FIND("呼吸道",上机信息表!Q35)),CONCATENATE(MID(上机信息表!Q35,SEARCH("提取",上机信息表!Q35),SEARCH(",",上机信息表!Q35,SEARCH("呼吸道",上机信息表!Q35))-1)),IF(ISNUMBER(FIND("组织",上机信息表!Q35)),CONCATENATE(MID(上机信息表!Q35,SEARCH("提取",上机信息表!Q35),SEARCH(",",上机信息表!Q35,SEARCH("组织",上机信息表!Q35))-1)),CONCATENATE(MID(上机信息表!Q35,SEARCH("提取",上机信息表!Q35),SEARCH(",",上机信息表!Q35)-1)))),"")),"")</f>
        <v/>
      </c>
      <c r="AA35" t="str">
        <f t="shared" ref="AA35:AA66" si="5">IF(F35="RNA","RNA建库试剂盒",IF(LEFT(F35,3)="DNA","DNA建库试剂盒",""))</f>
        <v/>
      </c>
      <c r="AB35" t="str">
        <f>IFERROR(IF(AA35="RNA建库试剂盒",MID(上机信息表!Q35,SEARCH("建库",上机信息表!Q35),20),IF(AA35="DNA建库试剂盒",MID(上机信息表!Q35,SEARCH("建库",上机信息表!Q35),20),"")),"")</f>
        <v/>
      </c>
      <c r="AC35" t="str">
        <f>IF(C35=0,"",CONCATENATE("芯片批号：",'IDseq-上机流程监控表'!$G$5,",","上机试剂批号：",'IDseq-上机流程监控表'!$G$6,",","Buffer批号：",'IDseq-上机流程监控表'!$G$7))</f>
        <v/>
      </c>
    </row>
    <row r="36" spans="1:29">
      <c r="A36" s="18" t="str">
        <f>IF(C36=0,"","YF23"&amp;TEXT(MID(pooling详情!$A$1,14,(FIND("期",pooling详情!$A$1)-FIND("第",pooling详情!$A$1)-1)),"0000"))</f>
        <v/>
      </c>
      <c r="B36" s="18">
        <f>上机信息表!G36</f>
        <v>0</v>
      </c>
      <c r="C36" s="18">
        <f>上机信息表!C36</f>
        <v>0</v>
      </c>
      <c r="D36" s="18">
        <f>上机信息表!D36</f>
        <v>0</v>
      </c>
      <c r="E36" s="18">
        <f>上机信息表!E36</f>
        <v>0</v>
      </c>
      <c r="F36" s="18">
        <f>上机信息表!F36</f>
        <v>0</v>
      </c>
      <c r="G36" s="18">
        <f>上机信息表!H36</f>
        <v>0</v>
      </c>
      <c r="H36" s="18">
        <f>上机信息表!I36</f>
        <v>0</v>
      </c>
      <c r="I36" s="18">
        <f>IF(F36="DNA",上机信息表!I36*70,上机信息表!I36*100)</f>
        <v>0</v>
      </c>
      <c r="K36" s="33">
        <f>上机信息表!A36</f>
        <v>0</v>
      </c>
      <c r="L36" s="18">
        <f>上机信息表!J36</f>
        <v>0</v>
      </c>
      <c r="M36" s="18">
        <f>上机信息表!K36</f>
        <v>0</v>
      </c>
      <c r="N36" s="18">
        <f>上机信息表!L36</f>
        <v>0</v>
      </c>
      <c r="O36" s="18">
        <f>上机信息表!M36</f>
        <v>0</v>
      </c>
      <c r="P36" s="18">
        <f>上机信息表!N36</f>
        <v>0</v>
      </c>
      <c r="Q36" s="18">
        <f>上机信息表!O36</f>
        <v>0</v>
      </c>
      <c r="R36" s="18" t="str">
        <f>IF(C36=0,"","VMGZ22"&amp;TEXT(MID(pooling详情!$A$1,14,(FIND("期",pooling详情!$A$1)-FIND("第",pooling详情!$A$1)-1)),"0000"))</f>
        <v/>
      </c>
      <c r="S36" s="18">
        <f>上机信息表!P36</f>
        <v>0</v>
      </c>
      <c r="T36" s="18" t="str">
        <f>IF(C36=0,"",pooling详情!$G$66)</f>
        <v/>
      </c>
      <c r="U36" s="34" t="str">
        <f>IF(C36=0,"",pooling详情!$A$80)</f>
        <v/>
      </c>
      <c r="V36" s="34" t="str">
        <f t="shared" si="3"/>
        <v/>
      </c>
      <c r="W36" s="18">
        <f>上机信息表!X36</f>
        <v>0</v>
      </c>
      <c r="X36" s="18">
        <f>上机信息表!R36</f>
        <v>0</v>
      </c>
      <c r="Y36" t="str">
        <f t="shared" si="4"/>
        <v/>
      </c>
      <c r="Z36" t="str">
        <f>IFERROR(IF(Y36="RNA提取试剂盒",CONCATENATE(MID(上机信息表!Q36,SEARCH("提取",上机信息表!Q36),SEARCH("建",上机信息表!Q36)-2)),IF(Y36="DNA提取试剂盒",IF(ISNUMBER(FIND("呼吸道",上机信息表!Q36)),CONCATENATE(MID(上机信息表!Q36,SEARCH("提取",上机信息表!Q36),SEARCH(",",上机信息表!Q36,SEARCH("呼吸道",上机信息表!Q36))-1)),IF(ISNUMBER(FIND("组织",上机信息表!Q36)),CONCATENATE(MID(上机信息表!Q36,SEARCH("提取",上机信息表!Q36),SEARCH(",",上机信息表!Q36,SEARCH("组织",上机信息表!Q36))-1)),CONCATENATE(MID(上机信息表!Q36,SEARCH("提取",上机信息表!Q36),SEARCH(",",上机信息表!Q36)-1)))),"")),"")</f>
        <v/>
      </c>
      <c r="AA36" t="str">
        <f t="shared" si="5"/>
        <v/>
      </c>
      <c r="AB36" t="str">
        <f>IFERROR(IF(AA36="RNA建库试剂盒",MID(上机信息表!Q36,SEARCH("建库",上机信息表!Q36),20),IF(AA36="DNA建库试剂盒",MID(上机信息表!Q36,SEARCH("建库",上机信息表!Q36),20),"")),"")</f>
        <v/>
      </c>
      <c r="AC36" t="str">
        <f>IF(C36=0,"",CONCATENATE("芯片批号：",'IDseq-上机流程监控表'!$G$5,",","上机试剂批号：",'IDseq-上机流程监控表'!$G$6,",","Buffer批号：",'IDseq-上机流程监控表'!$G$7))</f>
        <v/>
      </c>
    </row>
    <row r="37" spans="1:29">
      <c r="A37" s="18" t="str">
        <f>IF(C37=0,"","YF23"&amp;TEXT(MID(pooling详情!$A$1,14,(FIND("期",pooling详情!$A$1)-FIND("第",pooling详情!$A$1)-1)),"0000"))</f>
        <v/>
      </c>
      <c r="B37" s="18">
        <f>上机信息表!G37</f>
        <v>0</v>
      </c>
      <c r="C37" s="18">
        <f>上机信息表!C37</f>
        <v>0</v>
      </c>
      <c r="D37" s="18">
        <f>上机信息表!D37</f>
        <v>0</v>
      </c>
      <c r="E37" s="18">
        <f>上机信息表!E37</f>
        <v>0</v>
      </c>
      <c r="F37" s="18">
        <f>上机信息表!F37</f>
        <v>0</v>
      </c>
      <c r="G37" s="18">
        <f>上机信息表!H37</f>
        <v>0</v>
      </c>
      <c r="H37" s="18">
        <f>上机信息表!I37</f>
        <v>0</v>
      </c>
      <c r="I37" s="18">
        <f>IF(F37="DNA",上机信息表!I37*70,上机信息表!I37*100)</f>
        <v>0</v>
      </c>
      <c r="K37" s="33">
        <f>上机信息表!A37</f>
        <v>0</v>
      </c>
      <c r="L37" s="18">
        <f>上机信息表!J37</f>
        <v>0</v>
      </c>
      <c r="M37" s="18">
        <f>上机信息表!K37</f>
        <v>0</v>
      </c>
      <c r="N37" s="18">
        <f>上机信息表!L37</f>
        <v>0</v>
      </c>
      <c r="O37" s="18">
        <f>上机信息表!M37</f>
        <v>0</v>
      </c>
      <c r="P37" s="18">
        <f>上机信息表!N37</f>
        <v>0</v>
      </c>
      <c r="Q37" s="18">
        <f>上机信息表!O37</f>
        <v>0</v>
      </c>
      <c r="R37" s="18" t="str">
        <f>IF(C37=0,"","VMGZ22"&amp;TEXT(MID(pooling详情!$A$1,14,(FIND("期",pooling详情!$A$1)-FIND("第",pooling详情!$A$1)-1)),"0000"))</f>
        <v/>
      </c>
      <c r="S37" s="18">
        <f>上机信息表!P37</f>
        <v>0</v>
      </c>
      <c r="T37" s="18" t="str">
        <f>IF(C37=0,"",pooling详情!$G$66)</f>
        <v/>
      </c>
      <c r="U37" s="34" t="str">
        <f>IF(C37=0,"",pooling详情!$A$80)</f>
        <v/>
      </c>
      <c r="V37" s="34" t="str">
        <f t="shared" si="3"/>
        <v/>
      </c>
      <c r="W37" s="18">
        <f>上机信息表!X37</f>
        <v>0</v>
      </c>
      <c r="X37" s="18">
        <f>上机信息表!R37</f>
        <v>0</v>
      </c>
      <c r="Y37" t="str">
        <f t="shared" si="4"/>
        <v/>
      </c>
      <c r="Z37" t="str">
        <f>IFERROR(IF(Y37="RNA提取试剂盒",CONCATENATE(MID(上机信息表!Q37,SEARCH("提取",上机信息表!Q37),SEARCH("建",上机信息表!Q37)-2)),IF(Y37="DNA提取试剂盒",IF(ISNUMBER(FIND("呼吸道",上机信息表!Q37)),CONCATENATE(MID(上机信息表!Q37,SEARCH("提取",上机信息表!Q37),SEARCH(",",上机信息表!Q37,SEARCH("呼吸道",上机信息表!Q37))-1)),IF(ISNUMBER(FIND("组织",上机信息表!Q37)),CONCATENATE(MID(上机信息表!Q37,SEARCH("提取",上机信息表!Q37),SEARCH(",",上机信息表!Q37,SEARCH("组织",上机信息表!Q37))-1)),CONCATENATE(MID(上机信息表!Q37,SEARCH("提取",上机信息表!Q37),SEARCH(",",上机信息表!Q37)-1)))),"")),"")</f>
        <v/>
      </c>
      <c r="AA37" t="str">
        <f t="shared" si="5"/>
        <v/>
      </c>
      <c r="AB37" t="str">
        <f>IFERROR(IF(AA37="RNA建库试剂盒",MID(上机信息表!Q37,SEARCH("建库",上机信息表!Q37),20),IF(AA37="DNA建库试剂盒",MID(上机信息表!Q37,SEARCH("建库",上机信息表!Q37),20),"")),"")</f>
        <v/>
      </c>
      <c r="AC37" t="str">
        <f>IF(C37=0,"",CONCATENATE("芯片批号：",'IDseq-上机流程监控表'!$G$5,",","上机试剂批号：",'IDseq-上机流程监控表'!$G$6,",","Buffer批号：",'IDseq-上机流程监控表'!$G$7))</f>
        <v/>
      </c>
    </row>
    <row r="38" spans="1:29">
      <c r="A38" s="18" t="str">
        <f>IF(C38=0,"","YF23"&amp;TEXT(MID(pooling详情!$A$1,14,(FIND("期",pooling详情!$A$1)-FIND("第",pooling详情!$A$1)-1)),"0000"))</f>
        <v/>
      </c>
      <c r="B38" s="18">
        <f>上机信息表!G38</f>
        <v>0</v>
      </c>
      <c r="C38" s="18">
        <f>上机信息表!C38</f>
        <v>0</v>
      </c>
      <c r="D38" s="18">
        <f>上机信息表!D38</f>
        <v>0</v>
      </c>
      <c r="E38" s="18">
        <f>上机信息表!E38</f>
        <v>0</v>
      </c>
      <c r="F38" s="18">
        <f>上机信息表!F38</f>
        <v>0</v>
      </c>
      <c r="G38" s="18">
        <f>上机信息表!H38</f>
        <v>0</v>
      </c>
      <c r="H38" s="18">
        <f>上机信息表!I38</f>
        <v>0</v>
      </c>
      <c r="I38" s="18">
        <f>IF(F38="DNA",上机信息表!I38*70,上机信息表!I38*100)</f>
        <v>0</v>
      </c>
      <c r="K38" s="33">
        <f>上机信息表!A38</f>
        <v>0</v>
      </c>
      <c r="L38" s="18">
        <f>上机信息表!J38</f>
        <v>0</v>
      </c>
      <c r="M38" s="18">
        <f>上机信息表!K38</f>
        <v>0</v>
      </c>
      <c r="N38" s="18">
        <f>上机信息表!L38</f>
        <v>0</v>
      </c>
      <c r="O38" s="18">
        <f>上机信息表!M38</f>
        <v>0</v>
      </c>
      <c r="P38" s="18">
        <f>上机信息表!N38</f>
        <v>0</v>
      </c>
      <c r="Q38" s="18">
        <f>上机信息表!O38</f>
        <v>0</v>
      </c>
      <c r="R38" s="18" t="str">
        <f>IF(C38=0,"","VMGZ22"&amp;TEXT(MID(pooling详情!$A$1,14,(FIND("期",pooling详情!$A$1)-FIND("第",pooling详情!$A$1)-1)),"0000"))</f>
        <v/>
      </c>
      <c r="S38" s="18">
        <f>上机信息表!P38</f>
        <v>0</v>
      </c>
      <c r="T38" s="18" t="str">
        <f>IF(C38=0,"",pooling详情!$G$66)</f>
        <v/>
      </c>
      <c r="U38" s="34" t="str">
        <f>IF(C38=0,"",pooling详情!$A$80)</f>
        <v/>
      </c>
      <c r="V38" s="34" t="str">
        <f t="shared" si="3"/>
        <v/>
      </c>
      <c r="W38" s="18">
        <f>上机信息表!X38</f>
        <v>0</v>
      </c>
      <c r="X38" s="18">
        <f>上机信息表!R38</f>
        <v>0</v>
      </c>
      <c r="Y38" t="str">
        <f t="shared" si="4"/>
        <v/>
      </c>
      <c r="Z38" t="str">
        <f>IFERROR(IF(Y38="RNA提取试剂盒",CONCATENATE(MID(上机信息表!Q38,SEARCH("提取",上机信息表!Q38),SEARCH("建",上机信息表!Q38)-2)),IF(Y38="DNA提取试剂盒",IF(ISNUMBER(FIND("呼吸道",上机信息表!Q38)),CONCATENATE(MID(上机信息表!Q38,SEARCH("提取",上机信息表!Q38),SEARCH(",",上机信息表!Q38,SEARCH("呼吸道",上机信息表!Q38))-1)),IF(ISNUMBER(FIND("组织",上机信息表!Q38)),CONCATENATE(MID(上机信息表!Q38,SEARCH("提取",上机信息表!Q38),SEARCH(",",上机信息表!Q38,SEARCH("组织",上机信息表!Q38))-1)),CONCATENATE(MID(上机信息表!Q38,SEARCH("提取",上机信息表!Q38),SEARCH(",",上机信息表!Q38)-1)))),"")),"")</f>
        <v/>
      </c>
      <c r="AA38" t="str">
        <f t="shared" si="5"/>
        <v/>
      </c>
      <c r="AB38" t="str">
        <f>IFERROR(IF(AA38="RNA建库试剂盒",MID(上机信息表!Q38,SEARCH("建库",上机信息表!Q38),20),IF(AA38="DNA建库试剂盒",MID(上机信息表!Q38,SEARCH("建库",上机信息表!Q38),20),"")),"")</f>
        <v/>
      </c>
      <c r="AC38" t="str">
        <f>IF(C38=0,"",CONCATENATE("芯片批号：",'IDseq-上机流程监控表'!$G$5,",","上机试剂批号：",'IDseq-上机流程监控表'!$G$6,",","Buffer批号：",'IDseq-上机流程监控表'!$G$7))</f>
        <v/>
      </c>
    </row>
    <row r="39" spans="1:29">
      <c r="A39" s="18" t="str">
        <f>IF(C39=0,"","YF23"&amp;TEXT(MID(pooling详情!$A$1,14,(FIND("期",pooling详情!$A$1)-FIND("第",pooling详情!$A$1)-1)),"0000"))</f>
        <v/>
      </c>
      <c r="B39" s="18">
        <f>上机信息表!G39</f>
        <v>0</v>
      </c>
      <c r="C39" s="18">
        <f>上机信息表!C39</f>
        <v>0</v>
      </c>
      <c r="D39" s="18">
        <f>上机信息表!D39</f>
        <v>0</v>
      </c>
      <c r="E39" s="18">
        <f>上机信息表!E39</f>
        <v>0</v>
      </c>
      <c r="F39" s="18">
        <f>上机信息表!F39</f>
        <v>0</v>
      </c>
      <c r="G39" s="18">
        <f>上机信息表!H39</f>
        <v>0</v>
      </c>
      <c r="H39" s="18">
        <f>上机信息表!I39</f>
        <v>0</v>
      </c>
      <c r="I39" s="18">
        <f>IF(F39="DNA",上机信息表!I39*70,上机信息表!I39*100)</f>
        <v>0</v>
      </c>
      <c r="K39" s="33">
        <f>上机信息表!A39</f>
        <v>0</v>
      </c>
      <c r="L39" s="18">
        <f>上机信息表!J39</f>
        <v>0</v>
      </c>
      <c r="M39" s="18">
        <f>上机信息表!K39</f>
        <v>0</v>
      </c>
      <c r="N39" s="18">
        <f>上机信息表!L39</f>
        <v>0</v>
      </c>
      <c r="O39" s="18">
        <f>上机信息表!M39</f>
        <v>0</v>
      </c>
      <c r="P39" s="18">
        <f>上机信息表!N39</f>
        <v>0</v>
      </c>
      <c r="Q39" s="18">
        <f>上机信息表!O39</f>
        <v>0</v>
      </c>
      <c r="R39" s="18" t="str">
        <f>IF(C39=0,"","VMGZ22"&amp;TEXT(MID(pooling详情!$A$1,14,(FIND("期",pooling详情!$A$1)-FIND("第",pooling详情!$A$1)-1)),"0000"))</f>
        <v/>
      </c>
      <c r="S39" s="18">
        <f>上机信息表!P39</f>
        <v>0</v>
      </c>
      <c r="T39" s="18" t="str">
        <f>IF(C39=0,"",pooling详情!$G$66)</f>
        <v/>
      </c>
      <c r="U39" s="34" t="str">
        <f>IF(C39=0,"",pooling详情!$A$80)</f>
        <v/>
      </c>
      <c r="V39" s="34" t="str">
        <f t="shared" si="3"/>
        <v/>
      </c>
      <c r="W39" s="18">
        <f>上机信息表!X39</f>
        <v>0</v>
      </c>
      <c r="X39" s="18">
        <f>上机信息表!R39</f>
        <v>0</v>
      </c>
      <c r="Y39" t="str">
        <f t="shared" si="4"/>
        <v/>
      </c>
      <c r="Z39" t="str">
        <f>IFERROR(IF(Y39="RNA提取试剂盒",CONCATENATE(MID(上机信息表!Q39,SEARCH("提取",上机信息表!Q39),SEARCH("建",上机信息表!Q39)-2)),IF(Y39="DNA提取试剂盒",IF(ISNUMBER(FIND("呼吸道",上机信息表!Q39)),CONCATENATE(MID(上机信息表!Q39,SEARCH("提取",上机信息表!Q39),SEARCH(",",上机信息表!Q39,SEARCH("呼吸道",上机信息表!Q39))-1)),IF(ISNUMBER(FIND("组织",上机信息表!Q39)),CONCATENATE(MID(上机信息表!Q39,SEARCH("提取",上机信息表!Q39),SEARCH(",",上机信息表!Q39,SEARCH("组织",上机信息表!Q39))-1)),CONCATENATE(MID(上机信息表!Q39,SEARCH("提取",上机信息表!Q39),SEARCH(",",上机信息表!Q39)-1)))),"")),"")</f>
        <v/>
      </c>
      <c r="AA39" t="str">
        <f t="shared" si="5"/>
        <v/>
      </c>
      <c r="AB39" t="str">
        <f>IFERROR(IF(AA39="RNA建库试剂盒",MID(上机信息表!Q39,SEARCH("建库",上机信息表!Q39),20),IF(AA39="DNA建库试剂盒",MID(上机信息表!Q39,SEARCH("建库",上机信息表!Q39),20),"")),"")</f>
        <v/>
      </c>
      <c r="AC39" t="str">
        <f>IF(C39=0,"",CONCATENATE("芯片批号：",'IDseq-上机流程监控表'!$G$5,",","上机试剂批号：",'IDseq-上机流程监控表'!$G$6,",","Buffer批号：",'IDseq-上机流程监控表'!$G$7))</f>
        <v/>
      </c>
    </row>
    <row r="40" spans="1:29">
      <c r="A40" s="18" t="str">
        <f>IF(C40=0,"","YF23"&amp;TEXT(MID(pooling详情!$A$1,14,(FIND("期",pooling详情!$A$1)-FIND("第",pooling详情!$A$1)-1)),"0000"))</f>
        <v/>
      </c>
      <c r="B40" s="18">
        <f>上机信息表!G40</f>
        <v>0</v>
      </c>
      <c r="C40" s="18">
        <f>上机信息表!C40</f>
        <v>0</v>
      </c>
      <c r="D40" s="18">
        <f>上机信息表!D40</f>
        <v>0</v>
      </c>
      <c r="E40" s="18">
        <f>上机信息表!E40</f>
        <v>0</v>
      </c>
      <c r="F40" s="18">
        <f>上机信息表!F40</f>
        <v>0</v>
      </c>
      <c r="G40" s="18">
        <f>上机信息表!H40</f>
        <v>0</v>
      </c>
      <c r="H40" s="18">
        <f>上机信息表!I40</f>
        <v>0</v>
      </c>
      <c r="I40" s="18">
        <f>IF(F40="DNA",上机信息表!I40*70,上机信息表!I40*100)</f>
        <v>0</v>
      </c>
      <c r="K40" s="33">
        <f>上机信息表!A40</f>
        <v>0</v>
      </c>
      <c r="L40" s="18">
        <f>上机信息表!J40</f>
        <v>0</v>
      </c>
      <c r="M40" s="18">
        <f>上机信息表!K40</f>
        <v>0</v>
      </c>
      <c r="N40" s="18">
        <f>上机信息表!L40</f>
        <v>0</v>
      </c>
      <c r="O40" s="18">
        <f>上机信息表!M40</f>
        <v>0</v>
      </c>
      <c r="P40" s="18">
        <f>上机信息表!N40</f>
        <v>0</v>
      </c>
      <c r="Q40" s="18">
        <f>上机信息表!O40</f>
        <v>0</v>
      </c>
      <c r="R40" s="18" t="str">
        <f>IF(C40=0,"","VMGZ22"&amp;TEXT(MID(pooling详情!$A$1,14,(FIND("期",pooling详情!$A$1)-FIND("第",pooling详情!$A$1)-1)),"0000"))</f>
        <v/>
      </c>
      <c r="S40" s="18">
        <f>上机信息表!P40</f>
        <v>0</v>
      </c>
      <c r="T40" s="18" t="str">
        <f>IF(C40=0,"",pooling详情!$G$66)</f>
        <v/>
      </c>
      <c r="U40" s="34" t="str">
        <f>IF(C40=0,"",pooling详情!$A$80)</f>
        <v/>
      </c>
      <c r="V40" s="34" t="str">
        <f t="shared" si="3"/>
        <v/>
      </c>
      <c r="W40" s="18">
        <f>上机信息表!X40</f>
        <v>0</v>
      </c>
      <c r="X40" s="18">
        <f>上机信息表!R40</f>
        <v>0</v>
      </c>
      <c r="Y40" t="str">
        <f t="shared" si="4"/>
        <v/>
      </c>
      <c r="Z40" t="str">
        <f>IFERROR(IF(Y40="RNA提取试剂盒",CONCATENATE(MID(上机信息表!Q40,SEARCH("提取",上机信息表!Q40),SEARCH("建",上机信息表!Q40)-2)),IF(Y40="DNA提取试剂盒",IF(ISNUMBER(FIND("呼吸道",上机信息表!Q40)),CONCATENATE(MID(上机信息表!Q40,SEARCH("提取",上机信息表!Q40),SEARCH(",",上机信息表!Q40,SEARCH("呼吸道",上机信息表!Q40))-1)),IF(ISNUMBER(FIND("组织",上机信息表!Q40)),CONCATENATE(MID(上机信息表!Q40,SEARCH("提取",上机信息表!Q40),SEARCH(",",上机信息表!Q40,SEARCH("组织",上机信息表!Q40))-1)),CONCATENATE(MID(上机信息表!Q40,SEARCH("提取",上机信息表!Q40),SEARCH(",",上机信息表!Q40)-1)))),"")),"")</f>
        <v/>
      </c>
      <c r="AA40" t="str">
        <f t="shared" si="5"/>
        <v/>
      </c>
      <c r="AB40" t="str">
        <f>IFERROR(IF(AA40="RNA建库试剂盒",MID(上机信息表!Q40,SEARCH("建库",上机信息表!Q40),20),IF(AA40="DNA建库试剂盒",MID(上机信息表!Q40,SEARCH("建库",上机信息表!Q40),20),"")),"")</f>
        <v/>
      </c>
      <c r="AC40" t="str">
        <f>IF(C40=0,"",CONCATENATE("芯片批号：",'IDseq-上机流程监控表'!$G$5,",","上机试剂批号：",'IDseq-上机流程监控表'!$G$6,",","Buffer批号：",'IDseq-上机流程监控表'!$G$7))</f>
        <v/>
      </c>
    </row>
    <row r="41" spans="1:29">
      <c r="A41" s="18" t="str">
        <f>IF(C41=0,"","YF23"&amp;TEXT(MID(pooling详情!$A$1,14,(FIND("期",pooling详情!$A$1)-FIND("第",pooling详情!$A$1)-1)),"0000"))</f>
        <v/>
      </c>
      <c r="B41" s="18">
        <f>上机信息表!G41</f>
        <v>0</v>
      </c>
      <c r="C41" s="18">
        <f>上机信息表!C41</f>
        <v>0</v>
      </c>
      <c r="D41" s="18">
        <f>上机信息表!D41</f>
        <v>0</v>
      </c>
      <c r="E41" s="18">
        <f>上机信息表!E41</f>
        <v>0</v>
      </c>
      <c r="F41" s="18">
        <f>上机信息表!F41</f>
        <v>0</v>
      </c>
      <c r="G41" s="18">
        <f>上机信息表!H41</f>
        <v>0</v>
      </c>
      <c r="H41" s="18">
        <f>上机信息表!I41</f>
        <v>0</v>
      </c>
      <c r="I41" s="18">
        <f>IF(F41="DNA",上机信息表!I41*70,上机信息表!I41*100)</f>
        <v>0</v>
      </c>
      <c r="K41" s="33">
        <f>上机信息表!A41</f>
        <v>0</v>
      </c>
      <c r="L41" s="18">
        <f>上机信息表!J41</f>
        <v>0</v>
      </c>
      <c r="M41" s="18">
        <f>上机信息表!K41</f>
        <v>0</v>
      </c>
      <c r="N41" s="18">
        <f>上机信息表!L41</f>
        <v>0</v>
      </c>
      <c r="O41" s="18">
        <f>上机信息表!M41</f>
        <v>0</v>
      </c>
      <c r="P41" s="18">
        <f>上机信息表!N41</f>
        <v>0</v>
      </c>
      <c r="Q41" s="18">
        <f>上机信息表!O41</f>
        <v>0</v>
      </c>
      <c r="R41" s="18" t="str">
        <f>IF(C41=0,"","VMGZ22"&amp;TEXT(MID(pooling详情!$A$1,14,(FIND("期",pooling详情!$A$1)-FIND("第",pooling详情!$A$1)-1)),"0000"))</f>
        <v/>
      </c>
      <c r="S41" s="18">
        <f>上机信息表!P41</f>
        <v>0</v>
      </c>
      <c r="T41" s="18" t="str">
        <f>IF(C41=0,"",pooling详情!$G$66)</f>
        <v/>
      </c>
      <c r="U41" s="34" t="str">
        <f>IF(C41=0,"",pooling详情!$A$80)</f>
        <v/>
      </c>
      <c r="V41" s="34" t="str">
        <f t="shared" si="3"/>
        <v/>
      </c>
      <c r="W41" s="18">
        <f>上机信息表!X41</f>
        <v>0</v>
      </c>
      <c r="X41" s="18">
        <f>上机信息表!R41</f>
        <v>0</v>
      </c>
      <c r="Y41" t="str">
        <f t="shared" si="4"/>
        <v/>
      </c>
      <c r="Z41" t="str">
        <f>IFERROR(IF(Y41="RNA提取试剂盒",CONCATENATE(MID(上机信息表!Q41,SEARCH("提取",上机信息表!Q41),SEARCH("建",上机信息表!Q41)-2)),IF(Y41="DNA提取试剂盒",IF(ISNUMBER(FIND("呼吸道",上机信息表!Q41)),CONCATENATE(MID(上机信息表!Q41,SEARCH("提取",上机信息表!Q41),SEARCH(",",上机信息表!Q41,SEARCH("呼吸道",上机信息表!Q41))-1)),IF(ISNUMBER(FIND("组织",上机信息表!Q41)),CONCATENATE(MID(上机信息表!Q41,SEARCH("提取",上机信息表!Q41),SEARCH(",",上机信息表!Q41,SEARCH("组织",上机信息表!Q41))-1)),CONCATENATE(MID(上机信息表!Q41,SEARCH("提取",上机信息表!Q41),SEARCH(",",上机信息表!Q41)-1)))),"")),"")</f>
        <v/>
      </c>
      <c r="AA41" t="str">
        <f t="shared" si="5"/>
        <v/>
      </c>
      <c r="AB41" t="str">
        <f>IFERROR(IF(AA41="RNA建库试剂盒",MID(上机信息表!Q41,SEARCH("建库",上机信息表!Q41),20),IF(AA41="DNA建库试剂盒",MID(上机信息表!Q41,SEARCH("建库",上机信息表!Q41),20),"")),"")</f>
        <v/>
      </c>
      <c r="AC41" t="str">
        <f>IF(C41=0,"",CONCATENATE("芯片批号：",'IDseq-上机流程监控表'!$G$5,",","上机试剂批号：",'IDseq-上机流程监控表'!$G$6,",","Buffer批号：",'IDseq-上机流程监控表'!$G$7))</f>
        <v/>
      </c>
    </row>
    <row r="42" spans="1:29">
      <c r="A42" s="18" t="str">
        <f>IF(C42=0,"","YF23"&amp;TEXT(MID(pooling详情!$A$1,14,(FIND("期",pooling详情!$A$1)-FIND("第",pooling详情!$A$1)-1)),"0000"))</f>
        <v/>
      </c>
      <c r="B42" s="18">
        <f>上机信息表!G42</f>
        <v>0</v>
      </c>
      <c r="C42" s="18">
        <f>上机信息表!C42</f>
        <v>0</v>
      </c>
      <c r="D42" s="18">
        <f>上机信息表!D42</f>
        <v>0</v>
      </c>
      <c r="E42" s="18">
        <f>上机信息表!E42</f>
        <v>0</v>
      </c>
      <c r="F42" s="18">
        <f>上机信息表!F42</f>
        <v>0</v>
      </c>
      <c r="G42" s="18">
        <f>上机信息表!H42</f>
        <v>0</v>
      </c>
      <c r="H42" s="18">
        <f>上机信息表!I42</f>
        <v>0</v>
      </c>
      <c r="I42" s="18">
        <f>IF(F42="DNA",上机信息表!I42*70,上机信息表!I42*100)</f>
        <v>0</v>
      </c>
      <c r="K42" s="33">
        <f>上机信息表!A42</f>
        <v>0</v>
      </c>
      <c r="L42" s="18">
        <f>上机信息表!J42</f>
        <v>0</v>
      </c>
      <c r="M42" s="18">
        <f>上机信息表!K42</f>
        <v>0</v>
      </c>
      <c r="N42" s="18">
        <f>上机信息表!L42</f>
        <v>0</v>
      </c>
      <c r="O42" s="18">
        <f>上机信息表!M42</f>
        <v>0</v>
      </c>
      <c r="P42" s="18">
        <f>上机信息表!N42</f>
        <v>0</v>
      </c>
      <c r="Q42" s="18">
        <f>上机信息表!O42</f>
        <v>0</v>
      </c>
      <c r="R42" s="18" t="str">
        <f>IF(C42=0,"","VMGZ22"&amp;TEXT(MID(pooling详情!$A$1,14,(FIND("期",pooling详情!$A$1)-FIND("第",pooling详情!$A$1)-1)),"0000"))</f>
        <v/>
      </c>
      <c r="S42" s="18">
        <f>上机信息表!P42</f>
        <v>0</v>
      </c>
      <c r="T42" s="18" t="str">
        <f>IF(C42=0,"",pooling详情!$G$66)</f>
        <v/>
      </c>
      <c r="U42" s="34" t="str">
        <f>IF(C42=0,"",pooling详情!$A$80)</f>
        <v/>
      </c>
      <c r="V42" s="34" t="str">
        <f t="shared" si="3"/>
        <v/>
      </c>
      <c r="W42" s="18">
        <f>上机信息表!X42</f>
        <v>0</v>
      </c>
      <c r="X42" s="18">
        <f>上机信息表!R42</f>
        <v>0</v>
      </c>
      <c r="Y42" t="str">
        <f t="shared" si="4"/>
        <v/>
      </c>
      <c r="Z42" t="str">
        <f>IFERROR(IF(Y42="RNA提取试剂盒",CONCATENATE(MID(上机信息表!Q42,SEARCH("提取",上机信息表!Q42),SEARCH("建",上机信息表!Q42)-2)),IF(Y42="DNA提取试剂盒",IF(ISNUMBER(FIND("呼吸道",上机信息表!Q42)),CONCATENATE(MID(上机信息表!Q42,SEARCH("提取",上机信息表!Q42),SEARCH(",",上机信息表!Q42,SEARCH("呼吸道",上机信息表!Q42))-1)),IF(ISNUMBER(FIND("组织",上机信息表!Q42)),CONCATENATE(MID(上机信息表!Q42,SEARCH("提取",上机信息表!Q42),SEARCH(",",上机信息表!Q42,SEARCH("组织",上机信息表!Q42))-1)),CONCATENATE(MID(上机信息表!Q42,SEARCH("提取",上机信息表!Q42),SEARCH(",",上机信息表!Q42)-1)))),"")),"")</f>
        <v/>
      </c>
      <c r="AA42" t="str">
        <f t="shared" si="5"/>
        <v/>
      </c>
      <c r="AB42" t="str">
        <f>IFERROR(IF(AA42="RNA建库试剂盒",MID(上机信息表!Q42,SEARCH("建库",上机信息表!Q42),20),IF(AA42="DNA建库试剂盒",MID(上机信息表!Q42,SEARCH("建库",上机信息表!Q42),20),"")),"")</f>
        <v/>
      </c>
      <c r="AC42" t="str">
        <f>IF(C42=0,"",CONCATENATE("芯片批号：",'IDseq-上机流程监控表'!$G$5,",","上机试剂批号：",'IDseq-上机流程监控表'!$G$6,",","Buffer批号：",'IDseq-上机流程监控表'!$G$7))</f>
        <v/>
      </c>
    </row>
    <row r="43" spans="1:29">
      <c r="A43" s="18" t="str">
        <f>IF(C43=0,"","YF23"&amp;TEXT(MID(pooling详情!$A$1,14,(FIND("期",pooling详情!$A$1)-FIND("第",pooling详情!$A$1)-1)),"0000"))</f>
        <v/>
      </c>
      <c r="B43" s="18">
        <f>上机信息表!G43</f>
        <v>0</v>
      </c>
      <c r="C43" s="18">
        <f>上机信息表!C43</f>
        <v>0</v>
      </c>
      <c r="D43" s="18">
        <f>上机信息表!D43</f>
        <v>0</v>
      </c>
      <c r="E43" s="18">
        <f>上机信息表!E43</f>
        <v>0</v>
      </c>
      <c r="F43" s="18">
        <f>上机信息表!F43</f>
        <v>0</v>
      </c>
      <c r="G43" s="18">
        <f>上机信息表!H43</f>
        <v>0</v>
      </c>
      <c r="H43" s="18">
        <f>上机信息表!I43</f>
        <v>0</v>
      </c>
      <c r="I43" s="18">
        <f>IF(F43="DNA",上机信息表!I43*70,上机信息表!I43*100)</f>
        <v>0</v>
      </c>
      <c r="K43" s="33">
        <f>上机信息表!A43</f>
        <v>0</v>
      </c>
      <c r="L43" s="18">
        <f>上机信息表!J43</f>
        <v>0</v>
      </c>
      <c r="M43" s="18">
        <f>上机信息表!K43</f>
        <v>0</v>
      </c>
      <c r="N43" s="18">
        <f>上机信息表!L43</f>
        <v>0</v>
      </c>
      <c r="O43" s="18">
        <f>上机信息表!M43</f>
        <v>0</v>
      </c>
      <c r="P43" s="18">
        <f>上机信息表!N43</f>
        <v>0</v>
      </c>
      <c r="Q43" s="18">
        <f>上机信息表!O43</f>
        <v>0</v>
      </c>
      <c r="R43" s="18" t="str">
        <f>IF(C43=0,"","VMGZ22"&amp;TEXT(MID(pooling详情!$A$1,14,(FIND("期",pooling详情!$A$1)-FIND("第",pooling详情!$A$1)-1)),"0000"))</f>
        <v/>
      </c>
      <c r="S43" s="18">
        <f>上机信息表!P43</f>
        <v>0</v>
      </c>
      <c r="T43" s="18" t="str">
        <f>IF(C43=0,"",pooling详情!$G$66)</f>
        <v/>
      </c>
      <c r="U43" s="34" t="str">
        <f>IF(C43=0,"",pooling详情!$A$80)</f>
        <v/>
      </c>
      <c r="V43" s="34" t="str">
        <f t="shared" si="3"/>
        <v/>
      </c>
      <c r="W43" s="18">
        <f>上机信息表!X43</f>
        <v>0</v>
      </c>
      <c r="X43" s="18">
        <f>上机信息表!R43</f>
        <v>0</v>
      </c>
      <c r="Y43" t="str">
        <f t="shared" si="4"/>
        <v/>
      </c>
      <c r="Z43" t="str">
        <f>IFERROR(IF(Y43="RNA提取试剂盒",CONCATENATE(MID(上机信息表!Q43,SEARCH("提取",上机信息表!Q43),SEARCH("建",上机信息表!Q43)-2)),IF(Y43="DNA提取试剂盒",IF(ISNUMBER(FIND("呼吸道",上机信息表!Q43)),CONCATENATE(MID(上机信息表!Q43,SEARCH("提取",上机信息表!Q43),SEARCH(",",上机信息表!Q43,SEARCH("呼吸道",上机信息表!Q43))-1)),IF(ISNUMBER(FIND("组织",上机信息表!Q43)),CONCATENATE(MID(上机信息表!Q43,SEARCH("提取",上机信息表!Q43),SEARCH(",",上机信息表!Q43,SEARCH("组织",上机信息表!Q43))-1)),CONCATENATE(MID(上机信息表!Q43,SEARCH("提取",上机信息表!Q43),SEARCH(",",上机信息表!Q43)-1)))),"")),"")</f>
        <v/>
      </c>
      <c r="AA43" t="str">
        <f t="shared" si="5"/>
        <v/>
      </c>
      <c r="AB43" t="str">
        <f>IFERROR(IF(AA43="RNA建库试剂盒",MID(上机信息表!Q43,SEARCH("建库",上机信息表!Q43),20),IF(AA43="DNA建库试剂盒",MID(上机信息表!Q43,SEARCH("建库",上机信息表!Q43),20),"")),"")</f>
        <v/>
      </c>
      <c r="AC43" t="str">
        <f>IF(C43=0,"",CONCATENATE("芯片批号：",'IDseq-上机流程监控表'!$G$5,",","上机试剂批号：",'IDseq-上机流程监控表'!$G$6,",","Buffer批号：",'IDseq-上机流程监控表'!$G$7))</f>
        <v/>
      </c>
    </row>
    <row r="44" spans="1:29">
      <c r="A44" s="18" t="str">
        <f>IF(C44=0,"","YF23"&amp;TEXT(MID(pooling详情!$A$1,14,(FIND("期",pooling详情!$A$1)-FIND("第",pooling详情!$A$1)-1)),"0000"))</f>
        <v/>
      </c>
      <c r="B44" s="18">
        <f>上机信息表!G44</f>
        <v>0</v>
      </c>
      <c r="C44" s="18">
        <f>上机信息表!C44</f>
        <v>0</v>
      </c>
      <c r="D44" s="18">
        <f>上机信息表!D44</f>
        <v>0</v>
      </c>
      <c r="E44" s="18">
        <f>上机信息表!E44</f>
        <v>0</v>
      </c>
      <c r="F44" s="18">
        <f>上机信息表!F44</f>
        <v>0</v>
      </c>
      <c r="G44" s="18">
        <f>上机信息表!H44</f>
        <v>0</v>
      </c>
      <c r="H44" s="18">
        <f>上机信息表!I44</f>
        <v>0</v>
      </c>
      <c r="I44" s="18">
        <f>IF(F44="DNA",上机信息表!I44*70,上机信息表!I44*100)</f>
        <v>0</v>
      </c>
      <c r="K44" s="33">
        <f>上机信息表!A44</f>
        <v>0</v>
      </c>
      <c r="L44" s="18">
        <f>上机信息表!J44</f>
        <v>0</v>
      </c>
      <c r="M44" s="18">
        <f>上机信息表!K44</f>
        <v>0</v>
      </c>
      <c r="N44" s="18">
        <f>上机信息表!L44</f>
        <v>0</v>
      </c>
      <c r="O44" s="18">
        <f>上机信息表!M44</f>
        <v>0</v>
      </c>
      <c r="P44" s="18">
        <f>上机信息表!N44</f>
        <v>0</v>
      </c>
      <c r="Q44" s="18">
        <f>上机信息表!O44</f>
        <v>0</v>
      </c>
      <c r="R44" s="18" t="str">
        <f>IF(C44=0,"","VMGZ22"&amp;TEXT(MID(pooling详情!$A$1,14,(FIND("期",pooling详情!$A$1)-FIND("第",pooling详情!$A$1)-1)),"0000"))</f>
        <v/>
      </c>
      <c r="S44" s="18">
        <f>上机信息表!P44</f>
        <v>0</v>
      </c>
      <c r="T44" s="18" t="str">
        <f>IF(C44=0,"",pooling详情!$G$66)</f>
        <v/>
      </c>
      <c r="U44" s="34" t="str">
        <f>IF(C44=0,"",pooling详情!$A$80)</f>
        <v/>
      </c>
      <c r="V44" s="34" t="str">
        <f t="shared" si="3"/>
        <v/>
      </c>
      <c r="W44" s="18">
        <f>上机信息表!X44</f>
        <v>0</v>
      </c>
      <c r="X44" s="18">
        <f>上机信息表!R44</f>
        <v>0</v>
      </c>
      <c r="Y44" t="str">
        <f t="shared" si="4"/>
        <v/>
      </c>
      <c r="Z44" t="str">
        <f>IFERROR(IF(Y44="RNA提取试剂盒",CONCATENATE(MID(上机信息表!Q44,SEARCH("提取",上机信息表!Q44),SEARCH("建",上机信息表!Q44)-2)),IF(Y44="DNA提取试剂盒",IF(ISNUMBER(FIND("呼吸道",上机信息表!Q44)),CONCATENATE(MID(上机信息表!Q44,SEARCH("提取",上机信息表!Q44),SEARCH(",",上机信息表!Q44,SEARCH("呼吸道",上机信息表!Q44))-1)),IF(ISNUMBER(FIND("组织",上机信息表!Q44)),CONCATENATE(MID(上机信息表!Q44,SEARCH("提取",上机信息表!Q44),SEARCH(",",上机信息表!Q44,SEARCH("组织",上机信息表!Q44))-1)),CONCATENATE(MID(上机信息表!Q44,SEARCH("提取",上机信息表!Q44),SEARCH(",",上机信息表!Q44)-1)))),"")),"")</f>
        <v/>
      </c>
      <c r="AA44" t="str">
        <f t="shared" si="5"/>
        <v/>
      </c>
      <c r="AB44" t="str">
        <f>IFERROR(IF(AA44="RNA建库试剂盒",MID(上机信息表!Q44,SEARCH("建库",上机信息表!Q44),20),IF(AA44="DNA建库试剂盒",MID(上机信息表!Q44,SEARCH("建库",上机信息表!Q44),20),"")),"")</f>
        <v/>
      </c>
      <c r="AC44" t="str">
        <f>IF(C44=0,"",CONCATENATE("芯片批号：",'IDseq-上机流程监控表'!$G$5,",","上机试剂批号：",'IDseq-上机流程监控表'!$G$6,",","Buffer批号：",'IDseq-上机流程监控表'!$G$7))</f>
        <v/>
      </c>
    </row>
    <row r="45" spans="1:29">
      <c r="A45" s="18" t="str">
        <f>IF(C45=0,"","YF23"&amp;TEXT(MID(pooling详情!$A$1,14,(FIND("期",pooling详情!$A$1)-FIND("第",pooling详情!$A$1)-1)),"0000"))</f>
        <v/>
      </c>
      <c r="B45" s="18">
        <f>上机信息表!G45</f>
        <v>0</v>
      </c>
      <c r="C45" s="18">
        <f>上机信息表!C45</f>
        <v>0</v>
      </c>
      <c r="D45" s="18">
        <f>上机信息表!D45</f>
        <v>0</v>
      </c>
      <c r="E45" s="18">
        <f>上机信息表!E45</f>
        <v>0</v>
      </c>
      <c r="F45" s="18">
        <f>上机信息表!F45</f>
        <v>0</v>
      </c>
      <c r="G45" s="18">
        <f>上机信息表!H45</f>
        <v>0</v>
      </c>
      <c r="H45" s="18">
        <f>上机信息表!I45</f>
        <v>0</v>
      </c>
      <c r="I45" s="18">
        <f>IF(F45="DNA",上机信息表!I45*70,上机信息表!I45*100)</f>
        <v>0</v>
      </c>
      <c r="K45" s="33">
        <f>上机信息表!A45</f>
        <v>0</v>
      </c>
      <c r="L45" s="18">
        <f>上机信息表!J45</f>
        <v>0</v>
      </c>
      <c r="M45" s="18">
        <f>上机信息表!K45</f>
        <v>0</v>
      </c>
      <c r="N45" s="18">
        <f>上机信息表!L45</f>
        <v>0</v>
      </c>
      <c r="O45" s="18">
        <f>上机信息表!M45</f>
        <v>0</v>
      </c>
      <c r="P45" s="18">
        <f>上机信息表!N45</f>
        <v>0</v>
      </c>
      <c r="Q45" s="18">
        <f>上机信息表!O45</f>
        <v>0</v>
      </c>
      <c r="R45" s="18" t="str">
        <f>IF(C45=0,"","VMGZ22"&amp;TEXT(MID(pooling详情!$A$1,14,(FIND("期",pooling详情!$A$1)-FIND("第",pooling详情!$A$1)-1)),"0000"))</f>
        <v/>
      </c>
      <c r="S45" s="18">
        <f>上机信息表!P45</f>
        <v>0</v>
      </c>
      <c r="T45" s="18" t="str">
        <f>IF(C45=0,"",pooling详情!$G$66)</f>
        <v/>
      </c>
      <c r="U45" s="34" t="str">
        <f>IF(C45=0,"",pooling详情!$A$80)</f>
        <v/>
      </c>
      <c r="V45" s="34" t="str">
        <f t="shared" si="3"/>
        <v/>
      </c>
      <c r="W45" s="18">
        <f>上机信息表!X45</f>
        <v>0</v>
      </c>
      <c r="X45" s="18">
        <f>上机信息表!R45</f>
        <v>0</v>
      </c>
      <c r="Y45" t="str">
        <f t="shared" si="4"/>
        <v/>
      </c>
      <c r="Z45" t="str">
        <f>IFERROR(IF(Y45="RNA提取试剂盒",CONCATENATE(MID(上机信息表!Q45,SEARCH("提取",上机信息表!Q45),SEARCH("建",上机信息表!Q45)-2)),IF(Y45="DNA提取试剂盒",IF(ISNUMBER(FIND("呼吸道",上机信息表!Q45)),CONCATENATE(MID(上机信息表!Q45,SEARCH("提取",上机信息表!Q45),SEARCH(",",上机信息表!Q45,SEARCH("呼吸道",上机信息表!Q45))-1)),IF(ISNUMBER(FIND("组织",上机信息表!Q45)),CONCATENATE(MID(上机信息表!Q45,SEARCH("提取",上机信息表!Q45),SEARCH(",",上机信息表!Q45,SEARCH("组织",上机信息表!Q45))-1)),CONCATENATE(MID(上机信息表!Q45,SEARCH("提取",上机信息表!Q45),SEARCH(",",上机信息表!Q45)-1)))),"")),"")</f>
        <v/>
      </c>
      <c r="AA45" t="str">
        <f t="shared" si="5"/>
        <v/>
      </c>
      <c r="AB45" t="str">
        <f>IFERROR(IF(AA45="RNA建库试剂盒",MID(上机信息表!Q45,SEARCH("建库",上机信息表!Q45),20),IF(AA45="DNA建库试剂盒",MID(上机信息表!Q45,SEARCH("建库",上机信息表!Q45),20),"")),"")</f>
        <v/>
      </c>
      <c r="AC45" t="str">
        <f>IF(C45=0,"",CONCATENATE("芯片批号：",'IDseq-上机流程监控表'!$G$5,",","上机试剂批号：",'IDseq-上机流程监控表'!$G$6,",","Buffer批号：",'IDseq-上机流程监控表'!$G$7))</f>
        <v/>
      </c>
    </row>
    <row r="46" spans="1:29">
      <c r="A46" s="18" t="str">
        <f>IF(C46=0,"","YF23"&amp;TEXT(MID(pooling详情!$A$1,14,(FIND("期",pooling详情!$A$1)-FIND("第",pooling详情!$A$1)-1)),"0000"))</f>
        <v/>
      </c>
      <c r="B46" s="18">
        <f>上机信息表!G46</f>
        <v>0</v>
      </c>
      <c r="C46" s="18">
        <f>上机信息表!C46</f>
        <v>0</v>
      </c>
      <c r="D46" s="18">
        <f>上机信息表!D46</f>
        <v>0</v>
      </c>
      <c r="E46" s="18">
        <f>上机信息表!E46</f>
        <v>0</v>
      </c>
      <c r="F46" s="18">
        <f>上机信息表!F46</f>
        <v>0</v>
      </c>
      <c r="G46" s="18">
        <f>上机信息表!H46</f>
        <v>0</v>
      </c>
      <c r="H46" s="18">
        <f>上机信息表!I46</f>
        <v>0</v>
      </c>
      <c r="I46" s="18">
        <f>IF(F46="DNA",上机信息表!I46*70,上机信息表!I46*100)</f>
        <v>0</v>
      </c>
      <c r="K46" s="33">
        <f>上机信息表!A46</f>
        <v>0</v>
      </c>
      <c r="L46" s="18">
        <f>上机信息表!J46</f>
        <v>0</v>
      </c>
      <c r="M46" s="18">
        <f>上机信息表!K46</f>
        <v>0</v>
      </c>
      <c r="N46" s="18">
        <f>上机信息表!L46</f>
        <v>0</v>
      </c>
      <c r="O46" s="18">
        <f>上机信息表!M46</f>
        <v>0</v>
      </c>
      <c r="P46" s="18">
        <f>上机信息表!N46</f>
        <v>0</v>
      </c>
      <c r="Q46" s="18">
        <f>上机信息表!O46</f>
        <v>0</v>
      </c>
      <c r="R46" s="18" t="str">
        <f>IF(C46=0,"","VMGZ22"&amp;TEXT(MID(pooling详情!$A$1,14,(FIND("期",pooling详情!$A$1)-FIND("第",pooling详情!$A$1)-1)),"0000"))</f>
        <v/>
      </c>
      <c r="S46" s="18">
        <f>上机信息表!P46</f>
        <v>0</v>
      </c>
      <c r="T46" s="18" t="str">
        <f>IF(C46=0,"",pooling详情!$G$66)</f>
        <v/>
      </c>
      <c r="U46" s="34" t="str">
        <f>IF(C46=0,"",pooling详情!$A$80)</f>
        <v/>
      </c>
      <c r="V46" s="34" t="str">
        <f t="shared" si="3"/>
        <v/>
      </c>
      <c r="W46" s="18">
        <f>上机信息表!X46</f>
        <v>0</v>
      </c>
      <c r="X46" s="18">
        <f>上机信息表!R46</f>
        <v>0</v>
      </c>
      <c r="Y46" t="str">
        <f t="shared" si="4"/>
        <v/>
      </c>
      <c r="Z46" t="str">
        <f>IFERROR(IF(Y46="RNA提取试剂盒",CONCATENATE(MID(上机信息表!Q46,SEARCH("提取",上机信息表!Q46),SEARCH("建",上机信息表!Q46)-2)),IF(Y46="DNA提取试剂盒",IF(ISNUMBER(FIND("呼吸道",上机信息表!Q46)),CONCATENATE(MID(上机信息表!Q46,SEARCH("提取",上机信息表!Q46),SEARCH(",",上机信息表!Q46,SEARCH("呼吸道",上机信息表!Q46))-1)),IF(ISNUMBER(FIND("组织",上机信息表!Q46)),CONCATENATE(MID(上机信息表!Q46,SEARCH("提取",上机信息表!Q46),SEARCH(",",上机信息表!Q46,SEARCH("组织",上机信息表!Q46))-1)),CONCATENATE(MID(上机信息表!Q46,SEARCH("提取",上机信息表!Q46),SEARCH(",",上机信息表!Q46)-1)))),"")),"")</f>
        <v/>
      </c>
      <c r="AA46" t="str">
        <f t="shared" si="5"/>
        <v/>
      </c>
      <c r="AB46" t="str">
        <f>IFERROR(IF(AA46="RNA建库试剂盒",MID(上机信息表!Q46,SEARCH("建库",上机信息表!Q46),20),IF(AA46="DNA建库试剂盒",MID(上机信息表!Q46,SEARCH("建库",上机信息表!Q46),20),"")),"")</f>
        <v/>
      </c>
      <c r="AC46" t="str">
        <f>IF(C46=0,"",CONCATENATE("芯片批号：",'IDseq-上机流程监控表'!$G$5,",","上机试剂批号：",'IDseq-上机流程监控表'!$G$6,",","Buffer批号：",'IDseq-上机流程监控表'!$G$7))</f>
        <v/>
      </c>
    </row>
    <row r="47" spans="1:29">
      <c r="A47" s="18" t="str">
        <f>IF(C47=0,"","YF23"&amp;TEXT(MID(pooling详情!$A$1,14,(FIND("期",pooling详情!$A$1)-FIND("第",pooling详情!$A$1)-1)),"0000"))</f>
        <v/>
      </c>
      <c r="B47" s="18">
        <f>上机信息表!G47</f>
        <v>0</v>
      </c>
      <c r="C47" s="18">
        <f>上机信息表!C47</f>
        <v>0</v>
      </c>
      <c r="D47" s="18">
        <f>上机信息表!D47</f>
        <v>0</v>
      </c>
      <c r="E47" s="18">
        <f>上机信息表!E47</f>
        <v>0</v>
      </c>
      <c r="F47" s="18">
        <f>上机信息表!F47</f>
        <v>0</v>
      </c>
      <c r="G47" s="18">
        <f>上机信息表!H47</f>
        <v>0</v>
      </c>
      <c r="H47" s="18">
        <f>上机信息表!I47</f>
        <v>0</v>
      </c>
      <c r="I47" s="18">
        <f>IF(F47="DNA",上机信息表!I47*70,上机信息表!I47*100)</f>
        <v>0</v>
      </c>
      <c r="K47" s="33">
        <f>上机信息表!A47</f>
        <v>0</v>
      </c>
      <c r="L47" s="18">
        <f>上机信息表!J47</f>
        <v>0</v>
      </c>
      <c r="M47" s="18">
        <f>上机信息表!K47</f>
        <v>0</v>
      </c>
      <c r="N47" s="18">
        <f>上机信息表!L47</f>
        <v>0</v>
      </c>
      <c r="O47" s="18">
        <f>上机信息表!M47</f>
        <v>0</v>
      </c>
      <c r="P47" s="18">
        <f>上机信息表!N47</f>
        <v>0</v>
      </c>
      <c r="Q47" s="18">
        <f>上机信息表!O47</f>
        <v>0</v>
      </c>
      <c r="R47" s="18" t="str">
        <f>IF(C47=0,"","VMGZ22"&amp;TEXT(MID(pooling详情!$A$1,14,(FIND("期",pooling详情!$A$1)-FIND("第",pooling详情!$A$1)-1)),"0000"))</f>
        <v/>
      </c>
      <c r="S47" s="18">
        <f>上机信息表!P47</f>
        <v>0</v>
      </c>
      <c r="T47" s="18" t="str">
        <f>IF(C47=0,"",pooling详情!$G$66)</f>
        <v/>
      </c>
      <c r="U47" s="34" t="str">
        <f>IF(C47=0,"",pooling详情!$A$80)</f>
        <v/>
      </c>
      <c r="V47" s="34" t="str">
        <f t="shared" si="3"/>
        <v/>
      </c>
      <c r="W47" s="18">
        <f>上机信息表!X47</f>
        <v>0</v>
      </c>
      <c r="X47" s="18">
        <f>上机信息表!R47</f>
        <v>0</v>
      </c>
      <c r="Y47" t="str">
        <f t="shared" si="4"/>
        <v/>
      </c>
      <c r="Z47" t="str">
        <f>IFERROR(IF(Y47="RNA提取试剂盒",CONCATENATE(MID(上机信息表!Q47,SEARCH("提取",上机信息表!Q47),SEARCH("建",上机信息表!Q47)-2)),IF(Y47="DNA提取试剂盒",IF(ISNUMBER(FIND("呼吸道",上机信息表!Q47)),CONCATENATE(MID(上机信息表!Q47,SEARCH("提取",上机信息表!Q47),SEARCH(",",上机信息表!Q47,SEARCH("呼吸道",上机信息表!Q47))-1)),IF(ISNUMBER(FIND("组织",上机信息表!Q47)),CONCATENATE(MID(上机信息表!Q47,SEARCH("提取",上机信息表!Q47),SEARCH(",",上机信息表!Q47,SEARCH("组织",上机信息表!Q47))-1)),CONCATENATE(MID(上机信息表!Q47,SEARCH("提取",上机信息表!Q47),SEARCH(",",上机信息表!Q47)-1)))),"")),"")</f>
        <v/>
      </c>
      <c r="AA47" t="str">
        <f t="shared" si="5"/>
        <v/>
      </c>
      <c r="AB47" t="str">
        <f>IFERROR(IF(AA47="RNA建库试剂盒",MID(上机信息表!Q47,SEARCH("建库",上机信息表!Q47),20),IF(AA47="DNA建库试剂盒",MID(上机信息表!Q47,SEARCH("建库",上机信息表!Q47),20),"")),"")</f>
        <v/>
      </c>
      <c r="AC47" t="str">
        <f>IF(C47=0,"",CONCATENATE("芯片批号：",'IDseq-上机流程监控表'!$G$5,",","上机试剂批号：",'IDseq-上机流程监控表'!$G$6,",","Buffer批号：",'IDseq-上机流程监控表'!$G$7))</f>
        <v/>
      </c>
    </row>
    <row r="48" spans="1:29">
      <c r="A48" s="18" t="str">
        <f>IF(C48=0,"","YF23"&amp;TEXT(MID(pooling详情!$A$1,14,(FIND("期",pooling详情!$A$1)-FIND("第",pooling详情!$A$1)-1)),"0000"))</f>
        <v/>
      </c>
      <c r="B48" s="18">
        <f>上机信息表!G48</f>
        <v>0</v>
      </c>
      <c r="C48" s="18">
        <f>上机信息表!C48</f>
        <v>0</v>
      </c>
      <c r="D48" s="18">
        <f>上机信息表!D48</f>
        <v>0</v>
      </c>
      <c r="E48" s="18">
        <f>上机信息表!E48</f>
        <v>0</v>
      </c>
      <c r="F48" s="18">
        <f>上机信息表!F48</f>
        <v>0</v>
      </c>
      <c r="G48" s="18">
        <f>上机信息表!H48</f>
        <v>0</v>
      </c>
      <c r="H48" s="18">
        <f>上机信息表!I48</f>
        <v>0</v>
      </c>
      <c r="I48" s="18">
        <f>IF(F48="DNA",上机信息表!I48*70,上机信息表!I48*100)</f>
        <v>0</v>
      </c>
      <c r="K48" s="33">
        <f>上机信息表!A48</f>
        <v>0</v>
      </c>
      <c r="L48" s="18">
        <f>上机信息表!J48</f>
        <v>0</v>
      </c>
      <c r="M48" s="18">
        <f>上机信息表!K48</f>
        <v>0</v>
      </c>
      <c r="N48" s="18">
        <f>上机信息表!L48</f>
        <v>0</v>
      </c>
      <c r="O48" s="18">
        <f>上机信息表!M48</f>
        <v>0</v>
      </c>
      <c r="P48" s="18">
        <f>上机信息表!N48</f>
        <v>0</v>
      </c>
      <c r="Q48" s="18">
        <f>上机信息表!O48</f>
        <v>0</v>
      </c>
      <c r="R48" s="18" t="str">
        <f>IF(C48=0,"","VMGZ22"&amp;TEXT(MID(pooling详情!$A$1,14,(FIND("期",pooling详情!$A$1)-FIND("第",pooling详情!$A$1)-1)),"0000"))</f>
        <v/>
      </c>
      <c r="S48" s="18">
        <f>上机信息表!P48</f>
        <v>0</v>
      </c>
      <c r="T48" s="18" t="str">
        <f>IF(C48=0,"",pooling详情!$G$66)</f>
        <v/>
      </c>
      <c r="U48" s="34" t="str">
        <f>IF(C48=0,"",pooling详情!$A$80)</f>
        <v/>
      </c>
      <c r="V48" s="34" t="str">
        <f t="shared" si="3"/>
        <v/>
      </c>
      <c r="W48" s="18">
        <f>上机信息表!X48</f>
        <v>0</v>
      </c>
      <c r="X48" s="18">
        <f>上机信息表!R48</f>
        <v>0</v>
      </c>
      <c r="Y48" t="str">
        <f t="shared" si="4"/>
        <v/>
      </c>
      <c r="Z48" t="str">
        <f>IFERROR(IF(Y48="RNA提取试剂盒",CONCATENATE(MID(上机信息表!Q48,SEARCH("提取",上机信息表!Q48),SEARCH("建",上机信息表!Q48)-2)),IF(Y48="DNA提取试剂盒",IF(ISNUMBER(FIND("呼吸道",上机信息表!Q48)),CONCATENATE(MID(上机信息表!Q48,SEARCH("提取",上机信息表!Q48),SEARCH(",",上机信息表!Q48,SEARCH("呼吸道",上机信息表!Q48))-1)),IF(ISNUMBER(FIND("组织",上机信息表!Q48)),CONCATENATE(MID(上机信息表!Q48,SEARCH("提取",上机信息表!Q48),SEARCH(",",上机信息表!Q48,SEARCH("组织",上机信息表!Q48))-1)),CONCATENATE(MID(上机信息表!Q48,SEARCH("提取",上机信息表!Q48),SEARCH(",",上机信息表!Q48)-1)))),"")),"")</f>
        <v/>
      </c>
      <c r="AA48" t="str">
        <f t="shared" si="5"/>
        <v/>
      </c>
      <c r="AB48" t="str">
        <f>IFERROR(IF(AA48="RNA建库试剂盒",MID(上机信息表!Q48,SEARCH("建库",上机信息表!Q48),20),IF(AA48="DNA建库试剂盒",MID(上机信息表!Q48,SEARCH("建库",上机信息表!Q48),20),"")),"")</f>
        <v/>
      </c>
      <c r="AC48" t="str">
        <f>IF(C48=0,"",CONCATENATE("芯片批号：",'IDseq-上机流程监控表'!$G$5,",","上机试剂批号：",'IDseq-上机流程监控表'!$G$6,",","Buffer批号：",'IDseq-上机流程监控表'!$G$7))</f>
        <v/>
      </c>
    </row>
    <row r="49" spans="1:29">
      <c r="A49" s="18" t="str">
        <f>IF(C49=0,"","YF23"&amp;TEXT(MID(pooling详情!$A$1,14,(FIND("期",pooling详情!$A$1)-FIND("第",pooling详情!$A$1)-1)),"0000"))</f>
        <v/>
      </c>
      <c r="B49" s="18">
        <f>上机信息表!G49</f>
        <v>0</v>
      </c>
      <c r="C49" s="18">
        <f>上机信息表!C49</f>
        <v>0</v>
      </c>
      <c r="D49" s="18">
        <f>上机信息表!D49</f>
        <v>0</v>
      </c>
      <c r="E49" s="18">
        <f>上机信息表!E49</f>
        <v>0</v>
      </c>
      <c r="F49" s="18">
        <f>上机信息表!F49</f>
        <v>0</v>
      </c>
      <c r="G49" s="18">
        <f>上机信息表!H49</f>
        <v>0</v>
      </c>
      <c r="H49" s="18">
        <f>上机信息表!I49</f>
        <v>0</v>
      </c>
      <c r="I49" s="18">
        <f>IF(F49="DNA",上机信息表!I49*70,上机信息表!I49*100)</f>
        <v>0</v>
      </c>
      <c r="K49" s="33">
        <f>上机信息表!A49</f>
        <v>0</v>
      </c>
      <c r="L49" s="18">
        <f>上机信息表!J49</f>
        <v>0</v>
      </c>
      <c r="M49" s="18">
        <f>上机信息表!K49</f>
        <v>0</v>
      </c>
      <c r="N49" s="18">
        <f>上机信息表!L49</f>
        <v>0</v>
      </c>
      <c r="O49" s="18">
        <f>上机信息表!M49</f>
        <v>0</v>
      </c>
      <c r="P49" s="18">
        <f>上机信息表!N49</f>
        <v>0</v>
      </c>
      <c r="Q49" s="18">
        <f>上机信息表!O49</f>
        <v>0</v>
      </c>
      <c r="R49" s="18" t="str">
        <f>IF(C49=0,"","VMGZ22"&amp;TEXT(MID(pooling详情!$A$1,14,(FIND("期",pooling详情!$A$1)-FIND("第",pooling详情!$A$1)-1)),"0000"))</f>
        <v/>
      </c>
      <c r="S49" s="18">
        <f>上机信息表!P49</f>
        <v>0</v>
      </c>
      <c r="T49" s="18" t="str">
        <f>IF(C49=0,"",pooling详情!$G$66)</f>
        <v/>
      </c>
      <c r="U49" s="34" t="str">
        <f>IF(C49=0,"",pooling详情!$A$80)</f>
        <v/>
      </c>
      <c r="V49" s="34" t="str">
        <f t="shared" si="3"/>
        <v/>
      </c>
      <c r="W49" s="18">
        <f>上机信息表!X49</f>
        <v>0</v>
      </c>
      <c r="X49" s="18">
        <f>上机信息表!R49</f>
        <v>0</v>
      </c>
      <c r="Y49" t="str">
        <f t="shared" si="4"/>
        <v/>
      </c>
      <c r="Z49" t="str">
        <f>IFERROR(IF(Y49="RNA提取试剂盒",CONCATENATE(MID(上机信息表!Q49,SEARCH("提取",上机信息表!Q49),SEARCH("建",上机信息表!Q49)-2)),IF(Y49="DNA提取试剂盒",IF(ISNUMBER(FIND("呼吸道",上机信息表!Q49)),CONCATENATE(MID(上机信息表!Q49,SEARCH("提取",上机信息表!Q49),SEARCH(",",上机信息表!Q49,SEARCH("呼吸道",上机信息表!Q49))-1)),IF(ISNUMBER(FIND("组织",上机信息表!Q49)),CONCATENATE(MID(上机信息表!Q49,SEARCH("提取",上机信息表!Q49),SEARCH(",",上机信息表!Q49,SEARCH("组织",上机信息表!Q49))-1)),CONCATENATE(MID(上机信息表!Q49,SEARCH("提取",上机信息表!Q49),SEARCH(",",上机信息表!Q49)-1)))),"")),"")</f>
        <v/>
      </c>
      <c r="AA49" t="str">
        <f t="shared" si="5"/>
        <v/>
      </c>
      <c r="AB49" t="str">
        <f>IFERROR(IF(AA49="RNA建库试剂盒",MID(上机信息表!Q49,SEARCH("建库",上机信息表!Q49),20),IF(AA49="DNA建库试剂盒",MID(上机信息表!Q49,SEARCH("建库",上机信息表!Q49),20),"")),"")</f>
        <v/>
      </c>
      <c r="AC49" t="str">
        <f>IF(C49=0,"",CONCATENATE("芯片批号：",'IDseq-上机流程监控表'!$G$5,",","上机试剂批号：",'IDseq-上机流程监控表'!$G$6,",","Buffer批号：",'IDseq-上机流程监控表'!$G$7))</f>
        <v/>
      </c>
    </row>
    <row r="50" spans="1:29">
      <c r="A50" s="18" t="str">
        <f>IF(C50=0,"","YF23"&amp;TEXT(MID(pooling详情!$A$1,14,(FIND("期",pooling详情!$A$1)-FIND("第",pooling详情!$A$1)-1)),"0000"))</f>
        <v/>
      </c>
      <c r="B50" s="18">
        <f>上机信息表!G50</f>
        <v>0</v>
      </c>
      <c r="C50" s="18">
        <f>上机信息表!C50</f>
        <v>0</v>
      </c>
      <c r="D50" s="18">
        <f>上机信息表!D50</f>
        <v>0</v>
      </c>
      <c r="E50" s="18">
        <f>上机信息表!E50</f>
        <v>0</v>
      </c>
      <c r="F50" s="18">
        <f>上机信息表!F50</f>
        <v>0</v>
      </c>
      <c r="G50" s="18">
        <f>上机信息表!H50</f>
        <v>0</v>
      </c>
      <c r="H50" s="18">
        <f>上机信息表!I50</f>
        <v>0</v>
      </c>
      <c r="I50" s="18">
        <f>IF(F50="DNA",上机信息表!I50*70,上机信息表!I50*100)</f>
        <v>0</v>
      </c>
      <c r="K50" s="33">
        <f>上机信息表!A50</f>
        <v>0</v>
      </c>
      <c r="L50" s="18">
        <f>上机信息表!J50</f>
        <v>0</v>
      </c>
      <c r="M50" s="18">
        <f>上机信息表!K50</f>
        <v>0</v>
      </c>
      <c r="N50" s="18">
        <f>上机信息表!L50</f>
        <v>0</v>
      </c>
      <c r="O50" s="18">
        <f>上机信息表!M50</f>
        <v>0</v>
      </c>
      <c r="P50" s="18">
        <f>上机信息表!N50</f>
        <v>0</v>
      </c>
      <c r="Q50" s="18">
        <f>上机信息表!O50</f>
        <v>0</v>
      </c>
      <c r="R50" s="18" t="str">
        <f>IF(C50=0,"","VMGZ22"&amp;TEXT(MID(pooling详情!$A$1,14,(FIND("期",pooling详情!$A$1)-FIND("第",pooling详情!$A$1)-1)),"0000"))</f>
        <v/>
      </c>
      <c r="S50" s="18">
        <f>上机信息表!P50</f>
        <v>0</v>
      </c>
      <c r="T50" s="18" t="str">
        <f>IF(C50=0,"",pooling详情!$G$66)</f>
        <v/>
      </c>
      <c r="U50" s="34" t="str">
        <f>IF(C50=0,"",pooling详情!$A$80)</f>
        <v/>
      </c>
      <c r="V50" s="34" t="str">
        <f t="shared" si="3"/>
        <v/>
      </c>
      <c r="W50" s="18">
        <f>上机信息表!X50</f>
        <v>0</v>
      </c>
      <c r="X50" s="18">
        <f>上机信息表!R50</f>
        <v>0</v>
      </c>
      <c r="Y50" t="str">
        <f t="shared" si="4"/>
        <v/>
      </c>
      <c r="Z50" t="str">
        <f>IFERROR(IF(Y50="RNA提取试剂盒",CONCATENATE(MID(上机信息表!Q50,SEARCH("提取",上机信息表!Q50),SEARCH("建",上机信息表!Q50)-2)),IF(Y50="DNA提取试剂盒",IF(ISNUMBER(FIND("呼吸道",上机信息表!Q50)),CONCATENATE(MID(上机信息表!Q50,SEARCH("提取",上机信息表!Q50),SEARCH(",",上机信息表!Q50,SEARCH("呼吸道",上机信息表!Q50))-1)),IF(ISNUMBER(FIND("组织",上机信息表!Q50)),CONCATENATE(MID(上机信息表!Q50,SEARCH("提取",上机信息表!Q50),SEARCH(",",上机信息表!Q50,SEARCH("组织",上机信息表!Q50))-1)),CONCATENATE(MID(上机信息表!Q50,SEARCH("提取",上机信息表!Q50),SEARCH(",",上机信息表!Q50)-1)))),"")),"")</f>
        <v/>
      </c>
      <c r="AA50" t="str">
        <f t="shared" si="5"/>
        <v/>
      </c>
      <c r="AB50" t="str">
        <f>IFERROR(IF(AA50="RNA建库试剂盒",MID(上机信息表!Q50,SEARCH("建库",上机信息表!Q50),20),IF(AA50="DNA建库试剂盒",MID(上机信息表!Q50,SEARCH("建库",上机信息表!Q50),20),"")),"")</f>
        <v/>
      </c>
      <c r="AC50" t="str">
        <f>IF(C50=0,"",CONCATENATE("芯片批号：",'IDseq-上机流程监控表'!$G$5,",","上机试剂批号：",'IDseq-上机流程监控表'!$G$6,",","Buffer批号：",'IDseq-上机流程监控表'!$G$7))</f>
        <v/>
      </c>
    </row>
    <row r="51" spans="1:29">
      <c r="A51" s="18" t="str">
        <f>IF(C51=0,"","YF23"&amp;TEXT(MID(pooling详情!$A$1,14,(FIND("期",pooling详情!$A$1)-FIND("第",pooling详情!$A$1)-1)),"0000"))</f>
        <v/>
      </c>
      <c r="B51" s="18">
        <f>上机信息表!G51</f>
        <v>0</v>
      </c>
      <c r="C51" s="18">
        <f>上机信息表!C51</f>
        <v>0</v>
      </c>
      <c r="D51" s="18">
        <f>上机信息表!D51</f>
        <v>0</v>
      </c>
      <c r="E51" s="18">
        <f>上机信息表!E51</f>
        <v>0</v>
      </c>
      <c r="F51" s="18">
        <f>上机信息表!F51</f>
        <v>0</v>
      </c>
      <c r="G51" s="18">
        <f>上机信息表!H51</f>
        <v>0</v>
      </c>
      <c r="H51" s="18">
        <f>上机信息表!I51</f>
        <v>0</v>
      </c>
      <c r="I51" s="18">
        <f>IF(F51="DNA",上机信息表!I51*70,上机信息表!I51*100)</f>
        <v>0</v>
      </c>
      <c r="K51" s="33">
        <f>上机信息表!A51</f>
        <v>0</v>
      </c>
      <c r="L51" s="18">
        <f>上机信息表!J51</f>
        <v>0</v>
      </c>
      <c r="M51" s="18">
        <f>上机信息表!K51</f>
        <v>0</v>
      </c>
      <c r="N51" s="18">
        <f>上机信息表!L51</f>
        <v>0</v>
      </c>
      <c r="O51" s="18">
        <f>上机信息表!M51</f>
        <v>0</v>
      </c>
      <c r="P51" s="18">
        <f>上机信息表!N51</f>
        <v>0</v>
      </c>
      <c r="Q51" s="18">
        <f>上机信息表!O51</f>
        <v>0</v>
      </c>
      <c r="R51" s="18" t="str">
        <f>IF(C51=0,"","VMGZ22"&amp;TEXT(MID(pooling详情!$A$1,14,(FIND("期",pooling详情!$A$1)-FIND("第",pooling详情!$A$1)-1)),"0000"))</f>
        <v/>
      </c>
      <c r="S51" s="18">
        <f>上机信息表!P51</f>
        <v>0</v>
      </c>
      <c r="T51" s="18" t="str">
        <f>IF(C51=0,"",pooling详情!$G$66)</f>
        <v/>
      </c>
      <c r="U51" s="34" t="str">
        <f>IF(C51=0,"",pooling详情!$A$80)</f>
        <v/>
      </c>
      <c r="V51" s="34" t="str">
        <f t="shared" si="3"/>
        <v/>
      </c>
      <c r="W51" s="18">
        <f>上机信息表!X51</f>
        <v>0</v>
      </c>
      <c r="X51" s="18">
        <f>上机信息表!R51</f>
        <v>0</v>
      </c>
      <c r="Y51" t="str">
        <f t="shared" si="4"/>
        <v/>
      </c>
      <c r="Z51" t="str">
        <f>IFERROR(IF(Y51="RNA提取试剂盒",CONCATENATE(MID(上机信息表!Q51,SEARCH("提取",上机信息表!Q51),SEARCH("建",上机信息表!Q51)-2)),IF(Y51="DNA提取试剂盒",IF(ISNUMBER(FIND("呼吸道",上机信息表!Q51)),CONCATENATE(MID(上机信息表!Q51,SEARCH("提取",上机信息表!Q51),SEARCH(",",上机信息表!Q51,SEARCH("呼吸道",上机信息表!Q51))-1)),IF(ISNUMBER(FIND("组织",上机信息表!Q51)),CONCATENATE(MID(上机信息表!Q51,SEARCH("提取",上机信息表!Q51),SEARCH(",",上机信息表!Q51,SEARCH("组织",上机信息表!Q51))-1)),CONCATENATE(MID(上机信息表!Q51,SEARCH("提取",上机信息表!Q51),SEARCH(",",上机信息表!Q51)-1)))),"")),"")</f>
        <v/>
      </c>
      <c r="AA51" t="str">
        <f t="shared" si="5"/>
        <v/>
      </c>
      <c r="AB51" t="str">
        <f>IFERROR(IF(AA51="RNA建库试剂盒",MID(上机信息表!Q51,SEARCH("建库",上机信息表!Q51),20),IF(AA51="DNA建库试剂盒",MID(上机信息表!Q51,SEARCH("建库",上机信息表!Q51),20),"")),"")</f>
        <v/>
      </c>
      <c r="AC51" t="str">
        <f>IF(C51=0,"",CONCATENATE("芯片批号：",'IDseq-上机流程监控表'!$G$5,",","上机试剂批号：",'IDseq-上机流程监控表'!$G$6,",","Buffer批号：",'IDseq-上机流程监控表'!$G$7))</f>
        <v/>
      </c>
    </row>
    <row r="52" spans="1:29">
      <c r="A52" s="18" t="str">
        <f>IF(C52=0,"","YF23"&amp;TEXT(MID(pooling详情!$A$1,14,(FIND("期",pooling详情!$A$1)-FIND("第",pooling详情!$A$1)-1)),"0000"))</f>
        <v/>
      </c>
      <c r="B52" s="18">
        <f>上机信息表!G52</f>
        <v>0</v>
      </c>
      <c r="C52" s="18">
        <f>上机信息表!C52</f>
        <v>0</v>
      </c>
      <c r="D52" s="18">
        <f>上机信息表!D52</f>
        <v>0</v>
      </c>
      <c r="E52" s="18">
        <f>上机信息表!E52</f>
        <v>0</v>
      </c>
      <c r="F52" s="18">
        <f>上机信息表!F52</f>
        <v>0</v>
      </c>
      <c r="G52" s="18">
        <f>上机信息表!H52</f>
        <v>0</v>
      </c>
      <c r="H52" s="18">
        <f>上机信息表!I52</f>
        <v>0</v>
      </c>
      <c r="I52" s="18">
        <f>IF(F52="DNA",上机信息表!I52*70,上机信息表!I52*100)</f>
        <v>0</v>
      </c>
      <c r="K52" s="33">
        <f>上机信息表!A52</f>
        <v>0</v>
      </c>
      <c r="L52" s="18">
        <f>上机信息表!J52</f>
        <v>0</v>
      </c>
      <c r="M52" s="18">
        <f>上机信息表!K52</f>
        <v>0</v>
      </c>
      <c r="N52" s="18">
        <f>上机信息表!L52</f>
        <v>0</v>
      </c>
      <c r="O52" s="18">
        <f>上机信息表!M52</f>
        <v>0</v>
      </c>
      <c r="P52" s="18">
        <f>上机信息表!N52</f>
        <v>0</v>
      </c>
      <c r="Q52" s="18">
        <f>上机信息表!O52</f>
        <v>0</v>
      </c>
      <c r="R52" s="18" t="str">
        <f>IF(C52=0,"","VMGZ22"&amp;TEXT(MID(pooling详情!$A$1,14,(FIND("期",pooling详情!$A$1)-FIND("第",pooling详情!$A$1)-1)),"0000"))</f>
        <v/>
      </c>
      <c r="S52" s="18">
        <f>上机信息表!P52</f>
        <v>0</v>
      </c>
      <c r="T52" s="18" t="str">
        <f>IF(C52=0,"",pooling详情!$G$66)</f>
        <v/>
      </c>
      <c r="U52" s="34" t="str">
        <f>IF(C52=0,"",pooling详情!$A$80)</f>
        <v/>
      </c>
      <c r="V52" s="34" t="str">
        <f t="shared" si="3"/>
        <v/>
      </c>
      <c r="W52" s="18">
        <f>上机信息表!X52</f>
        <v>0</v>
      </c>
      <c r="X52" s="18">
        <f>上机信息表!R52</f>
        <v>0</v>
      </c>
      <c r="Y52" t="str">
        <f t="shared" si="4"/>
        <v/>
      </c>
      <c r="Z52" t="str">
        <f>IFERROR(IF(Y52="RNA提取试剂盒",CONCATENATE(MID(上机信息表!Q52,SEARCH("提取",上机信息表!Q52),SEARCH("建",上机信息表!Q52)-2)),IF(Y52="DNA提取试剂盒",IF(ISNUMBER(FIND("呼吸道",上机信息表!Q52)),CONCATENATE(MID(上机信息表!Q52,SEARCH("提取",上机信息表!Q52),SEARCH(",",上机信息表!Q52,SEARCH("呼吸道",上机信息表!Q52))-1)),IF(ISNUMBER(FIND("组织",上机信息表!Q52)),CONCATENATE(MID(上机信息表!Q52,SEARCH("提取",上机信息表!Q52),SEARCH(",",上机信息表!Q52,SEARCH("组织",上机信息表!Q52))-1)),CONCATENATE(MID(上机信息表!Q52,SEARCH("提取",上机信息表!Q52),SEARCH(",",上机信息表!Q52)-1)))),"")),"")</f>
        <v/>
      </c>
      <c r="AA52" t="str">
        <f t="shared" si="5"/>
        <v/>
      </c>
      <c r="AB52" t="str">
        <f>IFERROR(IF(AA52="RNA建库试剂盒",MID(上机信息表!Q52,SEARCH("建库",上机信息表!Q52),20),IF(AA52="DNA建库试剂盒",MID(上机信息表!Q52,SEARCH("建库",上机信息表!Q52),20),"")),"")</f>
        <v/>
      </c>
      <c r="AC52" t="str">
        <f>IF(C52=0,"",CONCATENATE("芯片批号：",'IDseq-上机流程监控表'!$G$5,",","上机试剂批号：",'IDseq-上机流程监控表'!$G$6,",","Buffer批号：",'IDseq-上机流程监控表'!$G$7))</f>
        <v/>
      </c>
    </row>
    <row r="53" spans="1:29">
      <c r="A53" s="18" t="str">
        <f>IF(C53=0,"","YF23"&amp;TEXT(MID(pooling详情!$A$1,14,(FIND("期",pooling详情!$A$1)-FIND("第",pooling详情!$A$1)-1)),"0000"))</f>
        <v/>
      </c>
      <c r="B53" s="18">
        <f>上机信息表!G53</f>
        <v>0</v>
      </c>
      <c r="C53" s="18">
        <f>上机信息表!C53</f>
        <v>0</v>
      </c>
      <c r="D53" s="18">
        <f>上机信息表!D53</f>
        <v>0</v>
      </c>
      <c r="E53" s="18">
        <f>上机信息表!E53</f>
        <v>0</v>
      </c>
      <c r="F53" s="18">
        <f>上机信息表!F53</f>
        <v>0</v>
      </c>
      <c r="G53" s="18">
        <f>上机信息表!H53</f>
        <v>0</v>
      </c>
      <c r="H53" s="18">
        <f>上机信息表!I53</f>
        <v>0</v>
      </c>
      <c r="I53" s="18">
        <f>IF(F53="DNA",上机信息表!I53*70,上机信息表!I53*100)</f>
        <v>0</v>
      </c>
      <c r="K53" s="33">
        <f>上机信息表!A53</f>
        <v>0</v>
      </c>
      <c r="L53" s="18">
        <f>上机信息表!J53</f>
        <v>0</v>
      </c>
      <c r="M53" s="18">
        <f>上机信息表!K53</f>
        <v>0</v>
      </c>
      <c r="N53" s="18">
        <f>上机信息表!L53</f>
        <v>0</v>
      </c>
      <c r="O53" s="18">
        <f>上机信息表!M53</f>
        <v>0</v>
      </c>
      <c r="P53" s="18">
        <f>上机信息表!N53</f>
        <v>0</v>
      </c>
      <c r="Q53" s="18">
        <f>上机信息表!O53</f>
        <v>0</v>
      </c>
      <c r="R53" s="18" t="str">
        <f>IF(C53=0,"","VMGZ22"&amp;TEXT(MID(pooling详情!$A$1,14,(FIND("期",pooling详情!$A$1)-FIND("第",pooling详情!$A$1)-1)),"0000"))</f>
        <v/>
      </c>
      <c r="S53" s="18">
        <f>上机信息表!P53</f>
        <v>0</v>
      </c>
      <c r="T53" s="18" t="str">
        <f>IF(C53=0,"",pooling详情!$G$66)</f>
        <v/>
      </c>
      <c r="U53" s="34" t="str">
        <f>IF(C53=0,"",pooling详情!$A$80)</f>
        <v/>
      </c>
      <c r="V53" s="34" t="str">
        <f t="shared" si="3"/>
        <v/>
      </c>
      <c r="W53" s="18">
        <f>上机信息表!X53</f>
        <v>0</v>
      </c>
      <c r="X53" s="18">
        <f>上机信息表!R53</f>
        <v>0</v>
      </c>
      <c r="Y53" t="str">
        <f t="shared" si="4"/>
        <v/>
      </c>
      <c r="Z53" t="str">
        <f>IFERROR(IF(Y53="RNA提取试剂盒",CONCATENATE(MID(上机信息表!Q53,SEARCH("提取",上机信息表!Q53),SEARCH("建",上机信息表!Q53)-2)),IF(Y53="DNA提取试剂盒",IF(ISNUMBER(FIND("呼吸道",上机信息表!Q53)),CONCATENATE(MID(上机信息表!Q53,SEARCH("提取",上机信息表!Q53),SEARCH(",",上机信息表!Q53,SEARCH("呼吸道",上机信息表!Q53))-1)),IF(ISNUMBER(FIND("组织",上机信息表!Q53)),CONCATENATE(MID(上机信息表!Q53,SEARCH("提取",上机信息表!Q53),SEARCH(",",上机信息表!Q53,SEARCH("组织",上机信息表!Q53))-1)),CONCATENATE(MID(上机信息表!Q53,SEARCH("提取",上机信息表!Q53),SEARCH(",",上机信息表!Q53)-1)))),"")),"")</f>
        <v/>
      </c>
      <c r="AA53" t="str">
        <f t="shared" si="5"/>
        <v/>
      </c>
      <c r="AB53" t="str">
        <f>IFERROR(IF(AA53="RNA建库试剂盒",MID(上机信息表!Q53,SEARCH("建库",上机信息表!Q53),20),IF(AA53="DNA建库试剂盒",MID(上机信息表!Q53,SEARCH("建库",上机信息表!Q53),20),"")),"")</f>
        <v/>
      </c>
      <c r="AC53" t="str">
        <f>IF(C53=0,"",CONCATENATE("芯片批号：",'IDseq-上机流程监控表'!$G$5,",","上机试剂批号：",'IDseq-上机流程监控表'!$G$6,",","Buffer批号：",'IDseq-上机流程监控表'!$G$7))</f>
        <v/>
      </c>
    </row>
    <row r="54" spans="1:29">
      <c r="A54" s="18" t="str">
        <f>IF(C54=0,"","YF23"&amp;TEXT(MID(pooling详情!$A$1,14,(FIND("期",pooling详情!$A$1)-FIND("第",pooling详情!$A$1)-1)),"0000"))</f>
        <v/>
      </c>
      <c r="B54" s="18">
        <f>上机信息表!G54</f>
        <v>0</v>
      </c>
      <c r="C54" s="18">
        <f>上机信息表!C54</f>
        <v>0</v>
      </c>
      <c r="D54" s="18">
        <f>上机信息表!D54</f>
        <v>0</v>
      </c>
      <c r="E54" s="18">
        <f>上机信息表!E54</f>
        <v>0</v>
      </c>
      <c r="F54" s="18">
        <f>上机信息表!F54</f>
        <v>0</v>
      </c>
      <c r="G54" s="18">
        <f>上机信息表!H54</f>
        <v>0</v>
      </c>
      <c r="H54" s="18">
        <f>上机信息表!I54</f>
        <v>0</v>
      </c>
      <c r="I54" s="18">
        <f>IF(F54="DNA",上机信息表!I54*70,上机信息表!I54*100)</f>
        <v>0</v>
      </c>
      <c r="K54" s="33">
        <f>上机信息表!A54</f>
        <v>0</v>
      </c>
      <c r="L54" s="18">
        <f>上机信息表!J54</f>
        <v>0</v>
      </c>
      <c r="M54" s="18">
        <f>上机信息表!K54</f>
        <v>0</v>
      </c>
      <c r="N54" s="18">
        <f>上机信息表!L54</f>
        <v>0</v>
      </c>
      <c r="O54" s="18">
        <f>上机信息表!M54</f>
        <v>0</v>
      </c>
      <c r="P54" s="18">
        <f>上机信息表!N54</f>
        <v>0</v>
      </c>
      <c r="Q54" s="18">
        <f>上机信息表!O54</f>
        <v>0</v>
      </c>
      <c r="R54" s="18" t="str">
        <f>IF(C54=0,"","VMGZ22"&amp;TEXT(MID(pooling详情!$A$1,14,(FIND("期",pooling详情!$A$1)-FIND("第",pooling详情!$A$1)-1)),"0000"))</f>
        <v/>
      </c>
      <c r="S54" s="18">
        <f>上机信息表!P54</f>
        <v>0</v>
      </c>
      <c r="T54" s="18" t="str">
        <f>IF(C54=0,"",pooling详情!$G$66)</f>
        <v/>
      </c>
      <c r="U54" s="34" t="str">
        <f>IF(C54=0,"",pooling详情!$A$80)</f>
        <v/>
      </c>
      <c r="V54" s="34" t="str">
        <f t="shared" si="3"/>
        <v/>
      </c>
      <c r="W54" s="18">
        <f>上机信息表!X54</f>
        <v>0</v>
      </c>
      <c r="X54" s="18">
        <f>上机信息表!R54</f>
        <v>0</v>
      </c>
      <c r="Y54" t="str">
        <f t="shared" si="4"/>
        <v/>
      </c>
      <c r="Z54" t="str">
        <f>IFERROR(IF(Y54="RNA提取试剂盒",CONCATENATE(MID(上机信息表!Q54,SEARCH("提取",上机信息表!Q54),SEARCH("建",上机信息表!Q54)-2)),IF(Y54="DNA提取试剂盒",IF(ISNUMBER(FIND("呼吸道",上机信息表!Q54)),CONCATENATE(MID(上机信息表!Q54,SEARCH("提取",上机信息表!Q54),SEARCH(",",上机信息表!Q54,SEARCH("呼吸道",上机信息表!Q54))-1)),IF(ISNUMBER(FIND("组织",上机信息表!Q54)),CONCATENATE(MID(上机信息表!Q54,SEARCH("提取",上机信息表!Q54),SEARCH(",",上机信息表!Q54,SEARCH("组织",上机信息表!Q54))-1)),CONCATENATE(MID(上机信息表!Q54,SEARCH("提取",上机信息表!Q54),SEARCH(",",上机信息表!Q54)-1)))),"")),"")</f>
        <v/>
      </c>
      <c r="AA54" t="str">
        <f t="shared" si="5"/>
        <v/>
      </c>
      <c r="AB54" t="str">
        <f>IFERROR(IF(AA54="RNA建库试剂盒",MID(上机信息表!Q54,SEARCH("建库",上机信息表!Q54),20),IF(AA54="DNA建库试剂盒",MID(上机信息表!Q54,SEARCH("建库",上机信息表!Q54),20),"")),"")</f>
        <v/>
      </c>
      <c r="AC54" t="str">
        <f>IF(C54=0,"",CONCATENATE("芯片批号：",'IDseq-上机流程监控表'!$G$5,",","上机试剂批号：",'IDseq-上机流程监控表'!$G$6,",","Buffer批号：",'IDseq-上机流程监控表'!$G$7))</f>
        <v/>
      </c>
    </row>
    <row r="55" spans="1:29">
      <c r="A55" s="18" t="str">
        <f>IF(C55=0,"","YF23"&amp;TEXT(MID(pooling详情!$A$1,14,(FIND("期",pooling详情!$A$1)-FIND("第",pooling详情!$A$1)-1)),"0000"))</f>
        <v/>
      </c>
      <c r="B55" s="18">
        <f>上机信息表!G55</f>
        <v>0</v>
      </c>
      <c r="C55" s="18">
        <f>上机信息表!C55</f>
        <v>0</v>
      </c>
      <c r="D55" s="18">
        <f>上机信息表!D55</f>
        <v>0</v>
      </c>
      <c r="E55" s="18">
        <f>上机信息表!E55</f>
        <v>0</v>
      </c>
      <c r="F55" s="18">
        <f>上机信息表!F55</f>
        <v>0</v>
      </c>
      <c r="G55" s="18">
        <f>上机信息表!H55</f>
        <v>0</v>
      </c>
      <c r="H55" s="18">
        <f>上机信息表!I55</f>
        <v>0</v>
      </c>
      <c r="I55" s="18">
        <f>IF(F55="DNA",上机信息表!I55*70,上机信息表!I55*100)</f>
        <v>0</v>
      </c>
      <c r="K55" s="33">
        <f>上机信息表!A55</f>
        <v>0</v>
      </c>
      <c r="L55" s="18">
        <f>上机信息表!J55</f>
        <v>0</v>
      </c>
      <c r="M55" s="18">
        <f>上机信息表!K55</f>
        <v>0</v>
      </c>
      <c r="N55" s="18">
        <f>上机信息表!L55</f>
        <v>0</v>
      </c>
      <c r="O55" s="18">
        <f>上机信息表!M55</f>
        <v>0</v>
      </c>
      <c r="P55" s="18">
        <f>上机信息表!N55</f>
        <v>0</v>
      </c>
      <c r="Q55" s="18">
        <f>上机信息表!O55</f>
        <v>0</v>
      </c>
      <c r="R55" s="18" t="str">
        <f>IF(C55=0,"","VMGZ22"&amp;TEXT(MID(pooling详情!$A$1,14,(FIND("期",pooling详情!$A$1)-FIND("第",pooling详情!$A$1)-1)),"0000"))</f>
        <v/>
      </c>
      <c r="S55" s="18">
        <f>上机信息表!P55</f>
        <v>0</v>
      </c>
      <c r="T55" s="18" t="str">
        <f>IF(C55=0,"",pooling详情!$G$66)</f>
        <v/>
      </c>
      <c r="U55" s="34" t="str">
        <f>IF(C55=0,"",pooling详情!$A$80)</f>
        <v/>
      </c>
      <c r="V55" s="34" t="str">
        <f t="shared" si="3"/>
        <v/>
      </c>
      <c r="W55" s="18">
        <f>上机信息表!X55</f>
        <v>0</v>
      </c>
      <c r="X55" s="18">
        <f>上机信息表!R55</f>
        <v>0</v>
      </c>
      <c r="Y55" t="str">
        <f t="shared" si="4"/>
        <v/>
      </c>
      <c r="Z55" t="str">
        <f>IFERROR(IF(Y55="RNA提取试剂盒",CONCATENATE(MID(上机信息表!Q55,SEARCH("提取",上机信息表!Q55),SEARCH("建",上机信息表!Q55)-2)),IF(Y55="DNA提取试剂盒",IF(ISNUMBER(FIND("呼吸道",上机信息表!Q55)),CONCATENATE(MID(上机信息表!Q55,SEARCH("提取",上机信息表!Q55),SEARCH(",",上机信息表!Q55,SEARCH("呼吸道",上机信息表!Q55))-1)),IF(ISNUMBER(FIND("组织",上机信息表!Q55)),CONCATENATE(MID(上机信息表!Q55,SEARCH("提取",上机信息表!Q55),SEARCH(",",上机信息表!Q55,SEARCH("组织",上机信息表!Q55))-1)),CONCATENATE(MID(上机信息表!Q55,SEARCH("提取",上机信息表!Q55),SEARCH(",",上机信息表!Q55)-1)))),"")),"")</f>
        <v/>
      </c>
      <c r="AA55" t="str">
        <f t="shared" si="5"/>
        <v/>
      </c>
      <c r="AB55" t="str">
        <f>IFERROR(IF(AA55="RNA建库试剂盒",MID(上机信息表!Q55,SEARCH("建库",上机信息表!Q55),20),IF(AA55="DNA建库试剂盒",MID(上机信息表!Q55,SEARCH("建库",上机信息表!Q55),20),"")),"")</f>
        <v/>
      </c>
      <c r="AC55" t="str">
        <f>IF(C55=0,"",CONCATENATE("芯片批号：",'IDseq-上机流程监控表'!$G$5,",","上机试剂批号：",'IDseq-上机流程监控表'!$G$6,",","Buffer批号：",'IDseq-上机流程监控表'!$G$7))</f>
        <v/>
      </c>
    </row>
    <row r="56" spans="1:29">
      <c r="A56" s="18" t="str">
        <f>IF(C56=0,"","YF23"&amp;TEXT(MID(pooling详情!$A$1,14,(FIND("期",pooling详情!$A$1)-FIND("第",pooling详情!$A$1)-1)),"0000"))</f>
        <v/>
      </c>
      <c r="B56" s="18">
        <f>上机信息表!G56</f>
        <v>0</v>
      </c>
      <c r="C56" s="18">
        <f>上机信息表!C56</f>
        <v>0</v>
      </c>
      <c r="D56" s="18">
        <f>上机信息表!D56</f>
        <v>0</v>
      </c>
      <c r="E56" s="18">
        <f>上机信息表!E56</f>
        <v>0</v>
      </c>
      <c r="F56" s="18">
        <f>上机信息表!F56</f>
        <v>0</v>
      </c>
      <c r="G56" s="18">
        <f>上机信息表!H56</f>
        <v>0</v>
      </c>
      <c r="H56" s="18">
        <f>上机信息表!I56</f>
        <v>0</v>
      </c>
      <c r="I56" s="18">
        <f>IF(F56="DNA",上机信息表!I56*70,上机信息表!I56*100)</f>
        <v>0</v>
      </c>
      <c r="K56" s="33">
        <f>上机信息表!A56</f>
        <v>0</v>
      </c>
      <c r="L56" s="18">
        <f>上机信息表!J56</f>
        <v>0</v>
      </c>
      <c r="M56" s="18">
        <f>上机信息表!K56</f>
        <v>0</v>
      </c>
      <c r="N56" s="18">
        <f>上机信息表!L56</f>
        <v>0</v>
      </c>
      <c r="O56" s="18">
        <f>上机信息表!M56</f>
        <v>0</v>
      </c>
      <c r="P56" s="18">
        <f>上机信息表!N56</f>
        <v>0</v>
      </c>
      <c r="Q56" s="18">
        <f>上机信息表!O56</f>
        <v>0</v>
      </c>
      <c r="R56" s="18" t="str">
        <f>IF(C56=0,"","VMGZ22"&amp;TEXT(MID(pooling详情!$A$1,14,(FIND("期",pooling详情!$A$1)-FIND("第",pooling详情!$A$1)-1)),"0000"))</f>
        <v/>
      </c>
      <c r="S56" s="18">
        <f>上机信息表!P56</f>
        <v>0</v>
      </c>
      <c r="T56" s="18" t="str">
        <f>IF(C56=0,"",pooling详情!$G$66)</f>
        <v/>
      </c>
      <c r="U56" s="34" t="str">
        <f>IF(C56=0,"",pooling详情!$A$80)</f>
        <v/>
      </c>
      <c r="V56" s="34" t="str">
        <f t="shared" si="3"/>
        <v/>
      </c>
      <c r="W56" s="18">
        <f>上机信息表!X56</f>
        <v>0</v>
      </c>
      <c r="X56" s="18">
        <f>上机信息表!R56</f>
        <v>0</v>
      </c>
      <c r="Y56" t="str">
        <f t="shared" si="4"/>
        <v/>
      </c>
      <c r="Z56" t="str">
        <f>IFERROR(IF(Y56="RNA提取试剂盒",CONCATENATE(MID(上机信息表!Q56,SEARCH("提取",上机信息表!Q56),SEARCH("建",上机信息表!Q56)-2)),IF(Y56="DNA提取试剂盒",IF(ISNUMBER(FIND("呼吸道",上机信息表!Q56)),CONCATENATE(MID(上机信息表!Q56,SEARCH("提取",上机信息表!Q56),SEARCH(",",上机信息表!Q56,SEARCH("呼吸道",上机信息表!Q56))-1)),IF(ISNUMBER(FIND("组织",上机信息表!Q56)),CONCATENATE(MID(上机信息表!Q56,SEARCH("提取",上机信息表!Q56),SEARCH(",",上机信息表!Q56,SEARCH("组织",上机信息表!Q56))-1)),CONCATENATE(MID(上机信息表!Q56,SEARCH("提取",上机信息表!Q56),SEARCH(",",上机信息表!Q56)-1)))),"")),"")</f>
        <v/>
      </c>
      <c r="AA56" t="str">
        <f t="shared" si="5"/>
        <v/>
      </c>
      <c r="AB56" t="str">
        <f>IFERROR(IF(AA56="RNA建库试剂盒",MID(上机信息表!Q56,SEARCH("建库",上机信息表!Q56),20),IF(AA56="DNA建库试剂盒",MID(上机信息表!Q56,SEARCH("建库",上机信息表!Q56),20),"")),"")</f>
        <v/>
      </c>
      <c r="AC56" t="str">
        <f>IF(C56=0,"",CONCATENATE("芯片批号：",'IDseq-上机流程监控表'!$G$5,",","上机试剂批号：",'IDseq-上机流程监控表'!$G$6,",","Buffer批号：",'IDseq-上机流程监控表'!$G$7))</f>
        <v/>
      </c>
    </row>
    <row r="57" spans="1:29">
      <c r="A57" s="18" t="str">
        <f>IF(C57=0,"","YF23"&amp;TEXT(MID(pooling详情!$A$1,14,(FIND("期",pooling详情!$A$1)-FIND("第",pooling详情!$A$1)-1)),"0000"))</f>
        <v/>
      </c>
      <c r="B57" s="18">
        <f>上机信息表!G57</f>
        <v>0</v>
      </c>
      <c r="C57" s="18">
        <f>上机信息表!C57</f>
        <v>0</v>
      </c>
      <c r="D57" s="18">
        <f>上机信息表!D57</f>
        <v>0</v>
      </c>
      <c r="E57" s="18">
        <f>上机信息表!E57</f>
        <v>0</v>
      </c>
      <c r="F57" s="18">
        <f>上机信息表!F57</f>
        <v>0</v>
      </c>
      <c r="G57" s="18">
        <f>上机信息表!H57</f>
        <v>0</v>
      </c>
      <c r="H57" s="18">
        <f>上机信息表!I57</f>
        <v>0</v>
      </c>
      <c r="I57" s="18">
        <f>IF(F57="DNA",上机信息表!I57*70,上机信息表!I57*100)</f>
        <v>0</v>
      </c>
      <c r="K57" s="33">
        <f>上机信息表!A57</f>
        <v>0</v>
      </c>
      <c r="L57" s="18">
        <f>上机信息表!J57</f>
        <v>0</v>
      </c>
      <c r="M57" s="18">
        <f>上机信息表!K57</f>
        <v>0</v>
      </c>
      <c r="N57" s="18">
        <f>上机信息表!L57</f>
        <v>0</v>
      </c>
      <c r="O57" s="18">
        <f>上机信息表!M57</f>
        <v>0</v>
      </c>
      <c r="P57" s="18">
        <f>上机信息表!N57</f>
        <v>0</v>
      </c>
      <c r="Q57" s="18">
        <f>上机信息表!O57</f>
        <v>0</v>
      </c>
      <c r="R57" s="18" t="str">
        <f>IF(C57=0,"","VMGZ22"&amp;TEXT(MID(pooling详情!$A$1,14,(FIND("期",pooling详情!$A$1)-FIND("第",pooling详情!$A$1)-1)),"0000"))</f>
        <v/>
      </c>
      <c r="S57" s="18">
        <f>上机信息表!P57</f>
        <v>0</v>
      </c>
      <c r="T57" s="18" t="str">
        <f>IF(C57=0,"",pooling详情!$G$66)</f>
        <v/>
      </c>
      <c r="U57" s="34" t="str">
        <f>IF(C57=0,"",pooling详情!$A$80)</f>
        <v/>
      </c>
      <c r="V57" s="34" t="str">
        <f t="shared" si="3"/>
        <v/>
      </c>
      <c r="W57" s="18">
        <f>上机信息表!X57</f>
        <v>0</v>
      </c>
      <c r="X57" s="18">
        <f>上机信息表!R57</f>
        <v>0</v>
      </c>
      <c r="Y57" t="str">
        <f t="shared" si="4"/>
        <v/>
      </c>
      <c r="Z57" t="str">
        <f>IFERROR(IF(Y57="RNA提取试剂盒",CONCATENATE(MID(上机信息表!Q57,SEARCH("提取",上机信息表!Q57),SEARCH("建",上机信息表!Q57)-2)),IF(Y57="DNA提取试剂盒",IF(ISNUMBER(FIND("呼吸道",上机信息表!Q57)),CONCATENATE(MID(上机信息表!Q57,SEARCH("提取",上机信息表!Q57),SEARCH(",",上机信息表!Q57,SEARCH("呼吸道",上机信息表!Q57))-1)),IF(ISNUMBER(FIND("组织",上机信息表!Q57)),CONCATENATE(MID(上机信息表!Q57,SEARCH("提取",上机信息表!Q57),SEARCH(",",上机信息表!Q57,SEARCH("组织",上机信息表!Q57))-1)),CONCATENATE(MID(上机信息表!Q57,SEARCH("提取",上机信息表!Q57),SEARCH(",",上机信息表!Q57)-1)))),"")),"")</f>
        <v/>
      </c>
      <c r="AA57" t="str">
        <f t="shared" si="5"/>
        <v/>
      </c>
      <c r="AB57" t="str">
        <f>IFERROR(IF(AA57="RNA建库试剂盒",MID(上机信息表!Q57,SEARCH("建库",上机信息表!Q57),20),IF(AA57="DNA建库试剂盒",MID(上机信息表!Q57,SEARCH("建库",上机信息表!Q57),20),"")),"")</f>
        <v/>
      </c>
      <c r="AC57" t="str">
        <f>IF(C57=0,"",CONCATENATE("芯片批号：",'IDseq-上机流程监控表'!$G$5,",","上机试剂批号：",'IDseq-上机流程监控表'!$G$6,",","Buffer批号：",'IDseq-上机流程监控表'!$G$7))</f>
        <v/>
      </c>
    </row>
    <row r="58" spans="1:29">
      <c r="A58" s="18" t="str">
        <f>IF(C58=0,"","YF23"&amp;TEXT(MID(pooling详情!$A$1,14,(FIND("期",pooling详情!$A$1)-FIND("第",pooling详情!$A$1)-1)),"0000"))</f>
        <v/>
      </c>
      <c r="B58" s="18">
        <f>上机信息表!G58</f>
        <v>0</v>
      </c>
      <c r="C58" s="18">
        <f>上机信息表!C58</f>
        <v>0</v>
      </c>
      <c r="D58" s="18">
        <f>上机信息表!D58</f>
        <v>0</v>
      </c>
      <c r="E58" s="18">
        <f>上机信息表!E58</f>
        <v>0</v>
      </c>
      <c r="F58" s="18">
        <f>上机信息表!F58</f>
        <v>0</v>
      </c>
      <c r="G58" s="18">
        <f>上机信息表!H58</f>
        <v>0</v>
      </c>
      <c r="H58" s="18">
        <f>上机信息表!I58</f>
        <v>0</v>
      </c>
      <c r="I58" s="18">
        <f>IF(F58="DNA",上机信息表!I58*70,上机信息表!I58*100)</f>
        <v>0</v>
      </c>
      <c r="K58" s="33">
        <f>上机信息表!A58</f>
        <v>0</v>
      </c>
      <c r="L58" s="18">
        <f>上机信息表!J58</f>
        <v>0</v>
      </c>
      <c r="M58" s="18">
        <f>上机信息表!K58</f>
        <v>0</v>
      </c>
      <c r="N58" s="18">
        <f>上机信息表!L58</f>
        <v>0</v>
      </c>
      <c r="O58" s="18">
        <f>上机信息表!M58</f>
        <v>0</v>
      </c>
      <c r="P58" s="18">
        <f>上机信息表!N58</f>
        <v>0</v>
      </c>
      <c r="Q58" s="18">
        <f>上机信息表!O58</f>
        <v>0</v>
      </c>
      <c r="R58" s="18" t="str">
        <f>IF(C58=0,"","VMGZ22"&amp;TEXT(MID(pooling详情!$A$1,14,(FIND("期",pooling详情!$A$1)-FIND("第",pooling详情!$A$1)-1)),"0000"))</f>
        <v/>
      </c>
      <c r="S58" s="18">
        <f>上机信息表!P58</f>
        <v>0</v>
      </c>
      <c r="T58" s="18" t="str">
        <f>IF(C58=0,"",pooling详情!$G$66)</f>
        <v/>
      </c>
      <c r="U58" s="34" t="str">
        <f>IF(C58=0,"",pooling详情!$A$80)</f>
        <v/>
      </c>
      <c r="V58" s="34" t="str">
        <f t="shared" si="3"/>
        <v/>
      </c>
      <c r="W58" s="18">
        <f>上机信息表!X58</f>
        <v>0</v>
      </c>
      <c r="X58" s="18">
        <f>上机信息表!R58</f>
        <v>0</v>
      </c>
      <c r="Y58" t="str">
        <f t="shared" si="4"/>
        <v/>
      </c>
      <c r="Z58" t="str">
        <f>IFERROR(IF(Y58="RNA提取试剂盒",CONCATENATE(MID(上机信息表!Q58,SEARCH("提取",上机信息表!Q58),SEARCH("建",上机信息表!Q58)-2)),IF(Y58="DNA提取试剂盒",IF(ISNUMBER(FIND("呼吸道",上机信息表!Q58)),CONCATENATE(MID(上机信息表!Q58,SEARCH("提取",上机信息表!Q58),SEARCH(",",上机信息表!Q58,SEARCH("呼吸道",上机信息表!Q58))-1)),IF(ISNUMBER(FIND("组织",上机信息表!Q58)),CONCATENATE(MID(上机信息表!Q58,SEARCH("提取",上机信息表!Q58),SEARCH(",",上机信息表!Q58,SEARCH("组织",上机信息表!Q58))-1)),CONCATENATE(MID(上机信息表!Q58,SEARCH("提取",上机信息表!Q58),SEARCH(",",上机信息表!Q58)-1)))),"")),"")</f>
        <v/>
      </c>
      <c r="AA58" t="str">
        <f t="shared" si="5"/>
        <v/>
      </c>
      <c r="AB58" t="str">
        <f>IFERROR(IF(AA58="RNA建库试剂盒",MID(上机信息表!Q58,SEARCH("建库",上机信息表!Q58),20),IF(AA58="DNA建库试剂盒",MID(上机信息表!Q58,SEARCH("建库",上机信息表!Q58),20),"")),"")</f>
        <v/>
      </c>
      <c r="AC58" t="str">
        <f>IF(C58=0,"",CONCATENATE("芯片批号：",'IDseq-上机流程监控表'!$G$5,",","上机试剂批号：",'IDseq-上机流程监控表'!$G$6,",","Buffer批号：",'IDseq-上机流程监控表'!$G$7))</f>
        <v/>
      </c>
    </row>
    <row r="59" spans="1:29">
      <c r="A59" s="18" t="str">
        <f>IF(C59=0,"","YF23"&amp;TEXT(MID(pooling详情!$A$1,14,(FIND("期",pooling详情!$A$1)-FIND("第",pooling详情!$A$1)-1)),"0000"))</f>
        <v/>
      </c>
      <c r="B59" s="18">
        <f>上机信息表!G59</f>
        <v>0</v>
      </c>
      <c r="C59" s="18">
        <f>上机信息表!C59</f>
        <v>0</v>
      </c>
      <c r="D59" s="18">
        <f>上机信息表!D59</f>
        <v>0</v>
      </c>
      <c r="E59" s="18">
        <f>上机信息表!E59</f>
        <v>0</v>
      </c>
      <c r="F59" s="18">
        <f>上机信息表!F59</f>
        <v>0</v>
      </c>
      <c r="G59" s="18">
        <f>上机信息表!H59</f>
        <v>0</v>
      </c>
      <c r="H59" s="18">
        <f>上机信息表!I59</f>
        <v>0</v>
      </c>
      <c r="I59" s="18">
        <f>IF(F59="DNA",上机信息表!I59*70,上机信息表!I59*100)</f>
        <v>0</v>
      </c>
      <c r="K59" s="33">
        <f>上机信息表!A59</f>
        <v>0</v>
      </c>
      <c r="L59" s="18">
        <f>上机信息表!J59</f>
        <v>0</v>
      </c>
      <c r="M59" s="18">
        <f>上机信息表!K59</f>
        <v>0</v>
      </c>
      <c r="N59" s="18">
        <f>上机信息表!L59</f>
        <v>0</v>
      </c>
      <c r="O59" s="18">
        <f>上机信息表!M59</f>
        <v>0</v>
      </c>
      <c r="P59" s="18">
        <f>上机信息表!N59</f>
        <v>0</v>
      </c>
      <c r="Q59" s="18">
        <f>上机信息表!O59</f>
        <v>0</v>
      </c>
      <c r="R59" s="18" t="str">
        <f>IF(C59=0,"","VMGZ22"&amp;TEXT(MID(pooling详情!$A$1,14,(FIND("期",pooling详情!$A$1)-FIND("第",pooling详情!$A$1)-1)),"0000"))</f>
        <v/>
      </c>
      <c r="S59" s="18">
        <f>上机信息表!P59</f>
        <v>0</v>
      </c>
      <c r="T59" s="18" t="str">
        <f>IF(C59=0,"",pooling详情!$G$66)</f>
        <v/>
      </c>
      <c r="U59" s="34" t="str">
        <f>IF(C59=0,"",pooling详情!$A$80)</f>
        <v/>
      </c>
      <c r="V59" s="34" t="str">
        <f t="shared" si="3"/>
        <v/>
      </c>
      <c r="W59" s="18">
        <f>上机信息表!X59</f>
        <v>0</v>
      </c>
      <c r="X59" s="18">
        <f>上机信息表!R59</f>
        <v>0</v>
      </c>
      <c r="Y59" t="str">
        <f t="shared" si="4"/>
        <v/>
      </c>
      <c r="Z59" t="str">
        <f>IFERROR(IF(Y59="RNA提取试剂盒",CONCATENATE(MID(上机信息表!Q59,SEARCH("提取",上机信息表!Q59),SEARCH("建",上机信息表!Q59)-2)),IF(Y59="DNA提取试剂盒",IF(ISNUMBER(FIND("呼吸道",上机信息表!Q59)),CONCATENATE(MID(上机信息表!Q59,SEARCH("提取",上机信息表!Q59),SEARCH(",",上机信息表!Q59,SEARCH("呼吸道",上机信息表!Q59))-1)),IF(ISNUMBER(FIND("组织",上机信息表!Q59)),CONCATENATE(MID(上机信息表!Q59,SEARCH("提取",上机信息表!Q59),SEARCH(",",上机信息表!Q59,SEARCH("组织",上机信息表!Q59))-1)),CONCATENATE(MID(上机信息表!Q59,SEARCH("提取",上机信息表!Q59),SEARCH(",",上机信息表!Q59)-1)))),"")),"")</f>
        <v/>
      </c>
      <c r="AA59" t="str">
        <f t="shared" si="5"/>
        <v/>
      </c>
      <c r="AB59" t="str">
        <f>IFERROR(IF(AA59="RNA建库试剂盒",MID(上机信息表!Q59,SEARCH("建库",上机信息表!Q59),20),IF(AA59="DNA建库试剂盒",MID(上机信息表!Q59,SEARCH("建库",上机信息表!Q59),20),"")),"")</f>
        <v/>
      </c>
      <c r="AC59" t="str">
        <f>IF(C59=0,"",CONCATENATE("芯片批号：",'IDseq-上机流程监控表'!$G$5,",","上机试剂批号：",'IDseq-上机流程监控表'!$G$6,",","Buffer批号：",'IDseq-上机流程监控表'!$G$7))</f>
        <v/>
      </c>
    </row>
    <row r="60" spans="1:29">
      <c r="A60" s="18" t="str">
        <f>IF(C60=0,"","YF23"&amp;TEXT(MID(pooling详情!$A$1,14,(FIND("期",pooling详情!$A$1)-FIND("第",pooling详情!$A$1)-1)),"0000"))</f>
        <v/>
      </c>
      <c r="B60" s="18">
        <f>上机信息表!G60</f>
        <v>0</v>
      </c>
      <c r="C60" s="18">
        <f>上机信息表!C60</f>
        <v>0</v>
      </c>
      <c r="D60" s="18">
        <f>上机信息表!D60</f>
        <v>0</v>
      </c>
      <c r="E60" s="18">
        <f>上机信息表!E60</f>
        <v>0</v>
      </c>
      <c r="F60" s="18">
        <f>上机信息表!F60</f>
        <v>0</v>
      </c>
      <c r="G60" s="18">
        <f>上机信息表!H60</f>
        <v>0</v>
      </c>
      <c r="H60" s="18">
        <f>上机信息表!I60</f>
        <v>0</v>
      </c>
      <c r="I60" s="18">
        <f>IF(F60="DNA",上机信息表!I60*70,上机信息表!I60*100)</f>
        <v>0</v>
      </c>
      <c r="K60" s="33">
        <f>上机信息表!A60</f>
        <v>0</v>
      </c>
      <c r="L60" s="18">
        <f>上机信息表!J60</f>
        <v>0</v>
      </c>
      <c r="M60" s="18">
        <f>上机信息表!K60</f>
        <v>0</v>
      </c>
      <c r="N60" s="18">
        <f>上机信息表!L60</f>
        <v>0</v>
      </c>
      <c r="O60" s="18">
        <f>上机信息表!M60</f>
        <v>0</v>
      </c>
      <c r="P60" s="18">
        <f>上机信息表!N60</f>
        <v>0</v>
      </c>
      <c r="Q60" s="18">
        <f>上机信息表!O60</f>
        <v>0</v>
      </c>
      <c r="R60" s="18" t="str">
        <f>IF(C60=0,"","VMGZ22"&amp;TEXT(MID(pooling详情!$A$1,14,(FIND("期",pooling详情!$A$1)-FIND("第",pooling详情!$A$1)-1)),"0000"))</f>
        <v/>
      </c>
      <c r="S60" s="18">
        <f>上机信息表!P60</f>
        <v>0</v>
      </c>
      <c r="T60" s="18" t="str">
        <f>IF(C60=0,"",pooling详情!$G$66)</f>
        <v/>
      </c>
      <c r="U60" s="34" t="str">
        <f>IF(C60=0,"",pooling详情!$A$80)</f>
        <v/>
      </c>
      <c r="V60" s="34" t="str">
        <f t="shared" si="3"/>
        <v/>
      </c>
      <c r="W60" s="18">
        <f>上机信息表!X60</f>
        <v>0</v>
      </c>
      <c r="X60" s="18">
        <f>上机信息表!R60</f>
        <v>0</v>
      </c>
      <c r="Y60" t="str">
        <f t="shared" si="4"/>
        <v/>
      </c>
      <c r="Z60" t="str">
        <f>IFERROR(IF(Y60="RNA提取试剂盒",CONCATENATE(MID(上机信息表!Q60,SEARCH("提取",上机信息表!Q60),SEARCH("建",上机信息表!Q60)-2)),IF(Y60="DNA提取试剂盒",IF(ISNUMBER(FIND("呼吸道",上机信息表!Q60)),CONCATENATE(MID(上机信息表!Q60,SEARCH("提取",上机信息表!Q60),SEARCH(",",上机信息表!Q60,SEARCH("呼吸道",上机信息表!Q60))-1)),IF(ISNUMBER(FIND("组织",上机信息表!Q60)),CONCATENATE(MID(上机信息表!Q60,SEARCH("提取",上机信息表!Q60),SEARCH(",",上机信息表!Q60,SEARCH("组织",上机信息表!Q60))-1)),CONCATENATE(MID(上机信息表!Q60,SEARCH("提取",上机信息表!Q60),SEARCH(",",上机信息表!Q60)-1)))),"")),"")</f>
        <v/>
      </c>
      <c r="AA60" t="str">
        <f t="shared" si="5"/>
        <v/>
      </c>
      <c r="AB60" t="str">
        <f>IFERROR(IF(AA60="RNA建库试剂盒",MID(上机信息表!Q60,SEARCH("建库",上机信息表!Q60),20),IF(AA60="DNA建库试剂盒",MID(上机信息表!Q60,SEARCH("建库",上机信息表!Q60),20),"")),"")</f>
        <v/>
      </c>
      <c r="AC60" t="str">
        <f>IF(C60=0,"",CONCATENATE("芯片批号：",'IDseq-上机流程监控表'!$G$5,",","上机试剂批号：",'IDseq-上机流程监控表'!$G$6,",","Buffer批号：",'IDseq-上机流程监控表'!$G$7))</f>
        <v/>
      </c>
    </row>
    <row r="61" spans="1:29">
      <c r="A61" s="18" t="str">
        <f>IF(C61=0,"","YF23"&amp;TEXT(MID(pooling详情!$A$1,14,(FIND("期",pooling详情!$A$1)-FIND("第",pooling详情!$A$1)-1)),"0000"))</f>
        <v/>
      </c>
      <c r="B61" s="18">
        <f>上机信息表!G61</f>
        <v>0</v>
      </c>
      <c r="C61" s="18">
        <f>上机信息表!C61</f>
        <v>0</v>
      </c>
      <c r="D61" s="18">
        <f>上机信息表!D61</f>
        <v>0</v>
      </c>
      <c r="E61" s="18">
        <f>上机信息表!E61</f>
        <v>0</v>
      </c>
      <c r="F61" s="18">
        <f>上机信息表!F61</f>
        <v>0</v>
      </c>
      <c r="G61" s="18">
        <f>上机信息表!H61</f>
        <v>0</v>
      </c>
      <c r="H61" s="18">
        <f>上机信息表!I61</f>
        <v>0</v>
      </c>
      <c r="I61" s="18">
        <f>IF(F61="DNA",上机信息表!I61*70,上机信息表!I61*100)</f>
        <v>0</v>
      </c>
      <c r="K61" s="33">
        <f>上机信息表!A61</f>
        <v>0</v>
      </c>
      <c r="L61" s="18">
        <f>上机信息表!J61</f>
        <v>0</v>
      </c>
      <c r="M61" s="18">
        <f>上机信息表!K61</f>
        <v>0</v>
      </c>
      <c r="N61" s="18">
        <f>上机信息表!L61</f>
        <v>0</v>
      </c>
      <c r="O61" s="18">
        <f>上机信息表!M61</f>
        <v>0</v>
      </c>
      <c r="P61" s="18">
        <f>上机信息表!N61</f>
        <v>0</v>
      </c>
      <c r="Q61" s="18">
        <f>上机信息表!O61</f>
        <v>0</v>
      </c>
      <c r="R61" s="18" t="str">
        <f>IF(C61=0,"","VMGZ22"&amp;TEXT(MID(pooling详情!$A$1,14,(FIND("期",pooling详情!$A$1)-FIND("第",pooling详情!$A$1)-1)),"0000"))</f>
        <v/>
      </c>
      <c r="S61" s="18">
        <f>上机信息表!P61</f>
        <v>0</v>
      </c>
      <c r="T61" s="18" t="str">
        <f>IF(C61=0,"",pooling详情!$G$66)</f>
        <v/>
      </c>
      <c r="U61" s="34" t="str">
        <f>IF(C61=0,"",pooling详情!$A$80)</f>
        <v/>
      </c>
      <c r="V61" s="34" t="str">
        <f t="shared" si="3"/>
        <v/>
      </c>
      <c r="W61" s="18">
        <f>上机信息表!X61</f>
        <v>0</v>
      </c>
      <c r="X61" s="18">
        <f>上机信息表!R61</f>
        <v>0</v>
      </c>
      <c r="Y61" t="str">
        <f t="shared" si="4"/>
        <v/>
      </c>
      <c r="Z61" t="str">
        <f>IFERROR(IF(Y61="RNA提取试剂盒",CONCATENATE(MID(上机信息表!Q61,SEARCH("提取",上机信息表!Q61),SEARCH("建",上机信息表!Q61)-2)),IF(Y61="DNA提取试剂盒",IF(ISNUMBER(FIND("呼吸道",上机信息表!Q61)),CONCATENATE(MID(上机信息表!Q61,SEARCH("提取",上机信息表!Q61),SEARCH(",",上机信息表!Q61,SEARCH("呼吸道",上机信息表!Q61))-1)),IF(ISNUMBER(FIND("组织",上机信息表!Q61)),CONCATENATE(MID(上机信息表!Q61,SEARCH("提取",上机信息表!Q61),SEARCH(",",上机信息表!Q61,SEARCH("组织",上机信息表!Q61))-1)),CONCATENATE(MID(上机信息表!Q61,SEARCH("提取",上机信息表!Q61),SEARCH(",",上机信息表!Q61)-1)))),"")),"")</f>
        <v/>
      </c>
      <c r="AA61" t="str">
        <f t="shared" si="5"/>
        <v/>
      </c>
      <c r="AB61" t="str">
        <f>IFERROR(IF(AA61="RNA建库试剂盒",MID(上机信息表!Q61,SEARCH("建库",上机信息表!Q61),20),IF(AA61="DNA建库试剂盒",MID(上机信息表!Q61,SEARCH("建库",上机信息表!Q61),20),"")),"")</f>
        <v/>
      </c>
      <c r="AC61" t="str">
        <f>IF(C61=0,"",CONCATENATE("芯片批号：",'IDseq-上机流程监控表'!$G$5,",","上机试剂批号：",'IDseq-上机流程监控表'!$G$6,",","Buffer批号：",'IDseq-上机流程监控表'!$G$7))</f>
        <v/>
      </c>
    </row>
    <row r="62" spans="1:29">
      <c r="A62" s="18" t="str">
        <f>IF(C62=0,"","YF23"&amp;TEXT(MID(pooling详情!$A$1,14,(FIND("期",pooling详情!$A$1)-FIND("第",pooling详情!$A$1)-1)),"0000"))</f>
        <v/>
      </c>
      <c r="B62" s="18">
        <f>上机信息表!G62</f>
        <v>0</v>
      </c>
      <c r="C62" s="18">
        <f>上机信息表!C62</f>
        <v>0</v>
      </c>
      <c r="D62" s="18">
        <f>上机信息表!D62</f>
        <v>0</v>
      </c>
      <c r="E62" s="18">
        <f>上机信息表!E62</f>
        <v>0</v>
      </c>
      <c r="F62" s="18">
        <f>上机信息表!F62</f>
        <v>0</v>
      </c>
      <c r="G62" s="18">
        <f>上机信息表!H62</f>
        <v>0</v>
      </c>
      <c r="H62" s="18">
        <f>上机信息表!I62</f>
        <v>0</v>
      </c>
      <c r="I62" s="18">
        <f>IF(F62="DNA",上机信息表!I62*70,上机信息表!I62*100)</f>
        <v>0</v>
      </c>
      <c r="K62" s="33">
        <f>上机信息表!A62</f>
        <v>0</v>
      </c>
      <c r="L62" s="18">
        <f>上机信息表!J62</f>
        <v>0</v>
      </c>
      <c r="M62" s="18">
        <f>上机信息表!K62</f>
        <v>0</v>
      </c>
      <c r="N62" s="18">
        <f>上机信息表!L62</f>
        <v>0</v>
      </c>
      <c r="O62" s="18">
        <f>上机信息表!M62</f>
        <v>0</v>
      </c>
      <c r="P62" s="18">
        <f>上机信息表!N62</f>
        <v>0</v>
      </c>
      <c r="Q62" s="18">
        <f>上机信息表!O62</f>
        <v>0</v>
      </c>
      <c r="R62" s="18" t="str">
        <f>IF(C62=0,"","VMGZ22"&amp;TEXT(MID(pooling详情!$A$1,14,(FIND("期",pooling详情!$A$1)-FIND("第",pooling详情!$A$1)-1)),"0000"))</f>
        <v/>
      </c>
      <c r="S62" s="18">
        <f>上机信息表!P62</f>
        <v>0</v>
      </c>
      <c r="T62" s="18" t="str">
        <f>IF(C62=0,"",pooling详情!$G$66)</f>
        <v/>
      </c>
      <c r="U62" s="34" t="str">
        <f>IF(C62=0,"",pooling详情!$A$80)</f>
        <v/>
      </c>
      <c r="V62" s="34" t="str">
        <f t="shared" si="3"/>
        <v/>
      </c>
      <c r="W62" s="18">
        <f>上机信息表!X62</f>
        <v>0</v>
      </c>
      <c r="X62" s="18">
        <f>上机信息表!R62</f>
        <v>0</v>
      </c>
      <c r="Y62" t="str">
        <f t="shared" si="4"/>
        <v/>
      </c>
      <c r="Z62" t="str">
        <f>IFERROR(IF(Y62="RNA提取试剂盒",CONCATENATE(MID(上机信息表!Q62,SEARCH("提取",上机信息表!Q62),SEARCH("建",上机信息表!Q62)-2)),IF(Y62="DNA提取试剂盒",IF(ISNUMBER(FIND("呼吸道",上机信息表!Q62)),CONCATENATE(MID(上机信息表!Q62,SEARCH("提取",上机信息表!Q62),SEARCH(",",上机信息表!Q62,SEARCH("呼吸道",上机信息表!Q62))-1)),IF(ISNUMBER(FIND("组织",上机信息表!Q62)),CONCATENATE(MID(上机信息表!Q62,SEARCH("提取",上机信息表!Q62),SEARCH(",",上机信息表!Q62,SEARCH("组织",上机信息表!Q62))-1)),CONCATENATE(MID(上机信息表!Q62,SEARCH("提取",上机信息表!Q62),SEARCH(",",上机信息表!Q62)-1)))),"")),"")</f>
        <v/>
      </c>
      <c r="AA62" t="str">
        <f t="shared" si="5"/>
        <v/>
      </c>
      <c r="AB62" t="str">
        <f>IFERROR(IF(AA62="RNA建库试剂盒",MID(上机信息表!Q62,SEARCH("建库",上机信息表!Q62),20),IF(AA62="DNA建库试剂盒",MID(上机信息表!Q62,SEARCH("建库",上机信息表!Q62),20),"")),"")</f>
        <v/>
      </c>
      <c r="AC62" t="str">
        <f>IF(C62=0,"",CONCATENATE("芯片批号：",'IDseq-上机流程监控表'!$G$5,",","上机试剂批号：",'IDseq-上机流程监控表'!$G$6,",","Buffer批号：",'IDseq-上机流程监控表'!$G$7))</f>
        <v/>
      </c>
    </row>
    <row r="63" spans="1:29">
      <c r="A63" s="18" t="str">
        <f>IF(C63=0,"","YF23"&amp;TEXT(MID(pooling详情!$A$1,14,(FIND("期",pooling详情!$A$1)-FIND("第",pooling详情!$A$1)-1)),"0000"))</f>
        <v/>
      </c>
      <c r="B63" s="18">
        <f>上机信息表!G63</f>
        <v>0</v>
      </c>
      <c r="C63" s="18">
        <f>上机信息表!C63</f>
        <v>0</v>
      </c>
      <c r="D63" s="18">
        <f>上机信息表!D63</f>
        <v>0</v>
      </c>
      <c r="E63" s="18">
        <f>上机信息表!E63</f>
        <v>0</v>
      </c>
      <c r="F63" s="18">
        <f>上机信息表!F63</f>
        <v>0</v>
      </c>
      <c r="G63" s="18">
        <f>上机信息表!H63</f>
        <v>0</v>
      </c>
      <c r="H63" s="18">
        <f>上机信息表!I63</f>
        <v>0</v>
      </c>
      <c r="I63" s="18">
        <f>IF(F63="DNA",上机信息表!I63*70,上机信息表!I63*100)</f>
        <v>0</v>
      </c>
      <c r="K63" s="33">
        <f>上机信息表!A63</f>
        <v>0</v>
      </c>
      <c r="L63" s="18">
        <f>上机信息表!J63</f>
        <v>0</v>
      </c>
      <c r="M63" s="18">
        <f>上机信息表!K63</f>
        <v>0</v>
      </c>
      <c r="N63" s="18">
        <f>上机信息表!L63</f>
        <v>0</v>
      </c>
      <c r="O63" s="18">
        <f>上机信息表!M63</f>
        <v>0</v>
      </c>
      <c r="P63" s="18">
        <f>上机信息表!N63</f>
        <v>0</v>
      </c>
      <c r="Q63" s="18">
        <f>上机信息表!O63</f>
        <v>0</v>
      </c>
      <c r="R63" s="18" t="str">
        <f>IF(C63=0,"","VMGZ22"&amp;TEXT(MID(pooling详情!$A$1,14,(FIND("期",pooling详情!$A$1)-FIND("第",pooling详情!$A$1)-1)),"0000"))</f>
        <v/>
      </c>
      <c r="S63" s="18">
        <f>上机信息表!P63</f>
        <v>0</v>
      </c>
      <c r="T63" s="18" t="str">
        <f>IF(C63=0,"",pooling详情!$G$66)</f>
        <v/>
      </c>
      <c r="U63" s="34" t="str">
        <f>IF(C63=0,"",pooling详情!$A$80)</f>
        <v/>
      </c>
      <c r="V63" s="34" t="str">
        <f t="shared" si="3"/>
        <v/>
      </c>
      <c r="W63" s="18">
        <f>上机信息表!X63</f>
        <v>0</v>
      </c>
      <c r="X63" s="18">
        <f>上机信息表!R63</f>
        <v>0</v>
      </c>
      <c r="Y63" t="str">
        <f t="shared" si="4"/>
        <v/>
      </c>
      <c r="Z63" t="str">
        <f>IFERROR(IF(Y63="RNA提取试剂盒",CONCATENATE(MID(上机信息表!Q63,SEARCH("提取",上机信息表!Q63),SEARCH("建",上机信息表!Q63)-2)),IF(Y63="DNA提取试剂盒",IF(ISNUMBER(FIND("呼吸道",上机信息表!Q63)),CONCATENATE(MID(上机信息表!Q63,SEARCH("提取",上机信息表!Q63),SEARCH(",",上机信息表!Q63,SEARCH("呼吸道",上机信息表!Q63))-1)),IF(ISNUMBER(FIND("组织",上机信息表!Q63)),CONCATENATE(MID(上机信息表!Q63,SEARCH("提取",上机信息表!Q63),SEARCH(",",上机信息表!Q63,SEARCH("组织",上机信息表!Q63))-1)),CONCATENATE(MID(上机信息表!Q63,SEARCH("提取",上机信息表!Q63),SEARCH(",",上机信息表!Q63)-1)))),"")),"")</f>
        <v/>
      </c>
      <c r="AA63" t="str">
        <f t="shared" si="5"/>
        <v/>
      </c>
      <c r="AB63" t="str">
        <f>IFERROR(IF(AA63="RNA建库试剂盒",MID(上机信息表!Q63,SEARCH("建库",上机信息表!Q63),20),IF(AA63="DNA建库试剂盒",MID(上机信息表!Q63,SEARCH("建库",上机信息表!Q63),20),"")),"")</f>
        <v/>
      </c>
      <c r="AC63" t="str">
        <f>IF(C63=0,"",CONCATENATE("芯片批号：",'IDseq-上机流程监控表'!$G$5,",","上机试剂批号：",'IDseq-上机流程监控表'!$G$6,",","Buffer批号：",'IDseq-上机流程监控表'!$G$7))</f>
        <v/>
      </c>
    </row>
    <row r="64" spans="1:29">
      <c r="A64" s="18" t="str">
        <f>IF(C64=0,"","YF23"&amp;TEXT(MID(pooling详情!$A$1,14,(FIND("期",pooling详情!$A$1)-FIND("第",pooling详情!$A$1)-1)),"0000"))</f>
        <v/>
      </c>
      <c r="B64" s="18">
        <f>上机信息表!G64</f>
        <v>0</v>
      </c>
      <c r="C64" s="18">
        <f>上机信息表!C64</f>
        <v>0</v>
      </c>
      <c r="D64" s="18">
        <f>上机信息表!D64</f>
        <v>0</v>
      </c>
      <c r="E64" s="18">
        <f>上机信息表!E64</f>
        <v>0</v>
      </c>
      <c r="F64" s="18">
        <f>上机信息表!F64</f>
        <v>0</v>
      </c>
      <c r="G64" s="18">
        <f>上机信息表!H64</f>
        <v>0</v>
      </c>
      <c r="H64" s="18">
        <f>上机信息表!I64</f>
        <v>0</v>
      </c>
      <c r="I64" s="18">
        <f>IF(F64="DNA",上机信息表!I64*70,上机信息表!I64*100)</f>
        <v>0</v>
      </c>
      <c r="K64" s="33">
        <f>上机信息表!A64</f>
        <v>0</v>
      </c>
      <c r="L64" s="18">
        <f>上机信息表!J64</f>
        <v>0</v>
      </c>
      <c r="M64" s="18">
        <f>上机信息表!K64</f>
        <v>0</v>
      </c>
      <c r="N64" s="18">
        <f>上机信息表!L64</f>
        <v>0</v>
      </c>
      <c r="O64" s="18">
        <f>上机信息表!M64</f>
        <v>0</v>
      </c>
      <c r="P64" s="18">
        <f>上机信息表!N64</f>
        <v>0</v>
      </c>
      <c r="Q64" s="18">
        <f>上机信息表!O64</f>
        <v>0</v>
      </c>
      <c r="R64" s="18" t="str">
        <f>IF(C64=0,"","VMGZ22"&amp;TEXT(MID(pooling详情!$A$1,14,(FIND("期",pooling详情!$A$1)-FIND("第",pooling详情!$A$1)-1)),"0000"))</f>
        <v/>
      </c>
      <c r="S64" s="18">
        <f>上机信息表!P64</f>
        <v>0</v>
      </c>
      <c r="T64" s="18" t="str">
        <f>IF(C64=0,"",pooling详情!$G$66)</f>
        <v/>
      </c>
      <c r="U64" s="34" t="str">
        <f>IF(C64=0,"",pooling详情!$A$80)</f>
        <v/>
      </c>
      <c r="V64" s="34" t="str">
        <f t="shared" si="3"/>
        <v/>
      </c>
      <c r="W64" s="18">
        <f>上机信息表!X64</f>
        <v>0</v>
      </c>
      <c r="X64" s="18">
        <f>上机信息表!R64</f>
        <v>0</v>
      </c>
      <c r="Y64" t="str">
        <f t="shared" si="4"/>
        <v/>
      </c>
      <c r="Z64" t="str">
        <f>IFERROR(IF(Y64="RNA提取试剂盒",CONCATENATE(MID(上机信息表!Q64,SEARCH("提取",上机信息表!Q64),SEARCH("建",上机信息表!Q64)-2)),IF(Y64="DNA提取试剂盒",IF(ISNUMBER(FIND("呼吸道",上机信息表!Q64)),CONCATENATE(MID(上机信息表!Q64,SEARCH("提取",上机信息表!Q64),SEARCH(",",上机信息表!Q64,SEARCH("呼吸道",上机信息表!Q64))-1)),IF(ISNUMBER(FIND("组织",上机信息表!Q64)),CONCATENATE(MID(上机信息表!Q64,SEARCH("提取",上机信息表!Q64),SEARCH(",",上机信息表!Q64,SEARCH("组织",上机信息表!Q64))-1)),CONCATENATE(MID(上机信息表!Q64,SEARCH("提取",上机信息表!Q64),SEARCH(",",上机信息表!Q64)-1)))),"")),"")</f>
        <v/>
      </c>
      <c r="AA64" t="str">
        <f t="shared" si="5"/>
        <v/>
      </c>
      <c r="AB64" t="str">
        <f>IFERROR(IF(AA64="RNA建库试剂盒",MID(上机信息表!Q64,SEARCH("建库",上机信息表!Q64),20),IF(AA64="DNA建库试剂盒",MID(上机信息表!Q64,SEARCH("建库",上机信息表!Q64),20),"")),"")</f>
        <v/>
      </c>
      <c r="AC64" t="str">
        <f>IF(C64=0,"",CONCATENATE("芯片批号：",'IDseq-上机流程监控表'!$G$5,",","上机试剂批号：",'IDseq-上机流程监控表'!$G$6,",","Buffer批号：",'IDseq-上机流程监控表'!$G$7))</f>
        <v/>
      </c>
    </row>
    <row r="65" spans="1:29">
      <c r="A65" s="18" t="str">
        <f>IF(C65=0,"","YF23"&amp;TEXT(MID(pooling详情!$A$1,14,(FIND("期",pooling详情!$A$1)-FIND("第",pooling详情!$A$1)-1)),"0000"))</f>
        <v/>
      </c>
      <c r="B65" s="18">
        <f>上机信息表!G65</f>
        <v>0</v>
      </c>
      <c r="C65" s="18">
        <f>上机信息表!C65</f>
        <v>0</v>
      </c>
      <c r="D65" s="18">
        <f>上机信息表!D65</f>
        <v>0</v>
      </c>
      <c r="E65" s="18">
        <f>上机信息表!E65</f>
        <v>0</v>
      </c>
      <c r="F65" s="18">
        <f>上机信息表!F65</f>
        <v>0</v>
      </c>
      <c r="G65" s="18">
        <f>上机信息表!H65</f>
        <v>0</v>
      </c>
      <c r="H65" s="18">
        <f>上机信息表!I65</f>
        <v>0</v>
      </c>
      <c r="I65" s="18">
        <f>IF(F65="DNA",上机信息表!I65*70,上机信息表!I65*100)</f>
        <v>0</v>
      </c>
      <c r="K65" s="33">
        <f>上机信息表!A65</f>
        <v>0</v>
      </c>
      <c r="L65" s="18">
        <f>上机信息表!J65</f>
        <v>0</v>
      </c>
      <c r="M65" s="18">
        <f>上机信息表!K65</f>
        <v>0</v>
      </c>
      <c r="N65" s="18">
        <f>上机信息表!L65</f>
        <v>0</v>
      </c>
      <c r="O65" s="18">
        <f>上机信息表!M65</f>
        <v>0</v>
      </c>
      <c r="P65" s="18">
        <f>上机信息表!N65</f>
        <v>0</v>
      </c>
      <c r="Q65" s="18">
        <f>上机信息表!O65</f>
        <v>0</v>
      </c>
      <c r="R65" s="18" t="str">
        <f>IF(C65=0,"","VMGZ22"&amp;TEXT(MID(pooling详情!$A$1,14,(FIND("期",pooling详情!$A$1)-FIND("第",pooling详情!$A$1)-1)),"0000"))</f>
        <v/>
      </c>
      <c r="S65" s="18">
        <f>上机信息表!P65</f>
        <v>0</v>
      </c>
      <c r="T65" s="18" t="str">
        <f>IF(C65=0,"",pooling详情!$G$66)</f>
        <v/>
      </c>
      <c r="U65" s="34" t="str">
        <f>IF(C65=0,"",pooling详情!$A$80)</f>
        <v/>
      </c>
      <c r="V65" s="34" t="str">
        <f t="shared" si="3"/>
        <v/>
      </c>
      <c r="W65" s="18">
        <f>上机信息表!X65</f>
        <v>0</v>
      </c>
      <c r="X65" s="18">
        <f>上机信息表!R65</f>
        <v>0</v>
      </c>
      <c r="Y65" t="str">
        <f t="shared" si="4"/>
        <v/>
      </c>
      <c r="Z65" t="str">
        <f>IFERROR(IF(Y65="RNA提取试剂盒",CONCATENATE(MID(上机信息表!Q65,SEARCH("提取",上机信息表!Q65),SEARCH("建",上机信息表!Q65)-2)),IF(Y65="DNA提取试剂盒",IF(ISNUMBER(FIND("呼吸道",上机信息表!Q65)),CONCATENATE(MID(上机信息表!Q65,SEARCH("提取",上机信息表!Q65),SEARCH(",",上机信息表!Q65,SEARCH("呼吸道",上机信息表!Q65))-1)),IF(ISNUMBER(FIND("组织",上机信息表!Q65)),CONCATENATE(MID(上机信息表!Q65,SEARCH("提取",上机信息表!Q65),SEARCH(",",上机信息表!Q65,SEARCH("组织",上机信息表!Q65))-1)),CONCATENATE(MID(上机信息表!Q65,SEARCH("提取",上机信息表!Q65),SEARCH(",",上机信息表!Q65)-1)))),"")),"")</f>
        <v/>
      </c>
      <c r="AA65" t="str">
        <f t="shared" si="5"/>
        <v/>
      </c>
      <c r="AB65" t="str">
        <f>IFERROR(IF(AA65="RNA建库试剂盒",MID(上机信息表!Q65,SEARCH("建库",上机信息表!Q65),20),IF(AA65="DNA建库试剂盒",MID(上机信息表!Q65,SEARCH("建库",上机信息表!Q65),20),"")),"")</f>
        <v/>
      </c>
      <c r="AC65" t="str">
        <f>IF(C65=0,"",CONCATENATE("芯片批号：",'IDseq-上机流程监控表'!$G$5,",","上机试剂批号：",'IDseq-上机流程监控表'!$G$6,",","Buffer批号：",'IDseq-上机流程监控表'!$G$7))</f>
        <v/>
      </c>
    </row>
    <row r="66" spans="1:29">
      <c r="A66" s="18" t="str">
        <f>IF(C66=0,"","YF23"&amp;TEXT(MID(pooling详情!$A$1,14,(FIND("期",pooling详情!$A$1)-FIND("第",pooling详情!$A$1)-1)),"0000"))</f>
        <v/>
      </c>
      <c r="B66" s="18">
        <f>上机信息表!G66</f>
        <v>0</v>
      </c>
      <c r="C66" s="18">
        <f>上机信息表!C66</f>
        <v>0</v>
      </c>
      <c r="D66" s="18">
        <f>上机信息表!D66</f>
        <v>0</v>
      </c>
      <c r="E66" s="18">
        <f>上机信息表!E66</f>
        <v>0</v>
      </c>
      <c r="F66" s="18">
        <f>上机信息表!F66</f>
        <v>0</v>
      </c>
      <c r="G66" s="18">
        <f>上机信息表!H66</f>
        <v>0</v>
      </c>
      <c r="H66" s="18">
        <f>上机信息表!I66</f>
        <v>0</v>
      </c>
      <c r="I66" s="18">
        <f>IF(F66="DNA",上机信息表!I66*70,上机信息表!I66*100)</f>
        <v>0</v>
      </c>
      <c r="K66" s="33">
        <f>上机信息表!A66</f>
        <v>0</v>
      </c>
      <c r="L66" s="18">
        <f>上机信息表!J66</f>
        <v>0</v>
      </c>
      <c r="M66" s="18">
        <f>上机信息表!K66</f>
        <v>0</v>
      </c>
      <c r="N66" s="18">
        <f>上机信息表!L66</f>
        <v>0</v>
      </c>
      <c r="O66" s="18">
        <f>上机信息表!M66</f>
        <v>0</v>
      </c>
      <c r="P66" s="18">
        <f>上机信息表!N66</f>
        <v>0</v>
      </c>
      <c r="Q66" s="18">
        <f>上机信息表!O66</f>
        <v>0</v>
      </c>
      <c r="R66" s="18" t="str">
        <f>IF(C66=0,"","VMGZ22"&amp;TEXT(MID(pooling详情!$A$1,14,(FIND("期",pooling详情!$A$1)-FIND("第",pooling详情!$A$1)-1)),"0000"))</f>
        <v/>
      </c>
      <c r="S66" s="18">
        <f>上机信息表!P66</f>
        <v>0</v>
      </c>
      <c r="T66" s="18" t="str">
        <f>IF(C66=0,"",pooling详情!$G$66)</f>
        <v/>
      </c>
      <c r="U66" s="34" t="str">
        <f>IF(C66=0,"",pooling详情!$A$80)</f>
        <v/>
      </c>
      <c r="V66" s="34" t="str">
        <f t="shared" si="3"/>
        <v/>
      </c>
      <c r="W66" s="18">
        <f>上机信息表!X66</f>
        <v>0</v>
      </c>
      <c r="X66" s="18">
        <f>上机信息表!R66</f>
        <v>0</v>
      </c>
      <c r="Y66" t="str">
        <f t="shared" si="4"/>
        <v/>
      </c>
      <c r="Z66" t="str">
        <f>IFERROR(IF(Y66="RNA提取试剂盒",CONCATENATE(MID(上机信息表!Q66,SEARCH("提取",上机信息表!Q66),SEARCH("建",上机信息表!Q66)-2)),IF(Y66="DNA提取试剂盒",IF(ISNUMBER(FIND("呼吸道",上机信息表!Q66)),CONCATENATE(MID(上机信息表!Q66,SEARCH("提取",上机信息表!Q66),SEARCH(",",上机信息表!Q66,SEARCH("呼吸道",上机信息表!Q66))-1)),IF(ISNUMBER(FIND("组织",上机信息表!Q66)),CONCATENATE(MID(上机信息表!Q66,SEARCH("提取",上机信息表!Q66),SEARCH(",",上机信息表!Q66,SEARCH("组织",上机信息表!Q66))-1)),CONCATENATE(MID(上机信息表!Q66,SEARCH("提取",上机信息表!Q66),SEARCH(",",上机信息表!Q66)-1)))),"")),"")</f>
        <v/>
      </c>
      <c r="AA66" t="str">
        <f t="shared" si="5"/>
        <v/>
      </c>
      <c r="AB66" t="str">
        <f>IFERROR(IF(AA66="RNA建库试剂盒",MID(上机信息表!Q66,SEARCH("建库",上机信息表!Q66),20),IF(AA66="DNA建库试剂盒",MID(上机信息表!Q66,SEARCH("建库",上机信息表!Q66),20),"")),"")</f>
        <v/>
      </c>
      <c r="AC66" t="str">
        <f>IF(C66=0,"",CONCATENATE("芯片批号：",'IDseq-上机流程监控表'!$G$5,",","上机试剂批号：",'IDseq-上机流程监控表'!$G$6,",","Buffer批号：",'IDseq-上机流程监控表'!$G$7))</f>
        <v/>
      </c>
    </row>
    <row r="67" spans="1:29">
      <c r="A67" s="18" t="str">
        <f>IF(C67=0,"","YF23"&amp;TEXT(MID(pooling详情!$A$1,14,(FIND("期",pooling详情!$A$1)-FIND("第",pooling详情!$A$1)-1)),"0000"))</f>
        <v/>
      </c>
      <c r="B67" s="18">
        <f>上机信息表!G67</f>
        <v>0</v>
      </c>
      <c r="C67" s="18">
        <f>上机信息表!C67</f>
        <v>0</v>
      </c>
      <c r="D67" s="18">
        <f>上机信息表!D67</f>
        <v>0</v>
      </c>
      <c r="E67" s="18">
        <f>上机信息表!E67</f>
        <v>0</v>
      </c>
      <c r="F67" s="18">
        <f>上机信息表!F67</f>
        <v>0</v>
      </c>
      <c r="G67" s="18">
        <f>上机信息表!H67</f>
        <v>0</v>
      </c>
      <c r="H67" s="18">
        <f>上机信息表!I67</f>
        <v>0</v>
      </c>
      <c r="I67" s="18">
        <f>IF(F67="DNA",上机信息表!I67*70,上机信息表!I67*100)</f>
        <v>0</v>
      </c>
      <c r="K67" s="33">
        <f>上机信息表!A67</f>
        <v>0</v>
      </c>
      <c r="L67" s="18">
        <f>上机信息表!J67</f>
        <v>0</v>
      </c>
      <c r="M67" s="18">
        <f>上机信息表!K67</f>
        <v>0</v>
      </c>
      <c r="N67" s="18">
        <f>上机信息表!L67</f>
        <v>0</v>
      </c>
      <c r="O67" s="18">
        <f>上机信息表!M67</f>
        <v>0</v>
      </c>
      <c r="P67" s="18">
        <f>上机信息表!N67</f>
        <v>0</v>
      </c>
      <c r="Q67" s="18">
        <f>上机信息表!O67</f>
        <v>0</v>
      </c>
      <c r="R67" s="18" t="str">
        <f>IF(C67=0,"","VMGZ22"&amp;TEXT(MID(pooling详情!$A$1,14,(FIND("期",pooling详情!$A$1)-FIND("第",pooling详情!$A$1)-1)),"0000"))</f>
        <v/>
      </c>
      <c r="S67" s="18">
        <f>上机信息表!P67</f>
        <v>0</v>
      </c>
      <c r="T67" s="18" t="str">
        <f>IF(C67=0,"",pooling详情!$G$66)</f>
        <v/>
      </c>
      <c r="U67" s="34" t="str">
        <f>IF(C67=0,"",pooling详情!$A$80)</f>
        <v/>
      </c>
      <c r="V67" s="34" t="str">
        <f t="shared" ref="V67:V101" si="6">IF(C67=0,"","illumina")</f>
        <v/>
      </c>
      <c r="W67" s="18">
        <f>上机信息表!X67</f>
        <v>0</v>
      </c>
      <c r="X67" s="18">
        <f>上机信息表!R67</f>
        <v>0</v>
      </c>
      <c r="Y67" t="str">
        <f t="shared" ref="Y67:Y101" si="7">IF(F67="RNA","RNA提取试剂盒",IF(LEFT(F67,3)="DNA","DNA提取试剂盒",""))</f>
        <v/>
      </c>
      <c r="Z67" t="str">
        <f>IFERROR(IF(Y67="RNA提取试剂盒",CONCATENATE(MID(上机信息表!Q67,SEARCH("提取",上机信息表!Q67),SEARCH("建",上机信息表!Q67)-2)),IF(Y67="DNA提取试剂盒",IF(ISNUMBER(FIND("呼吸道",上机信息表!Q67)),CONCATENATE(MID(上机信息表!Q67,SEARCH("提取",上机信息表!Q67),SEARCH(",",上机信息表!Q67,SEARCH("呼吸道",上机信息表!Q67))-1)),IF(ISNUMBER(FIND("组织",上机信息表!Q67)),CONCATENATE(MID(上机信息表!Q67,SEARCH("提取",上机信息表!Q67),SEARCH(",",上机信息表!Q67,SEARCH("组织",上机信息表!Q67))-1)),CONCATENATE(MID(上机信息表!Q67,SEARCH("提取",上机信息表!Q67),SEARCH(",",上机信息表!Q67)-1)))),"")),"")</f>
        <v/>
      </c>
      <c r="AA67" t="str">
        <f t="shared" ref="AA67:AA101" si="8">IF(F67="RNA","RNA建库试剂盒",IF(LEFT(F67,3)="DNA","DNA建库试剂盒",""))</f>
        <v/>
      </c>
      <c r="AB67" t="str">
        <f>IFERROR(IF(AA67="RNA建库试剂盒",MID(上机信息表!Q67,SEARCH("建库",上机信息表!Q67),20),IF(AA67="DNA建库试剂盒",MID(上机信息表!Q67,SEARCH("建库",上机信息表!Q67),20),"")),"")</f>
        <v/>
      </c>
      <c r="AC67" t="str">
        <f>IF(C67=0,"",CONCATENATE("芯片批号：",'IDseq-上机流程监控表'!$G$5,",","上机试剂批号：",'IDseq-上机流程监控表'!$G$6,",","Buffer批号：",'IDseq-上机流程监控表'!$G$7))</f>
        <v/>
      </c>
    </row>
    <row r="68" spans="1:29">
      <c r="A68" s="18" t="str">
        <f>IF(C68=0,"","YF23"&amp;TEXT(MID(pooling详情!$A$1,14,(FIND("期",pooling详情!$A$1)-FIND("第",pooling详情!$A$1)-1)),"0000"))</f>
        <v/>
      </c>
      <c r="B68" s="18">
        <f>上机信息表!G68</f>
        <v>0</v>
      </c>
      <c r="C68" s="18">
        <f>上机信息表!C68</f>
        <v>0</v>
      </c>
      <c r="D68" s="18">
        <f>上机信息表!D68</f>
        <v>0</v>
      </c>
      <c r="E68" s="18">
        <f>上机信息表!E68</f>
        <v>0</v>
      </c>
      <c r="F68" s="18">
        <f>上机信息表!F68</f>
        <v>0</v>
      </c>
      <c r="G68" s="18">
        <f>上机信息表!H68</f>
        <v>0</v>
      </c>
      <c r="H68" s="18">
        <f>上机信息表!I68</f>
        <v>0</v>
      </c>
      <c r="I68" s="18">
        <f>IF(F68="DNA",上机信息表!I68*70,上机信息表!I68*100)</f>
        <v>0</v>
      </c>
      <c r="K68" s="33">
        <f>上机信息表!A68</f>
        <v>0</v>
      </c>
      <c r="L68" s="18">
        <f>上机信息表!J68</f>
        <v>0</v>
      </c>
      <c r="M68" s="18">
        <f>上机信息表!K68</f>
        <v>0</v>
      </c>
      <c r="N68" s="18">
        <f>上机信息表!L68</f>
        <v>0</v>
      </c>
      <c r="O68" s="18">
        <f>上机信息表!M68</f>
        <v>0</v>
      </c>
      <c r="P68" s="18">
        <f>上机信息表!N68</f>
        <v>0</v>
      </c>
      <c r="Q68" s="18">
        <f>上机信息表!O68</f>
        <v>0</v>
      </c>
      <c r="R68" s="18" t="str">
        <f>IF(C68=0,"","VMGZ22"&amp;TEXT(MID(pooling详情!$A$1,14,(FIND("期",pooling详情!$A$1)-FIND("第",pooling详情!$A$1)-1)),"0000"))</f>
        <v/>
      </c>
      <c r="S68" s="18">
        <f>上机信息表!P68</f>
        <v>0</v>
      </c>
      <c r="T68" s="18" t="str">
        <f>IF(C68=0,"",pooling详情!$G$66)</f>
        <v/>
      </c>
      <c r="U68" s="34" t="str">
        <f>IF(C68=0,"",pooling详情!$A$80)</f>
        <v/>
      </c>
      <c r="V68" s="34" t="str">
        <f t="shared" si="6"/>
        <v/>
      </c>
      <c r="W68" s="18">
        <f>上机信息表!X68</f>
        <v>0</v>
      </c>
      <c r="X68" s="18">
        <f>上机信息表!R68</f>
        <v>0</v>
      </c>
      <c r="Y68" t="str">
        <f t="shared" si="7"/>
        <v/>
      </c>
      <c r="Z68" t="str">
        <f>IFERROR(IF(Y68="RNA提取试剂盒",CONCATENATE(MID(上机信息表!Q68,SEARCH("提取",上机信息表!Q68),SEARCH("建",上机信息表!Q68)-2)),IF(Y68="DNA提取试剂盒",IF(ISNUMBER(FIND("呼吸道",上机信息表!Q68)),CONCATENATE(MID(上机信息表!Q68,SEARCH("提取",上机信息表!Q68),SEARCH(",",上机信息表!Q68,SEARCH("呼吸道",上机信息表!Q68))-1)),IF(ISNUMBER(FIND("组织",上机信息表!Q68)),CONCATENATE(MID(上机信息表!Q68,SEARCH("提取",上机信息表!Q68),SEARCH(",",上机信息表!Q68,SEARCH("组织",上机信息表!Q68))-1)),CONCATENATE(MID(上机信息表!Q68,SEARCH("提取",上机信息表!Q68),SEARCH(",",上机信息表!Q68)-1)))),"")),"")</f>
        <v/>
      </c>
      <c r="AA68" t="str">
        <f t="shared" si="8"/>
        <v/>
      </c>
      <c r="AB68" t="str">
        <f>IFERROR(IF(AA68="RNA建库试剂盒",MID(上机信息表!Q68,SEARCH("建库",上机信息表!Q68),20),IF(AA68="DNA建库试剂盒",MID(上机信息表!Q68,SEARCH("建库",上机信息表!Q68),20),"")),"")</f>
        <v/>
      </c>
      <c r="AC68" t="str">
        <f>IF(C68=0,"",CONCATENATE("芯片批号：",'IDseq-上机流程监控表'!$G$5,",","上机试剂批号：",'IDseq-上机流程监控表'!$G$6,",","Buffer批号：",'IDseq-上机流程监控表'!$G$7))</f>
        <v/>
      </c>
    </row>
    <row r="69" spans="1:29">
      <c r="A69" s="18" t="str">
        <f>IF(C69=0,"","YF23"&amp;TEXT(MID(pooling详情!$A$1,14,(FIND("期",pooling详情!$A$1)-FIND("第",pooling详情!$A$1)-1)),"0000"))</f>
        <v/>
      </c>
      <c r="B69" s="18">
        <f>上机信息表!G69</f>
        <v>0</v>
      </c>
      <c r="C69" s="18">
        <f>上机信息表!C69</f>
        <v>0</v>
      </c>
      <c r="D69" s="18">
        <f>上机信息表!D69</f>
        <v>0</v>
      </c>
      <c r="E69" s="18">
        <f>上机信息表!E69</f>
        <v>0</v>
      </c>
      <c r="F69" s="18">
        <f>上机信息表!F69</f>
        <v>0</v>
      </c>
      <c r="G69" s="18">
        <f>上机信息表!H69</f>
        <v>0</v>
      </c>
      <c r="H69" s="18">
        <f>上机信息表!I69</f>
        <v>0</v>
      </c>
      <c r="I69" s="18">
        <f>IF(F69="DNA",上机信息表!I69*70,上机信息表!I69*100)</f>
        <v>0</v>
      </c>
      <c r="K69" s="33">
        <f>上机信息表!A69</f>
        <v>0</v>
      </c>
      <c r="L69" s="18">
        <f>上机信息表!J69</f>
        <v>0</v>
      </c>
      <c r="M69" s="18">
        <f>上机信息表!K69</f>
        <v>0</v>
      </c>
      <c r="N69" s="18">
        <f>上机信息表!L69</f>
        <v>0</v>
      </c>
      <c r="O69" s="18">
        <f>上机信息表!M69</f>
        <v>0</v>
      </c>
      <c r="P69" s="18">
        <f>上机信息表!N69</f>
        <v>0</v>
      </c>
      <c r="Q69" s="18">
        <f>上机信息表!O69</f>
        <v>0</v>
      </c>
      <c r="R69" s="18" t="str">
        <f>IF(C69=0,"","VMGZ22"&amp;TEXT(MID(pooling详情!$A$1,14,(FIND("期",pooling详情!$A$1)-FIND("第",pooling详情!$A$1)-1)),"0000"))</f>
        <v/>
      </c>
      <c r="S69" s="18">
        <f>上机信息表!P69</f>
        <v>0</v>
      </c>
      <c r="T69" s="18" t="str">
        <f>IF(C69=0,"",pooling详情!$G$66)</f>
        <v/>
      </c>
      <c r="U69" s="34" t="str">
        <f>IF(C69=0,"",pooling详情!$A$80)</f>
        <v/>
      </c>
      <c r="V69" s="34" t="str">
        <f t="shared" si="6"/>
        <v/>
      </c>
      <c r="W69" s="18">
        <f>上机信息表!X69</f>
        <v>0</v>
      </c>
      <c r="X69" s="18">
        <f>上机信息表!R69</f>
        <v>0</v>
      </c>
      <c r="Y69" t="str">
        <f t="shared" si="7"/>
        <v/>
      </c>
      <c r="Z69" t="str">
        <f>IFERROR(IF(Y69="RNA提取试剂盒",CONCATENATE(MID(上机信息表!Q69,SEARCH("提取",上机信息表!Q69),SEARCH("建",上机信息表!Q69)-2)),IF(Y69="DNA提取试剂盒",IF(ISNUMBER(FIND("呼吸道",上机信息表!Q69)),CONCATENATE(MID(上机信息表!Q69,SEARCH("提取",上机信息表!Q69),SEARCH(",",上机信息表!Q69,SEARCH("呼吸道",上机信息表!Q69))-1)),IF(ISNUMBER(FIND("组织",上机信息表!Q69)),CONCATENATE(MID(上机信息表!Q69,SEARCH("提取",上机信息表!Q69),SEARCH(",",上机信息表!Q69,SEARCH("组织",上机信息表!Q69))-1)),CONCATENATE(MID(上机信息表!Q69,SEARCH("提取",上机信息表!Q69),SEARCH(",",上机信息表!Q69)-1)))),"")),"")</f>
        <v/>
      </c>
      <c r="AA69" t="str">
        <f t="shared" si="8"/>
        <v/>
      </c>
      <c r="AB69" t="str">
        <f>IFERROR(IF(AA69="RNA建库试剂盒",MID(上机信息表!Q69,SEARCH("建库",上机信息表!Q69),20),IF(AA69="DNA建库试剂盒",MID(上机信息表!Q69,SEARCH("建库",上机信息表!Q69),20),"")),"")</f>
        <v/>
      </c>
      <c r="AC69" t="str">
        <f>IF(C69=0,"",CONCATENATE("芯片批号：",'IDseq-上机流程监控表'!$G$5,",","上机试剂批号：",'IDseq-上机流程监控表'!$G$6,",","Buffer批号：",'IDseq-上机流程监控表'!$G$7))</f>
        <v/>
      </c>
    </row>
    <row r="70" spans="1:29">
      <c r="A70" s="18" t="str">
        <f>IF(C70=0,"","YF23"&amp;TEXT(MID(pooling详情!$A$1,14,(FIND("期",pooling详情!$A$1)-FIND("第",pooling详情!$A$1)-1)),"0000"))</f>
        <v/>
      </c>
      <c r="B70" s="18">
        <f>上机信息表!G70</f>
        <v>0</v>
      </c>
      <c r="C70" s="18">
        <f>上机信息表!C70</f>
        <v>0</v>
      </c>
      <c r="D70" s="18">
        <f>上机信息表!D70</f>
        <v>0</v>
      </c>
      <c r="E70" s="18">
        <f>上机信息表!E70</f>
        <v>0</v>
      </c>
      <c r="F70" s="18">
        <f>上机信息表!F70</f>
        <v>0</v>
      </c>
      <c r="G70" s="18">
        <f>上机信息表!H70</f>
        <v>0</v>
      </c>
      <c r="H70" s="18">
        <f>上机信息表!I70</f>
        <v>0</v>
      </c>
      <c r="I70" s="18">
        <f>IF(F70="DNA",上机信息表!I70*70,上机信息表!I70*100)</f>
        <v>0</v>
      </c>
      <c r="K70" s="33">
        <f>上机信息表!A70</f>
        <v>0</v>
      </c>
      <c r="L70" s="18">
        <f>上机信息表!J70</f>
        <v>0</v>
      </c>
      <c r="M70" s="18">
        <f>上机信息表!K70</f>
        <v>0</v>
      </c>
      <c r="N70" s="18">
        <f>上机信息表!L70</f>
        <v>0</v>
      </c>
      <c r="O70" s="18">
        <f>上机信息表!M70</f>
        <v>0</v>
      </c>
      <c r="P70" s="18">
        <f>上机信息表!N70</f>
        <v>0</v>
      </c>
      <c r="Q70" s="18">
        <f>上机信息表!O70</f>
        <v>0</v>
      </c>
      <c r="R70" s="18" t="str">
        <f>IF(C70=0,"","VMGZ22"&amp;TEXT(MID(pooling详情!$A$1,14,(FIND("期",pooling详情!$A$1)-FIND("第",pooling详情!$A$1)-1)),"0000"))</f>
        <v/>
      </c>
      <c r="S70" s="18">
        <f>上机信息表!P70</f>
        <v>0</v>
      </c>
      <c r="T70" s="18" t="str">
        <f>IF(C70=0,"",pooling详情!$G$66)</f>
        <v/>
      </c>
      <c r="U70" s="34" t="str">
        <f>IF(C70=0,"",pooling详情!$A$80)</f>
        <v/>
      </c>
      <c r="V70" s="34" t="str">
        <f t="shared" si="6"/>
        <v/>
      </c>
      <c r="W70" s="18">
        <f>上机信息表!X70</f>
        <v>0</v>
      </c>
      <c r="X70" s="18">
        <f>上机信息表!R70</f>
        <v>0</v>
      </c>
      <c r="Y70" t="str">
        <f t="shared" si="7"/>
        <v/>
      </c>
      <c r="Z70" t="str">
        <f>IFERROR(IF(Y70="RNA提取试剂盒",CONCATENATE(MID(上机信息表!Q70,SEARCH("提取",上机信息表!Q70),SEARCH("建",上机信息表!Q70)-2)),IF(Y70="DNA提取试剂盒",IF(ISNUMBER(FIND("呼吸道",上机信息表!Q70)),CONCATENATE(MID(上机信息表!Q70,SEARCH("提取",上机信息表!Q70),SEARCH(",",上机信息表!Q70,SEARCH("呼吸道",上机信息表!Q70))-1)),IF(ISNUMBER(FIND("组织",上机信息表!Q70)),CONCATENATE(MID(上机信息表!Q70,SEARCH("提取",上机信息表!Q70),SEARCH(",",上机信息表!Q70,SEARCH("组织",上机信息表!Q70))-1)),CONCATENATE(MID(上机信息表!Q70,SEARCH("提取",上机信息表!Q70),SEARCH(",",上机信息表!Q70)-1)))),"")),"")</f>
        <v/>
      </c>
      <c r="AA70" t="str">
        <f t="shared" si="8"/>
        <v/>
      </c>
      <c r="AB70" t="str">
        <f>IFERROR(IF(AA70="RNA建库试剂盒",MID(上机信息表!Q70,SEARCH("建库",上机信息表!Q70),20),IF(AA70="DNA建库试剂盒",MID(上机信息表!Q70,SEARCH("建库",上机信息表!Q70),20),"")),"")</f>
        <v/>
      </c>
      <c r="AC70" t="str">
        <f>IF(C70=0,"",CONCATENATE("芯片批号：",'IDseq-上机流程监控表'!$G$5,",","上机试剂批号：",'IDseq-上机流程监控表'!$G$6,",","Buffer批号：",'IDseq-上机流程监控表'!$G$7))</f>
        <v/>
      </c>
    </row>
    <row r="71" spans="1:29">
      <c r="A71" s="18" t="str">
        <f>IF(C71=0,"","YF23"&amp;TEXT(MID(pooling详情!$A$1,14,(FIND("期",pooling详情!$A$1)-FIND("第",pooling详情!$A$1)-1)),"0000"))</f>
        <v/>
      </c>
      <c r="B71" s="18">
        <f>上机信息表!G71</f>
        <v>0</v>
      </c>
      <c r="C71" s="18">
        <f>上机信息表!C71</f>
        <v>0</v>
      </c>
      <c r="D71" s="18">
        <f>上机信息表!D71</f>
        <v>0</v>
      </c>
      <c r="E71" s="18">
        <f>上机信息表!E71</f>
        <v>0</v>
      </c>
      <c r="F71" s="18">
        <f>上机信息表!F71</f>
        <v>0</v>
      </c>
      <c r="G71" s="18">
        <f>上机信息表!H71</f>
        <v>0</v>
      </c>
      <c r="H71" s="18">
        <f>上机信息表!I71</f>
        <v>0</v>
      </c>
      <c r="I71" s="18">
        <f>IF(F71="DNA",上机信息表!I71*70,上机信息表!I71*100)</f>
        <v>0</v>
      </c>
      <c r="K71" s="33">
        <f>上机信息表!A71</f>
        <v>0</v>
      </c>
      <c r="L71" s="18">
        <f>上机信息表!J71</f>
        <v>0</v>
      </c>
      <c r="M71" s="18">
        <f>上机信息表!K71</f>
        <v>0</v>
      </c>
      <c r="N71" s="18">
        <f>上机信息表!L71</f>
        <v>0</v>
      </c>
      <c r="O71" s="18">
        <f>上机信息表!M71</f>
        <v>0</v>
      </c>
      <c r="P71" s="18">
        <f>上机信息表!N71</f>
        <v>0</v>
      </c>
      <c r="Q71" s="18">
        <f>上机信息表!O71</f>
        <v>0</v>
      </c>
      <c r="R71" s="18" t="str">
        <f>IF(C71=0,"","VMGZ22"&amp;TEXT(MID(pooling详情!$A$1,14,(FIND("期",pooling详情!$A$1)-FIND("第",pooling详情!$A$1)-1)),"0000"))</f>
        <v/>
      </c>
      <c r="S71" s="18">
        <f>上机信息表!P71</f>
        <v>0</v>
      </c>
      <c r="T71" s="18" t="str">
        <f>IF(C71=0,"",pooling详情!$G$66)</f>
        <v/>
      </c>
      <c r="U71" s="34" t="str">
        <f>IF(C71=0,"",pooling详情!$A$80)</f>
        <v/>
      </c>
      <c r="V71" s="34" t="str">
        <f t="shared" si="6"/>
        <v/>
      </c>
      <c r="W71" s="18">
        <f>上机信息表!X71</f>
        <v>0</v>
      </c>
      <c r="X71" s="18">
        <f>上机信息表!R71</f>
        <v>0</v>
      </c>
      <c r="Y71" t="str">
        <f t="shared" si="7"/>
        <v/>
      </c>
      <c r="Z71" t="str">
        <f>IFERROR(IF(Y71="RNA提取试剂盒",CONCATENATE(MID(上机信息表!Q71,SEARCH("提取",上机信息表!Q71),SEARCH("建",上机信息表!Q71)-2)),IF(Y71="DNA提取试剂盒",IF(ISNUMBER(FIND("呼吸道",上机信息表!Q71)),CONCATENATE(MID(上机信息表!Q71,SEARCH("提取",上机信息表!Q71),SEARCH(",",上机信息表!Q71,SEARCH("呼吸道",上机信息表!Q71))-1)),IF(ISNUMBER(FIND("组织",上机信息表!Q71)),CONCATENATE(MID(上机信息表!Q71,SEARCH("提取",上机信息表!Q71),SEARCH(",",上机信息表!Q71,SEARCH("组织",上机信息表!Q71))-1)),CONCATENATE(MID(上机信息表!Q71,SEARCH("提取",上机信息表!Q71),SEARCH(",",上机信息表!Q71)-1)))),"")),"")</f>
        <v/>
      </c>
      <c r="AA71" t="str">
        <f t="shared" si="8"/>
        <v/>
      </c>
      <c r="AB71" t="str">
        <f>IFERROR(IF(AA71="RNA建库试剂盒",MID(上机信息表!Q71,SEARCH("建库",上机信息表!Q71),20),IF(AA71="DNA建库试剂盒",MID(上机信息表!Q71,SEARCH("建库",上机信息表!Q71),20),"")),"")</f>
        <v/>
      </c>
      <c r="AC71" t="str">
        <f>IF(C71=0,"",CONCATENATE("芯片批号：",'IDseq-上机流程监控表'!$G$5,",","上机试剂批号：",'IDseq-上机流程监控表'!$G$6,",","Buffer批号：",'IDseq-上机流程监控表'!$G$7))</f>
        <v/>
      </c>
    </row>
    <row r="72" spans="1:29">
      <c r="A72" s="18" t="str">
        <f>IF(C72=0,"","YF23"&amp;TEXT(MID(pooling详情!$A$1,14,(FIND("期",pooling详情!$A$1)-FIND("第",pooling详情!$A$1)-1)),"0000"))</f>
        <v/>
      </c>
      <c r="B72" s="18">
        <f>上机信息表!G72</f>
        <v>0</v>
      </c>
      <c r="C72" s="18">
        <f>上机信息表!C72</f>
        <v>0</v>
      </c>
      <c r="D72" s="18">
        <f>上机信息表!D72</f>
        <v>0</v>
      </c>
      <c r="E72" s="18">
        <f>上机信息表!E72</f>
        <v>0</v>
      </c>
      <c r="F72" s="18">
        <f>上机信息表!F72</f>
        <v>0</v>
      </c>
      <c r="G72" s="18">
        <f>上机信息表!H72</f>
        <v>0</v>
      </c>
      <c r="H72" s="18">
        <f>上机信息表!I72</f>
        <v>0</v>
      </c>
      <c r="I72" s="18">
        <f>IF(F72="DNA",上机信息表!I72*70,上机信息表!I72*100)</f>
        <v>0</v>
      </c>
      <c r="K72" s="33">
        <f>上机信息表!A72</f>
        <v>0</v>
      </c>
      <c r="L72" s="18">
        <f>上机信息表!J72</f>
        <v>0</v>
      </c>
      <c r="M72" s="18">
        <f>上机信息表!K72</f>
        <v>0</v>
      </c>
      <c r="N72" s="18">
        <f>上机信息表!L72</f>
        <v>0</v>
      </c>
      <c r="O72" s="18">
        <f>上机信息表!M72</f>
        <v>0</v>
      </c>
      <c r="P72" s="18">
        <f>上机信息表!N72</f>
        <v>0</v>
      </c>
      <c r="Q72" s="18">
        <f>上机信息表!O72</f>
        <v>0</v>
      </c>
      <c r="R72" s="18" t="str">
        <f>IF(C72=0,"","VMGZ22"&amp;TEXT(MID(pooling详情!$A$1,14,(FIND("期",pooling详情!$A$1)-FIND("第",pooling详情!$A$1)-1)),"0000"))</f>
        <v/>
      </c>
      <c r="S72" s="18">
        <f>上机信息表!P72</f>
        <v>0</v>
      </c>
      <c r="T72" s="18" t="str">
        <f>IF(C72=0,"",pooling详情!$G$66)</f>
        <v/>
      </c>
      <c r="U72" s="34" t="str">
        <f>IF(C72=0,"",pooling详情!$A$80)</f>
        <v/>
      </c>
      <c r="V72" s="34" t="str">
        <f t="shared" si="6"/>
        <v/>
      </c>
      <c r="W72" s="18">
        <f>上机信息表!X72</f>
        <v>0</v>
      </c>
      <c r="X72" s="18">
        <f>上机信息表!R72</f>
        <v>0</v>
      </c>
      <c r="Y72" t="str">
        <f t="shared" si="7"/>
        <v/>
      </c>
      <c r="Z72" t="str">
        <f>IFERROR(IF(Y72="RNA提取试剂盒",CONCATENATE(MID(上机信息表!Q72,SEARCH("提取",上机信息表!Q72),SEARCH("建",上机信息表!Q72)-2)),IF(Y72="DNA提取试剂盒",IF(ISNUMBER(FIND("呼吸道",上机信息表!Q72)),CONCATENATE(MID(上机信息表!Q72,SEARCH("提取",上机信息表!Q72),SEARCH(",",上机信息表!Q72,SEARCH("呼吸道",上机信息表!Q72))-1)),IF(ISNUMBER(FIND("组织",上机信息表!Q72)),CONCATENATE(MID(上机信息表!Q72,SEARCH("提取",上机信息表!Q72),SEARCH(",",上机信息表!Q72,SEARCH("组织",上机信息表!Q72))-1)),CONCATENATE(MID(上机信息表!Q72,SEARCH("提取",上机信息表!Q72),SEARCH(",",上机信息表!Q72)-1)))),"")),"")</f>
        <v/>
      </c>
      <c r="AA72" t="str">
        <f t="shared" si="8"/>
        <v/>
      </c>
      <c r="AB72" t="str">
        <f>IFERROR(IF(AA72="RNA建库试剂盒",MID(上机信息表!Q72,SEARCH("建库",上机信息表!Q72),20),IF(AA72="DNA建库试剂盒",MID(上机信息表!Q72,SEARCH("建库",上机信息表!Q72),20),"")),"")</f>
        <v/>
      </c>
      <c r="AC72" t="str">
        <f>IF(C72=0,"",CONCATENATE("芯片批号：",'IDseq-上机流程监控表'!$G$5,",","上机试剂批号：",'IDseq-上机流程监控表'!$G$6,",","Buffer批号：",'IDseq-上机流程监控表'!$G$7))</f>
        <v/>
      </c>
    </row>
    <row r="73" spans="1:29">
      <c r="A73" s="18" t="str">
        <f>IF(C73=0,"","YF23"&amp;TEXT(MID(pooling详情!$A$1,14,(FIND("期",pooling详情!$A$1)-FIND("第",pooling详情!$A$1)-1)),"0000"))</f>
        <v/>
      </c>
      <c r="B73" s="18">
        <f>上机信息表!G73</f>
        <v>0</v>
      </c>
      <c r="C73" s="18">
        <f>上机信息表!C73</f>
        <v>0</v>
      </c>
      <c r="D73" s="18">
        <f>上机信息表!D73</f>
        <v>0</v>
      </c>
      <c r="E73" s="18">
        <f>上机信息表!E73</f>
        <v>0</v>
      </c>
      <c r="F73" s="18">
        <f>上机信息表!F73</f>
        <v>0</v>
      </c>
      <c r="G73" s="18">
        <f>上机信息表!H73</f>
        <v>0</v>
      </c>
      <c r="H73" s="18">
        <f>上机信息表!I73</f>
        <v>0</v>
      </c>
      <c r="I73" s="18">
        <f>IF(F73="DNA",上机信息表!I73*70,上机信息表!I73*100)</f>
        <v>0</v>
      </c>
      <c r="K73" s="33">
        <f>上机信息表!A73</f>
        <v>0</v>
      </c>
      <c r="L73" s="18">
        <f>上机信息表!J73</f>
        <v>0</v>
      </c>
      <c r="M73" s="18">
        <f>上机信息表!K73</f>
        <v>0</v>
      </c>
      <c r="N73" s="18">
        <f>上机信息表!L73</f>
        <v>0</v>
      </c>
      <c r="O73" s="18">
        <f>上机信息表!M73</f>
        <v>0</v>
      </c>
      <c r="P73" s="18">
        <f>上机信息表!N73</f>
        <v>0</v>
      </c>
      <c r="Q73" s="18">
        <f>上机信息表!O73</f>
        <v>0</v>
      </c>
      <c r="R73" s="18" t="str">
        <f>IF(C73=0,"","VMGZ22"&amp;TEXT(MID(pooling详情!$A$1,14,(FIND("期",pooling详情!$A$1)-FIND("第",pooling详情!$A$1)-1)),"0000"))</f>
        <v/>
      </c>
      <c r="S73" s="18">
        <f>上机信息表!P73</f>
        <v>0</v>
      </c>
      <c r="T73" s="18" t="str">
        <f>IF(C73=0,"",pooling详情!$G$66)</f>
        <v/>
      </c>
      <c r="U73" s="34" t="str">
        <f>IF(C73=0,"",pooling详情!$A$80)</f>
        <v/>
      </c>
      <c r="V73" s="34" t="str">
        <f t="shared" si="6"/>
        <v/>
      </c>
      <c r="W73" s="18">
        <f>上机信息表!X73</f>
        <v>0</v>
      </c>
      <c r="X73" s="18">
        <f>上机信息表!R73</f>
        <v>0</v>
      </c>
      <c r="Y73" t="str">
        <f t="shared" si="7"/>
        <v/>
      </c>
      <c r="Z73" t="str">
        <f>IFERROR(IF(Y73="RNA提取试剂盒",CONCATENATE(MID(上机信息表!Q73,SEARCH("提取",上机信息表!Q73),SEARCH("建",上机信息表!Q73)-2)),IF(Y73="DNA提取试剂盒",IF(ISNUMBER(FIND("呼吸道",上机信息表!Q73)),CONCATENATE(MID(上机信息表!Q73,SEARCH("提取",上机信息表!Q73),SEARCH(",",上机信息表!Q73,SEARCH("呼吸道",上机信息表!Q73))-1)),IF(ISNUMBER(FIND("组织",上机信息表!Q73)),CONCATENATE(MID(上机信息表!Q73,SEARCH("提取",上机信息表!Q73),SEARCH(",",上机信息表!Q73,SEARCH("组织",上机信息表!Q73))-1)),CONCATENATE(MID(上机信息表!Q73,SEARCH("提取",上机信息表!Q73),SEARCH(",",上机信息表!Q73)-1)))),"")),"")</f>
        <v/>
      </c>
      <c r="AA73" t="str">
        <f t="shared" si="8"/>
        <v/>
      </c>
      <c r="AB73" t="str">
        <f>IFERROR(IF(AA73="RNA建库试剂盒",MID(上机信息表!Q73,SEARCH("建库",上机信息表!Q73),20),IF(AA73="DNA建库试剂盒",MID(上机信息表!Q73,SEARCH("建库",上机信息表!Q73),20),"")),"")</f>
        <v/>
      </c>
      <c r="AC73" t="str">
        <f>IF(C73=0,"",CONCATENATE("芯片批号：",'IDseq-上机流程监控表'!$G$5,",","上机试剂批号：",'IDseq-上机流程监控表'!$G$6,",","Buffer批号：",'IDseq-上机流程监控表'!$G$7))</f>
        <v/>
      </c>
    </row>
    <row r="74" spans="1:29">
      <c r="A74" s="18" t="str">
        <f>IF(C74=0,"","YF23"&amp;TEXT(MID(pooling详情!$A$1,14,(FIND("期",pooling详情!$A$1)-FIND("第",pooling详情!$A$1)-1)),"0000"))</f>
        <v/>
      </c>
      <c r="B74" s="18">
        <f>上机信息表!G74</f>
        <v>0</v>
      </c>
      <c r="C74" s="18">
        <f>上机信息表!C74</f>
        <v>0</v>
      </c>
      <c r="D74" s="18">
        <f>上机信息表!D74</f>
        <v>0</v>
      </c>
      <c r="E74" s="18">
        <f>上机信息表!E74</f>
        <v>0</v>
      </c>
      <c r="F74" s="18">
        <f>上机信息表!F74</f>
        <v>0</v>
      </c>
      <c r="G74" s="18">
        <f>上机信息表!H74</f>
        <v>0</v>
      </c>
      <c r="H74" s="18">
        <f>上机信息表!I74</f>
        <v>0</v>
      </c>
      <c r="I74" s="18">
        <f>IF(F74="DNA",上机信息表!I74*70,上机信息表!I74*100)</f>
        <v>0</v>
      </c>
      <c r="K74" s="33">
        <f>上机信息表!A74</f>
        <v>0</v>
      </c>
      <c r="L74" s="18">
        <f>上机信息表!J74</f>
        <v>0</v>
      </c>
      <c r="M74" s="18">
        <f>上机信息表!K74</f>
        <v>0</v>
      </c>
      <c r="N74" s="18">
        <f>上机信息表!L74</f>
        <v>0</v>
      </c>
      <c r="O74" s="18">
        <f>上机信息表!M74</f>
        <v>0</v>
      </c>
      <c r="P74" s="18">
        <f>上机信息表!N74</f>
        <v>0</v>
      </c>
      <c r="Q74" s="18">
        <f>上机信息表!O74</f>
        <v>0</v>
      </c>
      <c r="R74" s="18" t="str">
        <f>IF(C74=0,"","VMGZ22"&amp;TEXT(MID(pooling详情!$A$1,14,(FIND("期",pooling详情!$A$1)-FIND("第",pooling详情!$A$1)-1)),"0000"))</f>
        <v/>
      </c>
      <c r="S74" s="18">
        <f>上机信息表!P74</f>
        <v>0</v>
      </c>
      <c r="T74" s="18" t="str">
        <f>IF(C74=0,"",pooling详情!$G$66)</f>
        <v/>
      </c>
      <c r="U74" s="34" t="str">
        <f>IF(C74=0,"",pooling详情!$A$80)</f>
        <v/>
      </c>
      <c r="V74" s="34" t="str">
        <f t="shared" si="6"/>
        <v/>
      </c>
      <c r="W74" s="18">
        <f>上机信息表!X74</f>
        <v>0</v>
      </c>
      <c r="X74" s="18">
        <f>上机信息表!R74</f>
        <v>0</v>
      </c>
      <c r="Y74" t="str">
        <f t="shared" si="7"/>
        <v/>
      </c>
      <c r="Z74" t="str">
        <f>IFERROR(IF(Y74="RNA提取试剂盒",CONCATENATE(MID(上机信息表!Q74,SEARCH("提取",上机信息表!Q74),SEARCH("建",上机信息表!Q74)-2)),IF(Y74="DNA提取试剂盒",IF(ISNUMBER(FIND("呼吸道",上机信息表!Q74)),CONCATENATE(MID(上机信息表!Q74,SEARCH("提取",上机信息表!Q74),SEARCH(",",上机信息表!Q74,SEARCH("呼吸道",上机信息表!Q74))-1)),IF(ISNUMBER(FIND("组织",上机信息表!Q74)),CONCATENATE(MID(上机信息表!Q74,SEARCH("提取",上机信息表!Q74),SEARCH(",",上机信息表!Q74,SEARCH("组织",上机信息表!Q74))-1)),CONCATENATE(MID(上机信息表!Q74,SEARCH("提取",上机信息表!Q74),SEARCH(",",上机信息表!Q74)-1)))),"")),"")</f>
        <v/>
      </c>
      <c r="AA74" t="str">
        <f t="shared" si="8"/>
        <v/>
      </c>
      <c r="AB74" t="str">
        <f>IFERROR(IF(AA74="RNA建库试剂盒",MID(上机信息表!Q74,SEARCH("建库",上机信息表!Q74),20),IF(AA74="DNA建库试剂盒",MID(上机信息表!Q74,SEARCH("建库",上机信息表!Q74),20),"")),"")</f>
        <v/>
      </c>
      <c r="AC74" t="str">
        <f>IF(C74=0,"",CONCATENATE("芯片批号：",'IDseq-上机流程监控表'!$G$5,",","上机试剂批号：",'IDseq-上机流程监控表'!$G$6,",","Buffer批号：",'IDseq-上机流程监控表'!$G$7))</f>
        <v/>
      </c>
    </row>
    <row r="75" spans="1:29">
      <c r="A75" s="18" t="str">
        <f>IF(C75=0,"","YF23"&amp;TEXT(MID(pooling详情!$A$1,14,(FIND("期",pooling详情!$A$1)-FIND("第",pooling详情!$A$1)-1)),"0000"))</f>
        <v/>
      </c>
      <c r="B75" s="18">
        <f>上机信息表!G75</f>
        <v>0</v>
      </c>
      <c r="C75" s="18">
        <f>上机信息表!C75</f>
        <v>0</v>
      </c>
      <c r="D75" s="18">
        <f>上机信息表!D75</f>
        <v>0</v>
      </c>
      <c r="E75" s="18">
        <f>上机信息表!E75</f>
        <v>0</v>
      </c>
      <c r="F75" s="18">
        <f>上机信息表!F75</f>
        <v>0</v>
      </c>
      <c r="G75" s="18">
        <f>上机信息表!H75</f>
        <v>0</v>
      </c>
      <c r="H75" s="18">
        <f>上机信息表!I75</f>
        <v>0</v>
      </c>
      <c r="I75" s="18">
        <f>IF(F75="DNA",上机信息表!I75*70,上机信息表!I75*100)</f>
        <v>0</v>
      </c>
      <c r="K75" s="33">
        <f>上机信息表!A75</f>
        <v>0</v>
      </c>
      <c r="L75" s="18">
        <f>上机信息表!J75</f>
        <v>0</v>
      </c>
      <c r="M75" s="18">
        <f>上机信息表!K75</f>
        <v>0</v>
      </c>
      <c r="N75" s="18">
        <f>上机信息表!L75</f>
        <v>0</v>
      </c>
      <c r="O75" s="18">
        <f>上机信息表!M75</f>
        <v>0</v>
      </c>
      <c r="P75" s="18">
        <f>上机信息表!N75</f>
        <v>0</v>
      </c>
      <c r="Q75" s="18">
        <f>上机信息表!O75</f>
        <v>0</v>
      </c>
      <c r="R75" s="18" t="str">
        <f>IF(C75=0,"","VMGZ22"&amp;TEXT(MID(pooling详情!$A$1,14,(FIND("期",pooling详情!$A$1)-FIND("第",pooling详情!$A$1)-1)),"0000"))</f>
        <v/>
      </c>
      <c r="S75" s="18">
        <f>上机信息表!P75</f>
        <v>0</v>
      </c>
      <c r="T75" s="18" t="str">
        <f>IF(C75=0,"",pooling详情!$G$66)</f>
        <v/>
      </c>
      <c r="U75" s="34" t="str">
        <f>IF(C75=0,"",pooling详情!$A$80)</f>
        <v/>
      </c>
      <c r="V75" s="34" t="str">
        <f t="shared" si="6"/>
        <v/>
      </c>
      <c r="W75" s="18">
        <f>上机信息表!X75</f>
        <v>0</v>
      </c>
      <c r="X75" s="18">
        <f>上机信息表!R75</f>
        <v>0</v>
      </c>
      <c r="Y75" t="str">
        <f t="shared" si="7"/>
        <v/>
      </c>
      <c r="Z75" t="str">
        <f>IFERROR(IF(Y75="RNA提取试剂盒",CONCATENATE(MID(上机信息表!Q75,SEARCH("提取",上机信息表!Q75),SEARCH("建",上机信息表!Q75)-2)),IF(Y75="DNA提取试剂盒",IF(ISNUMBER(FIND("呼吸道",上机信息表!Q75)),CONCATENATE(MID(上机信息表!Q75,SEARCH("提取",上机信息表!Q75),SEARCH(",",上机信息表!Q75,SEARCH("呼吸道",上机信息表!Q75))-1)),IF(ISNUMBER(FIND("组织",上机信息表!Q75)),CONCATENATE(MID(上机信息表!Q75,SEARCH("提取",上机信息表!Q75),SEARCH(",",上机信息表!Q75,SEARCH("组织",上机信息表!Q75))-1)),CONCATENATE(MID(上机信息表!Q75,SEARCH("提取",上机信息表!Q75),SEARCH(",",上机信息表!Q75)-1)))),"")),"")</f>
        <v/>
      </c>
      <c r="AA75" t="str">
        <f t="shared" si="8"/>
        <v/>
      </c>
      <c r="AB75" t="str">
        <f>IFERROR(IF(AA75="RNA建库试剂盒",MID(上机信息表!Q75,SEARCH("建库",上机信息表!Q75),20),IF(AA75="DNA建库试剂盒",MID(上机信息表!Q75,SEARCH("建库",上机信息表!Q75),20),"")),"")</f>
        <v/>
      </c>
      <c r="AC75" t="str">
        <f>IF(C75=0,"",CONCATENATE("芯片批号：",'IDseq-上机流程监控表'!$G$5,",","上机试剂批号：",'IDseq-上机流程监控表'!$G$6,",","Buffer批号：",'IDseq-上机流程监控表'!$G$7))</f>
        <v/>
      </c>
    </row>
    <row r="76" spans="1:29">
      <c r="A76" s="18" t="str">
        <f>IF(C76=0,"","YF23"&amp;TEXT(MID(pooling详情!$A$1,14,(FIND("期",pooling详情!$A$1)-FIND("第",pooling详情!$A$1)-1)),"0000"))</f>
        <v/>
      </c>
      <c r="B76" s="18">
        <f>上机信息表!G76</f>
        <v>0</v>
      </c>
      <c r="C76" s="18">
        <f>上机信息表!C76</f>
        <v>0</v>
      </c>
      <c r="D76" s="18">
        <f>上机信息表!D76</f>
        <v>0</v>
      </c>
      <c r="E76" s="18">
        <f>上机信息表!E76</f>
        <v>0</v>
      </c>
      <c r="F76" s="18">
        <f>上机信息表!F76</f>
        <v>0</v>
      </c>
      <c r="G76" s="18">
        <f>上机信息表!H76</f>
        <v>0</v>
      </c>
      <c r="H76" s="18">
        <f>上机信息表!I76</f>
        <v>0</v>
      </c>
      <c r="I76" s="18">
        <f>IF(F76="DNA",上机信息表!I76*70,上机信息表!I76*100)</f>
        <v>0</v>
      </c>
      <c r="K76" s="33">
        <f>上机信息表!A76</f>
        <v>0</v>
      </c>
      <c r="L76" s="18">
        <f>上机信息表!J76</f>
        <v>0</v>
      </c>
      <c r="M76" s="18">
        <f>上机信息表!K76</f>
        <v>0</v>
      </c>
      <c r="N76" s="18">
        <f>上机信息表!L76</f>
        <v>0</v>
      </c>
      <c r="O76" s="18">
        <f>上机信息表!M76</f>
        <v>0</v>
      </c>
      <c r="P76" s="18">
        <f>上机信息表!N76</f>
        <v>0</v>
      </c>
      <c r="Q76" s="18">
        <f>上机信息表!O76</f>
        <v>0</v>
      </c>
      <c r="R76" s="18" t="str">
        <f>IF(C76=0,"","VMGZ22"&amp;TEXT(MID(pooling详情!$A$1,14,(FIND("期",pooling详情!$A$1)-FIND("第",pooling详情!$A$1)-1)),"0000"))</f>
        <v/>
      </c>
      <c r="S76" s="18">
        <f>上机信息表!P76</f>
        <v>0</v>
      </c>
      <c r="T76" s="18" t="str">
        <f>IF(C76=0,"",pooling详情!$G$66)</f>
        <v/>
      </c>
      <c r="U76" s="34" t="str">
        <f>IF(C76=0,"",pooling详情!$A$80)</f>
        <v/>
      </c>
      <c r="V76" s="34" t="str">
        <f t="shared" si="6"/>
        <v/>
      </c>
      <c r="W76" s="18">
        <f>上机信息表!X76</f>
        <v>0</v>
      </c>
      <c r="X76" s="18">
        <f>上机信息表!R76</f>
        <v>0</v>
      </c>
      <c r="Y76" t="str">
        <f t="shared" si="7"/>
        <v/>
      </c>
      <c r="Z76" t="str">
        <f>IFERROR(IF(Y76="RNA提取试剂盒",CONCATENATE(MID(上机信息表!Q76,SEARCH("提取",上机信息表!Q76),SEARCH("建",上机信息表!Q76)-2)),IF(Y76="DNA提取试剂盒",IF(ISNUMBER(FIND("呼吸道",上机信息表!Q76)),CONCATENATE(MID(上机信息表!Q76,SEARCH("提取",上机信息表!Q76),SEARCH(",",上机信息表!Q76,SEARCH("呼吸道",上机信息表!Q76))-1)),IF(ISNUMBER(FIND("组织",上机信息表!Q76)),CONCATENATE(MID(上机信息表!Q76,SEARCH("提取",上机信息表!Q76),SEARCH(",",上机信息表!Q76,SEARCH("组织",上机信息表!Q76))-1)),CONCATENATE(MID(上机信息表!Q76,SEARCH("提取",上机信息表!Q76),SEARCH(",",上机信息表!Q76)-1)))),"")),"")</f>
        <v/>
      </c>
      <c r="AA76" t="str">
        <f t="shared" si="8"/>
        <v/>
      </c>
      <c r="AB76" t="str">
        <f>IFERROR(IF(AA76="RNA建库试剂盒",MID(上机信息表!Q76,SEARCH("建库",上机信息表!Q76),20),IF(AA76="DNA建库试剂盒",MID(上机信息表!Q76,SEARCH("建库",上机信息表!Q76),20),"")),"")</f>
        <v/>
      </c>
      <c r="AC76" t="str">
        <f>IF(C76=0,"",CONCATENATE("芯片批号：",'IDseq-上机流程监控表'!$G$5,",","上机试剂批号：",'IDseq-上机流程监控表'!$G$6,",","Buffer批号：",'IDseq-上机流程监控表'!$G$7))</f>
        <v/>
      </c>
    </row>
    <row r="77" spans="1:29">
      <c r="A77" s="18" t="str">
        <f>IF(C77=0,"","YF23"&amp;TEXT(MID(pooling详情!$A$1,14,(FIND("期",pooling详情!$A$1)-FIND("第",pooling详情!$A$1)-1)),"0000"))</f>
        <v/>
      </c>
      <c r="B77" s="18">
        <f>上机信息表!G77</f>
        <v>0</v>
      </c>
      <c r="C77" s="18">
        <f>上机信息表!C77</f>
        <v>0</v>
      </c>
      <c r="D77" s="18">
        <f>上机信息表!D77</f>
        <v>0</v>
      </c>
      <c r="E77" s="18">
        <f>上机信息表!E77</f>
        <v>0</v>
      </c>
      <c r="F77" s="18">
        <f>上机信息表!F77</f>
        <v>0</v>
      </c>
      <c r="G77" s="18">
        <f>上机信息表!H77</f>
        <v>0</v>
      </c>
      <c r="H77" s="18">
        <f>上机信息表!I77</f>
        <v>0</v>
      </c>
      <c r="I77" s="18">
        <f>IF(F77="DNA",上机信息表!I77*70,上机信息表!I77*100)</f>
        <v>0</v>
      </c>
      <c r="K77" s="33">
        <f>上机信息表!A77</f>
        <v>0</v>
      </c>
      <c r="L77" s="18">
        <f>上机信息表!J77</f>
        <v>0</v>
      </c>
      <c r="M77" s="18">
        <f>上机信息表!K77</f>
        <v>0</v>
      </c>
      <c r="N77" s="18">
        <f>上机信息表!L77</f>
        <v>0</v>
      </c>
      <c r="O77" s="18">
        <f>上机信息表!M77</f>
        <v>0</v>
      </c>
      <c r="P77" s="18">
        <f>上机信息表!N77</f>
        <v>0</v>
      </c>
      <c r="Q77" s="18">
        <f>上机信息表!O77</f>
        <v>0</v>
      </c>
      <c r="R77" s="18" t="str">
        <f>IF(C77=0,"","VMGZ22"&amp;TEXT(MID(pooling详情!$A$1,14,(FIND("期",pooling详情!$A$1)-FIND("第",pooling详情!$A$1)-1)),"0000"))</f>
        <v/>
      </c>
      <c r="S77" s="18">
        <f>上机信息表!P77</f>
        <v>0</v>
      </c>
      <c r="T77" s="18" t="str">
        <f>IF(C77=0,"",pooling详情!$G$66)</f>
        <v/>
      </c>
      <c r="U77" s="34" t="str">
        <f>IF(C77=0,"",pooling详情!$A$80)</f>
        <v/>
      </c>
      <c r="V77" s="34" t="str">
        <f t="shared" si="6"/>
        <v/>
      </c>
      <c r="W77" s="18">
        <f>上机信息表!X77</f>
        <v>0</v>
      </c>
      <c r="X77" s="18">
        <f>上机信息表!R77</f>
        <v>0</v>
      </c>
      <c r="Y77" t="str">
        <f t="shared" si="7"/>
        <v/>
      </c>
      <c r="Z77" t="str">
        <f>IFERROR(IF(Y77="RNA提取试剂盒",CONCATENATE(MID(上机信息表!Q77,SEARCH("提取",上机信息表!Q77),SEARCH("建",上机信息表!Q77)-2)),IF(Y77="DNA提取试剂盒",IF(ISNUMBER(FIND("呼吸道",上机信息表!Q77)),CONCATENATE(MID(上机信息表!Q77,SEARCH("提取",上机信息表!Q77),SEARCH(",",上机信息表!Q77,SEARCH("呼吸道",上机信息表!Q77))-1)),IF(ISNUMBER(FIND("组织",上机信息表!Q77)),CONCATENATE(MID(上机信息表!Q77,SEARCH("提取",上机信息表!Q77),SEARCH(",",上机信息表!Q77,SEARCH("组织",上机信息表!Q77))-1)),CONCATENATE(MID(上机信息表!Q77,SEARCH("提取",上机信息表!Q77),SEARCH(",",上机信息表!Q77)-1)))),"")),"")</f>
        <v/>
      </c>
      <c r="AA77" t="str">
        <f t="shared" si="8"/>
        <v/>
      </c>
      <c r="AB77" t="str">
        <f>IFERROR(IF(AA77="RNA建库试剂盒",MID(上机信息表!Q77,SEARCH("建库",上机信息表!Q77),20),IF(AA77="DNA建库试剂盒",MID(上机信息表!Q77,SEARCH("建库",上机信息表!Q77),20),"")),"")</f>
        <v/>
      </c>
      <c r="AC77" t="str">
        <f>IF(C77=0,"",CONCATENATE("芯片批号：",'IDseq-上机流程监控表'!$G$5,",","上机试剂批号：",'IDseq-上机流程监控表'!$G$6,",","Buffer批号：",'IDseq-上机流程监控表'!$G$7))</f>
        <v/>
      </c>
    </row>
    <row r="78" spans="1:29">
      <c r="A78" s="18" t="str">
        <f>IF(C78=0,"","YF23"&amp;TEXT(MID(pooling详情!$A$1,14,(FIND("期",pooling详情!$A$1)-FIND("第",pooling详情!$A$1)-1)),"0000"))</f>
        <v/>
      </c>
      <c r="B78" s="18">
        <f>上机信息表!G78</f>
        <v>0</v>
      </c>
      <c r="C78" s="18">
        <f>上机信息表!C78</f>
        <v>0</v>
      </c>
      <c r="D78" s="18">
        <f>上机信息表!D78</f>
        <v>0</v>
      </c>
      <c r="E78" s="18">
        <f>上机信息表!E78</f>
        <v>0</v>
      </c>
      <c r="F78" s="18">
        <f>上机信息表!F78</f>
        <v>0</v>
      </c>
      <c r="G78" s="18">
        <f>上机信息表!H78</f>
        <v>0</v>
      </c>
      <c r="H78" s="18">
        <f>上机信息表!I78</f>
        <v>0</v>
      </c>
      <c r="I78" s="18">
        <f>IF(F78="DNA",上机信息表!I78*70,上机信息表!I78*100)</f>
        <v>0</v>
      </c>
      <c r="K78" s="33">
        <f>上机信息表!A78</f>
        <v>0</v>
      </c>
      <c r="L78" s="18">
        <f>上机信息表!J78</f>
        <v>0</v>
      </c>
      <c r="M78" s="18">
        <f>上机信息表!K78</f>
        <v>0</v>
      </c>
      <c r="N78" s="18">
        <f>上机信息表!L78</f>
        <v>0</v>
      </c>
      <c r="O78" s="18">
        <f>上机信息表!M78</f>
        <v>0</v>
      </c>
      <c r="P78" s="18">
        <f>上机信息表!N78</f>
        <v>0</v>
      </c>
      <c r="Q78" s="18">
        <f>上机信息表!O78</f>
        <v>0</v>
      </c>
      <c r="R78" s="18" t="str">
        <f>IF(C78=0,"","VMGZ22"&amp;TEXT(MID(pooling详情!$A$1,14,(FIND("期",pooling详情!$A$1)-FIND("第",pooling详情!$A$1)-1)),"0000"))</f>
        <v/>
      </c>
      <c r="S78" s="18">
        <f>上机信息表!P78</f>
        <v>0</v>
      </c>
      <c r="T78" s="18" t="str">
        <f>IF(C78=0,"",pooling详情!$G$66)</f>
        <v/>
      </c>
      <c r="U78" s="34" t="str">
        <f>IF(C78=0,"",pooling详情!$A$80)</f>
        <v/>
      </c>
      <c r="V78" s="34" t="str">
        <f t="shared" si="6"/>
        <v/>
      </c>
      <c r="W78" s="18">
        <f>上机信息表!X78</f>
        <v>0</v>
      </c>
      <c r="X78" s="18">
        <f>上机信息表!R78</f>
        <v>0</v>
      </c>
      <c r="Y78" t="str">
        <f t="shared" si="7"/>
        <v/>
      </c>
      <c r="Z78" t="str">
        <f>IFERROR(IF(Y78="RNA提取试剂盒",CONCATENATE(MID(上机信息表!Q78,SEARCH("提取",上机信息表!Q78),SEARCH("建",上机信息表!Q78)-2)),IF(Y78="DNA提取试剂盒",IF(ISNUMBER(FIND("呼吸道",上机信息表!Q78)),CONCATENATE(MID(上机信息表!Q78,SEARCH("提取",上机信息表!Q78),SEARCH(",",上机信息表!Q78,SEARCH("呼吸道",上机信息表!Q78))-1)),IF(ISNUMBER(FIND("组织",上机信息表!Q78)),CONCATENATE(MID(上机信息表!Q78,SEARCH("提取",上机信息表!Q78),SEARCH(",",上机信息表!Q78,SEARCH("组织",上机信息表!Q78))-1)),CONCATENATE(MID(上机信息表!Q78,SEARCH("提取",上机信息表!Q78),SEARCH(",",上机信息表!Q78)-1)))),"")),"")</f>
        <v/>
      </c>
      <c r="AA78" t="str">
        <f t="shared" si="8"/>
        <v/>
      </c>
      <c r="AB78" t="str">
        <f>IFERROR(IF(AA78="RNA建库试剂盒",MID(上机信息表!Q78,SEARCH("建库",上机信息表!Q78),20),IF(AA78="DNA建库试剂盒",MID(上机信息表!Q78,SEARCH("建库",上机信息表!Q78),20),"")),"")</f>
        <v/>
      </c>
      <c r="AC78" t="str">
        <f>IF(C78=0,"",CONCATENATE("芯片批号：",'IDseq-上机流程监控表'!$G$5,",","上机试剂批号：",'IDseq-上机流程监控表'!$G$6,",","Buffer批号：",'IDseq-上机流程监控表'!$G$7))</f>
        <v/>
      </c>
    </row>
    <row r="79" spans="1:29">
      <c r="A79" s="18" t="str">
        <f>IF(C79=0,"","YF23"&amp;TEXT(MID(pooling详情!$A$1,14,(FIND("期",pooling详情!$A$1)-FIND("第",pooling详情!$A$1)-1)),"0000"))</f>
        <v/>
      </c>
      <c r="B79" s="18">
        <f>上机信息表!G79</f>
        <v>0</v>
      </c>
      <c r="C79" s="18">
        <f>上机信息表!C79</f>
        <v>0</v>
      </c>
      <c r="D79" s="18">
        <f>上机信息表!D79</f>
        <v>0</v>
      </c>
      <c r="E79" s="18">
        <f>上机信息表!E79</f>
        <v>0</v>
      </c>
      <c r="F79" s="18">
        <f>上机信息表!F79</f>
        <v>0</v>
      </c>
      <c r="G79" s="18">
        <f>上机信息表!H79</f>
        <v>0</v>
      </c>
      <c r="H79" s="18">
        <f>上机信息表!I79</f>
        <v>0</v>
      </c>
      <c r="I79" s="18">
        <f>IF(F79="DNA",上机信息表!I79*70,上机信息表!I79*100)</f>
        <v>0</v>
      </c>
      <c r="K79" s="33">
        <f>上机信息表!A79</f>
        <v>0</v>
      </c>
      <c r="L79" s="18">
        <f>上机信息表!J79</f>
        <v>0</v>
      </c>
      <c r="M79" s="18">
        <f>上机信息表!K79</f>
        <v>0</v>
      </c>
      <c r="N79" s="18">
        <f>上机信息表!L79</f>
        <v>0</v>
      </c>
      <c r="O79" s="18">
        <f>上机信息表!M79</f>
        <v>0</v>
      </c>
      <c r="P79" s="18">
        <f>上机信息表!N79</f>
        <v>0</v>
      </c>
      <c r="Q79" s="18">
        <f>上机信息表!O79</f>
        <v>0</v>
      </c>
      <c r="R79" s="18" t="str">
        <f>IF(C79=0,"","VMGZ22"&amp;TEXT(MID(pooling详情!$A$1,14,(FIND("期",pooling详情!$A$1)-FIND("第",pooling详情!$A$1)-1)),"0000"))</f>
        <v/>
      </c>
      <c r="S79" s="18">
        <f>上机信息表!P79</f>
        <v>0</v>
      </c>
      <c r="T79" s="18" t="str">
        <f>IF(C79=0,"",pooling详情!$G$66)</f>
        <v/>
      </c>
      <c r="U79" s="34" t="str">
        <f>IF(C79=0,"",pooling详情!$A$80)</f>
        <v/>
      </c>
      <c r="V79" s="34" t="str">
        <f t="shared" si="6"/>
        <v/>
      </c>
      <c r="W79" s="18">
        <f>上机信息表!X79</f>
        <v>0</v>
      </c>
      <c r="X79" s="18">
        <f>上机信息表!R79</f>
        <v>0</v>
      </c>
      <c r="Y79" t="str">
        <f t="shared" si="7"/>
        <v/>
      </c>
      <c r="Z79" t="str">
        <f>IFERROR(IF(Y79="RNA提取试剂盒",CONCATENATE(MID(上机信息表!Q79,SEARCH("提取",上机信息表!Q79),SEARCH("建",上机信息表!Q79)-2)),IF(Y79="DNA提取试剂盒",IF(ISNUMBER(FIND("呼吸道",上机信息表!Q79)),CONCATENATE(MID(上机信息表!Q79,SEARCH("提取",上机信息表!Q79),SEARCH(",",上机信息表!Q79,SEARCH("呼吸道",上机信息表!Q79))-1)),IF(ISNUMBER(FIND("组织",上机信息表!Q79)),CONCATENATE(MID(上机信息表!Q79,SEARCH("提取",上机信息表!Q79),SEARCH(",",上机信息表!Q79,SEARCH("组织",上机信息表!Q79))-1)),CONCATENATE(MID(上机信息表!Q79,SEARCH("提取",上机信息表!Q79),SEARCH(",",上机信息表!Q79)-1)))),"")),"")</f>
        <v/>
      </c>
      <c r="AA79" t="str">
        <f t="shared" si="8"/>
        <v/>
      </c>
      <c r="AB79" t="str">
        <f>IFERROR(IF(AA79="RNA建库试剂盒",MID(上机信息表!Q79,SEARCH("建库",上机信息表!Q79),20),IF(AA79="DNA建库试剂盒",MID(上机信息表!Q79,SEARCH("建库",上机信息表!Q79),20),"")),"")</f>
        <v/>
      </c>
      <c r="AC79" t="str">
        <f>IF(C79=0,"",CONCATENATE("芯片批号：",'IDseq-上机流程监控表'!$G$5,",","上机试剂批号：",'IDseq-上机流程监控表'!$G$6,",","Buffer批号：",'IDseq-上机流程监控表'!$G$7))</f>
        <v/>
      </c>
    </row>
    <row r="80" spans="1:29">
      <c r="A80" s="18" t="str">
        <f>IF(C80=0,"","YF23"&amp;TEXT(MID(pooling详情!$A$1,14,(FIND("期",pooling详情!$A$1)-FIND("第",pooling详情!$A$1)-1)),"0000"))</f>
        <v/>
      </c>
      <c r="B80" s="18">
        <f>上机信息表!G80</f>
        <v>0</v>
      </c>
      <c r="C80" s="18">
        <f>上机信息表!C80</f>
        <v>0</v>
      </c>
      <c r="D80" s="18">
        <f>上机信息表!D80</f>
        <v>0</v>
      </c>
      <c r="E80" s="18">
        <f>上机信息表!E80</f>
        <v>0</v>
      </c>
      <c r="F80" s="18">
        <f>上机信息表!F80</f>
        <v>0</v>
      </c>
      <c r="G80" s="18">
        <f>上机信息表!H80</f>
        <v>0</v>
      </c>
      <c r="H80" s="18">
        <f>上机信息表!I80</f>
        <v>0</v>
      </c>
      <c r="I80" s="18">
        <f>IF(F80="DNA",上机信息表!I80*70,上机信息表!I80*100)</f>
        <v>0</v>
      </c>
      <c r="K80" s="33">
        <f>上机信息表!A80</f>
        <v>0</v>
      </c>
      <c r="L80" s="18">
        <f>上机信息表!J80</f>
        <v>0</v>
      </c>
      <c r="M80" s="18">
        <f>上机信息表!K80</f>
        <v>0</v>
      </c>
      <c r="N80" s="18">
        <f>上机信息表!L80</f>
        <v>0</v>
      </c>
      <c r="O80" s="18">
        <f>上机信息表!M80</f>
        <v>0</v>
      </c>
      <c r="P80" s="18">
        <f>上机信息表!N80</f>
        <v>0</v>
      </c>
      <c r="Q80" s="18">
        <f>上机信息表!O80</f>
        <v>0</v>
      </c>
      <c r="R80" s="18" t="str">
        <f>IF(C80=0,"","VMGZ22"&amp;TEXT(MID(pooling详情!$A$1,14,(FIND("期",pooling详情!$A$1)-FIND("第",pooling详情!$A$1)-1)),"0000"))</f>
        <v/>
      </c>
      <c r="S80" s="18">
        <f>上机信息表!P80</f>
        <v>0</v>
      </c>
      <c r="T80" s="18" t="str">
        <f>IF(C80=0,"",pooling详情!$G$66)</f>
        <v/>
      </c>
      <c r="U80" s="34" t="str">
        <f>IF(C80=0,"",pooling详情!$A$80)</f>
        <v/>
      </c>
      <c r="V80" s="34" t="str">
        <f t="shared" si="6"/>
        <v/>
      </c>
      <c r="W80" s="18">
        <f>上机信息表!X80</f>
        <v>0</v>
      </c>
      <c r="X80" s="18">
        <f>上机信息表!R80</f>
        <v>0</v>
      </c>
      <c r="Y80" t="str">
        <f t="shared" si="7"/>
        <v/>
      </c>
      <c r="Z80" t="str">
        <f>IFERROR(IF(Y80="RNA提取试剂盒",CONCATENATE(MID(上机信息表!Q80,SEARCH("提取",上机信息表!Q80),SEARCH("建",上机信息表!Q80)-2)),IF(Y80="DNA提取试剂盒",IF(ISNUMBER(FIND("呼吸道",上机信息表!Q80)),CONCATENATE(MID(上机信息表!Q80,SEARCH("提取",上机信息表!Q80),SEARCH(",",上机信息表!Q80,SEARCH("呼吸道",上机信息表!Q80))-1)),IF(ISNUMBER(FIND("组织",上机信息表!Q80)),CONCATENATE(MID(上机信息表!Q80,SEARCH("提取",上机信息表!Q80),SEARCH(",",上机信息表!Q80,SEARCH("组织",上机信息表!Q80))-1)),CONCATENATE(MID(上机信息表!Q80,SEARCH("提取",上机信息表!Q80),SEARCH(",",上机信息表!Q80)-1)))),"")),"")</f>
        <v/>
      </c>
      <c r="AA80" t="str">
        <f t="shared" si="8"/>
        <v/>
      </c>
      <c r="AB80" t="str">
        <f>IFERROR(IF(AA80="RNA建库试剂盒",MID(上机信息表!Q80,SEARCH("建库",上机信息表!Q80),20),IF(AA80="DNA建库试剂盒",MID(上机信息表!Q80,SEARCH("建库",上机信息表!Q80),20),"")),"")</f>
        <v/>
      </c>
      <c r="AC80" t="str">
        <f>IF(C80=0,"",CONCATENATE("芯片批号：",'IDseq-上机流程监控表'!$G$5,",","上机试剂批号：",'IDseq-上机流程监控表'!$G$6,",","Buffer批号：",'IDseq-上机流程监控表'!$G$7))</f>
        <v/>
      </c>
    </row>
    <row r="81" spans="1:29">
      <c r="A81" s="18" t="str">
        <f>IF(C81=0,"","YF23"&amp;TEXT(MID(pooling详情!$A$1,14,(FIND("期",pooling详情!$A$1)-FIND("第",pooling详情!$A$1)-1)),"0000"))</f>
        <v/>
      </c>
      <c r="B81" s="18">
        <f>上机信息表!G81</f>
        <v>0</v>
      </c>
      <c r="C81" s="18">
        <f>上机信息表!C81</f>
        <v>0</v>
      </c>
      <c r="D81" s="18">
        <f>上机信息表!D81</f>
        <v>0</v>
      </c>
      <c r="E81" s="18">
        <f>上机信息表!E81</f>
        <v>0</v>
      </c>
      <c r="F81" s="18">
        <f>上机信息表!F81</f>
        <v>0</v>
      </c>
      <c r="G81" s="18">
        <f>上机信息表!H81</f>
        <v>0</v>
      </c>
      <c r="H81" s="18">
        <f>上机信息表!I81</f>
        <v>0</v>
      </c>
      <c r="I81" s="18">
        <f>IF(F81="DNA",上机信息表!I81*70,上机信息表!I81*100)</f>
        <v>0</v>
      </c>
      <c r="K81" s="33">
        <f>上机信息表!A81</f>
        <v>0</v>
      </c>
      <c r="L81" s="18">
        <f>上机信息表!J81</f>
        <v>0</v>
      </c>
      <c r="M81" s="18">
        <f>上机信息表!K81</f>
        <v>0</v>
      </c>
      <c r="N81" s="18">
        <f>上机信息表!L81</f>
        <v>0</v>
      </c>
      <c r="O81" s="18">
        <f>上机信息表!M81</f>
        <v>0</v>
      </c>
      <c r="P81" s="18">
        <f>上机信息表!N81</f>
        <v>0</v>
      </c>
      <c r="Q81" s="18">
        <f>上机信息表!O81</f>
        <v>0</v>
      </c>
      <c r="R81" s="18" t="str">
        <f>IF(C81=0,"","VMGZ22"&amp;TEXT(MID(pooling详情!$A$1,14,(FIND("期",pooling详情!$A$1)-FIND("第",pooling详情!$A$1)-1)),"0000"))</f>
        <v/>
      </c>
      <c r="S81" s="18">
        <f>上机信息表!P81</f>
        <v>0</v>
      </c>
      <c r="T81" s="18" t="str">
        <f>IF(C81=0,"",pooling详情!$G$66)</f>
        <v/>
      </c>
      <c r="U81" s="34" t="str">
        <f>IF(C81=0,"",pooling详情!$A$80)</f>
        <v/>
      </c>
      <c r="V81" s="34" t="str">
        <f t="shared" si="6"/>
        <v/>
      </c>
      <c r="W81" s="18">
        <f>上机信息表!X81</f>
        <v>0</v>
      </c>
      <c r="X81" s="18">
        <f>上机信息表!R81</f>
        <v>0</v>
      </c>
      <c r="Y81" t="str">
        <f t="shared" si="7"/>
        <v/>
      </c>
      <c r="Z81" t="str">
        <f>IFERROR(IF(Y81="RNA提取试剂盒",CONCATENATE(MID(上机信息表!Q81,SEARCH("提取",上机信息表!Q81),SEARCH("建",上机信息表!Q81)-2)),IF(Y81="DNA提取试剂盒",IF(ISNUMBER(FIND("呼吸道",上机信息表!Q81)),CONCATENATE(MID(上机信息表!Q81,SEARCH("提取",上机信息表!Q81),SEARCH(",",上机信息表!Q81,SEARCH("呼吸道",上机信息表!Q81))-1)),IF(ISNUMBER(FIND("组织",上机信息表!Q81)),CONCATENATE(MID(上机信息表!Q81,SEARCH("提取",上机信息表!Q81),SEARCH(",",上机信息表!Q81,SEARCH("组织",上机信息表!Q81))-1)),CONCATENATE(MID(上机信息表!Q81,SEARCH("提取",上机信息表!Q81),SEARCH(",",上机信息表!Q81)-1)))),"")),"")</f>
        <v/>
      </c>
      <c r="AA81" t="str">
        <f t="shared" si="8"/>
        <v/>
      </c>
      <c r="AB81" t="str">
        <f>IFERROR(IF(AA81="RNA建库试剂盒",MID(上机信息表!Q81,SEARCH("建库",上机信息表!Q81),20),IF(AA81="DNA建库试剂盒",MID(上机信息表!Q81,SEARCH("建库",上机信息表!Q81),20),"")),"")</f>
        <v/>
      </c>
      <c r="AC81" t="str">
        <f>IF(C81=0,"",CONCATENATE("芯片批号：",'IDseq-上机流程监控表'!$G$5,",","上机试剂批号：",'IDseq-上机流程监控表'!$G$6,",","Buffer批号：",'IDseq-上机流程监控表'!$G$7))</f>
        <v/>
      </c>
    </row>
    <row r="82" spans="1:29">
      <c r="A82" s="18" t="str">
        <f>IF(C82=0,"","YF23"&amp;TEXT(MID(pooling详情!$A$1,14,(FIND("期",pooling详情!$A$1)-FIND("第",pooling详情!$A$1)-1)),"0000"))</f>
        <v/>
      </c>
      <c r="B82" s="18">
        <f>上机信息表!G82</f>
        <v>0</v>
      </c>
      <c r="C82" s="18">
        <f>上机信息表!C82</f>
        <v>0</v>
      </c>
      <c r="D82" s="18">
        <f>上机信息表!D82</f>
        <v>0</v>
      </c>
      <c r="E82" s="18">
        <f>上机信息表!E82</f>
        <v>0</v>
      </c>
      <c r="F82" s="18">
        <f>上机信息表!F82</f>
        <v>0</v>
      </c>
      <c r="G82" s="18">
        <f>上机信息表!H82</f>
        <v>0</v>
      </c>
      <c r="H82" s="18">
        <f>上机信息表!I82</f>
        <v>0</v>
      </c>
      <c r="I82" s="18">
        <f>IF(F82="DNA",上机信息表!I82*70,上机信息表!I82*100)</f>
        <v>0</v>
      </c>
      <c r="K82" s="33">
        <f>上机信息表!A82</f>
        <v>0</v>
      </c>
      <c r="L82" s="18">
        <f>上机信息表!J82</f>
        <v>0</v>
      </c>
      <c r="M82" s="18">
        <f>上机信息表!K82</f>
        <v>0</v>
      </c>
      <c r="N82" s="18">
        <f>上机信息表!L82</f>
        <v>0</v>
      </c>
      <c r="O82" s="18">
        <f>上机信息表!M82</f>
        <v>0</v>
      </c>
      <c r="P82" s="18">
        <f>上机信息表!N82</f>
        <v>0</v>
      </c>
      <c r="Q82" s="18">
        <f>上机信息表!O82</f>
        <v>0</v>
      </c>
      <c r="R82" s="18" t="str">
        <f>IF(C82=0,"","VMGZ22"&amp;TEXT(MID(pooling详情!$A$1,14,(FIND("期",pooling详情!$A$1)-FIND("第",pooling详情!$A$1)-1)),"0000"))</f>
        <v/>
      </c>
      <c r="S82" s="18">
        <f>上机信息表!P82</f>
        <v>0</v>
      </c>
      <c r="T82" s="18" t="str">
        <f>IF(C82=0,"",pooling详情!$G$66)</f>
        <v/>
      </c>
      <c r="U82" s="34" t="str">
        <f>IF(C82=0,"",pooling详情!$A$80)</f>
        <v/>
      </c>
      <c r="V82" s="34" t="str">
        <f t="shared" si="6"/>
        <v/>
      </c>
      <c r="W82" s="18">
        <f>上机信息表!X82</f>
        <v>0</v>
      </c>
      <c r="X82" s="18">
        <f>上机信息表!R82</f>
        <v>0</v>
      </c>
      <c r="Y82" t="str">
        <f t="shared" si="7"/>
        <v/>
      </c>
      <c r="Z82" t="str">
        <f>IFERROR(IF(Y82="RNA提取试剂盒",CONCATENATE(MID(上机信息表!Q82,SEARCH("提取",上机信息表!Q82),SEARCH("建",上机信息表!Q82)-2)),IF(Y82="DNA提取试剂盒",IF(ISNUMBER(FIND("呼吸道",上机信息表!Q82)),CONCATENATE(MID(上机信息表!Q82,SEARCH("提取",上机信息表!Q82),SEARCH(",",上机信息表!Q82,SEARCH("呼吸道",上机信息表!Q82))-1)),IF(ISNUMBER(FIND("组织",上机信息表!Q82)),CONCATENATE(MID(上机信息表!Q82,SEARCH("提取",上机信息表!Q82),SEARCH(",",上机信息表!Q82,SEARCH("组织",上机信息表!Q82))-1)),CONCATENATE(MID(上机信息表!Q82,SEARCH("提取",上机信息表!Q82),SEARCH(",",上机信息表!Q82)-1)))),"")),"")</f>
        <v/>
      </c>
      <c r="AA82" t="str">
        <f t="shared" si="8"/>
        <v/>
      </c>
      <c r="AB82" t="str">
        <f>IFERROR(IF(AA82="RNA建库试剂盒",MID(上机信息表!Q82,SEARCH("建库",上机信息表!Q82),20),IF(AA82="DNA建库试剂盒",MID(上机信息表!Q82,SEARCH("建库",上机信息表!Q82),20),"")),"")</f>
        <v/>
      </c>
      <c r="AC82" t="str">
        <f>IF(C82=0,"",CONCATENATE("芯片批号：",'IDseq-上机流程监控表'!$G$5,",","上机试剂批号：",'IDseq-上机流程监控表'!$G$6,",","Buffer批号：",'IDseq-上机流程监控表'!$G$7))</f>
        <v/>
      </c>
    </row>
    <row r="83" spans="1:29">
      <c r="A83" s="18" t="str">
        <f>IF(C83=0,"","YF23"&amp;TEXT(MID(pooling详情!$A$1,14,(FIND("期",pooling详情!$A$1)-FIND("第",pooling详情!$A$1)-1)),"0000"))</f>
        <v/>
      </c>
      <c r="B83" s="18">
        <f>上机信息表!G83</f>
        <v>0</v>
      </c>
      <c r="C83" s="18">
        <f>上机信息表!C83</f>
        <v>0</v>
      </c>
      <c r="D83" s="18">
        <f>上机信息表!D83</f>
        <v>0</v>
      </c>
      <c r="E83" s="18">
        <f>上机信息表!E83</f>
        <v>0</v>
      </c>
      <c r="F83" s="18">
        <f>上机信息表!F83</f>
        <v>0</v>
      </c>
      <c r="G83" s="18">
        <f>上机信息表!H83</f>
        <v>0</v>
      </c>
      <c r="H83" s="18">
        <f>上机信息表!I83</f>
        <v>0</v>
      </c>
      <c r="I83" s="18">
        <f>IF(F83="DNA",上机信息表!I83*70,上机信息表!I83*100)</f>
        <v>0</v>
      </c>
      <c r="K83" s="33">
        <f>上机信息表!A83</f>
        <v>0</v>
      </c>
      <c r="L83" s="18">
        <f>上机信息表!J83</f>
        <v>0</v>
      </c>
      <c r="M83" s="18">
        <f>上机信息表!K83</f>
        <v>0</v>
      </c>
      <c r="N83" s="18">
        <f>上机信息表!L83</f>
        <v>0</v>
      </c>
      <c r="O83" s="18">
        <f>上机信息表!M83</f>
        <v>0</v>
      </c>
      <c r="P83" s="18">
        <f>上机信息表!N83</f>
        <v>0</v>
      </c>
      <c r="Q83" s="18">
        <f>上机信息表!O83</f>
        <v>0</v>
      </c>
      <c r="R83" s="18" t="str">
        <f>IF(C83=0,"","VMGZ22"&amp;TEXT(MID(pooling详情!$A$1,14,(FIND("期",pooling详情!$A$1)-FIND("第",pooling详情!$A$1)-1)),"0000"))</f>
        <v/>
      </c>
      <c r="S83" s="18">
        <f>上机信息表!P83</f>
        <v>0</v>
      </c>
      <c r="T83" s="18" t="str">
        <f>IF(C83=0,"",pooling详情!$G$66)</f>
        <v/>
      </c>
      <c r="U83" s="34" t="str">
        <f>IF(C83=0,"",pooling详情!$A$80)</f>
        <v/>
      </c>
      <c r="V83" s="34" t="str">
        <f t="shared" si="6"/>
        <v/>
      </c>
      <c r="W83" s="18">
        <f>上机信息表!X83</f>
        <v>0</v>
      </c>
      <c r="X83" s="18">
        <f>上机信息表!R83</f>
        <v>0</v>
      </c>
      <c r="Y83" t="str">
        <f t="shared" si="7"/>
        <v/>
      </c>
      <c r="Z83" t="str">
        <f>IFERROR(IF(Y83="RNA提取试剂盒",CONCATENATE(MID(上机信息表!Q83,SEARCH("提取",上机信息表!Q83),SEARCH("建",上机信息表!Q83)-2)),IF(Y83="DNA提取试剂盒",IF(ISNUMBER(FIND("呼吸道",上机信息表!Q83)),CONCATENATE(MID(上机信息表!Q83,SEARCH("提取",上机信息表!Q83),SEARCH(",",上机信息表!Q83,SEARCH("呼吸道",上机信息表!Q83))-1)),IF(ISNUMBER(FIND("组织",上机信息表!Q83)),CONCATENATE(MID(上机信息表!Q83,SEARCH("提取",上机信息表!Q83),SEARCH(",",上机信息表!Q83,SEARCH("组织",上机信息表!Q83))-1)),CONCATENATE(MID(上机信息表!Q83,SEARCH("提取",上机信息表!Q83),SEARCH(",",上机信息表!Q83)-1)))),"")),"")</f>
        <v/>
      </c>
      <c r="AA83" t="str">
        <f t="shared" si="8"/>
        <v/>
      </c>
      <c r="AB83" t="str">
        <f>IFERROR(IF(AA83="RNA建库试剂盒",MID(上机信息表!Q83,SEARCH("建库",上机信息表!Q83),20),IF(AA83="DNA建库试剂盒",MID(上机信息表!Q83,SEARCH("建库",上机信息表!Q83),20),"")),"")</f>
        <v/>
      </c>
      <c r="AC83" t="str">
        <f>IF(C83=0,"",CONCATENATE("芯片批号：",'IDseq-上机流程监控表'!$G$5,",","上机试剂批号：",'IDseq-上机流程监控表'!$G$6,",","Buffer批号：",'IDseq-上机流程监控表'!$G$7))</f>
        <v/>
      </c>
    </row>
    <row r="84" spans="1:29">
      <c r="A84" s="18" t="str">
        <f>IF(C84=0,"","YF23"&amp;TEXT(MID(pooling详情!$A$1,14,(FIND("期",pooling详情!$A$1)-FIND("第",pooling详情!$A$1)-1)),"0000"))</f>
        <v/>
      </c>
      <c r="B84" s="18">
        <f>上机信息表!G84</f>
        <v>0</v>
      </c>
      <c r="C84" s="18">
        <f>上机信息表!C84</f>
        <v>0</v>
      </c>
      <c r="D84" s="18">
        <f>上机信息表!D84</f>
        <v>0</v>
      </c>
      <c r="E84" s="18">
        <f>上机信息表!E84</f>
        <v>0</v>
      </c>
      <c r="F84" s="18">
        <f>上机信息表!F84</f>
        <v>0</v>
      </c>
      <c r="G84" s="18">
        <f>上机信息表!H84</f>
        <v>0</v>
      </c>
      <c r="H84" s="18">
        <f>上机信息表!I84</f>
        <v>0</v>
      </c>
      <c r="I84" s="18">
        <f>IF(F84="DNA",上机信息表!I84*70,上机信息表!I84*100)</f>
        <v>0</v>
      </c>
      <c r="K84" s="33">
        <f>上机信息表!A84</f>
        <v>0</v>
      </c>
      <c r="L84" s="18">
        <f>上机信息表!J84</f>
        <v>0</v>
      </c>
      <c r="M84" s="18">
        <f>上机信息表!K84</f>
        <v>0</v>
      </c>
      <c r="N84" s="18">
        <f>上机信息表!L84</f>
        <v>0</v>
      </c>
      <c r="O84" s="18">
        <f>上机信息表!M84</f>
        <v>0</v>
      </c>
      <c r="P84" s="18">
        <f>上机信息表!N84</f>
        <v>0</v>
      </c>
      <c r="Q84" s="18">
        <f>上机信息表!O84</f>
        <v>0</v>
      </c>
      <c r="R84" s="18" t="str">
        <f>IF(C84=0,"","VMGZ22"&amp;TEXT(MID(pooling详情!$A$1,14,(FIND("期",pooling详情!$A$1)-FIND("第",pooling详情!$A$1)-1)),"0000"))</f>
        <v/>
      </c>
      <c r="S84" s="18">
        <f>上机信息表!P84</f>
        <v>0</v>
      </c>
      <c r="T84" s="18" t="str">
        <f>IF(C84=0,"",pooling详情!$G$66)</f>
        <v/>
      </c>
      <c r="U84" s="34" t="str">
        <f>IF(C84=0,"",pooling详情!$A$80)</f>
        <v/>
      </c>
      <c r="V84" s="34" t="str">
        <f t="shared" si="6"/>
        <v/>
      </c>
      <c r="W84" s="18">
        <f>上机信息表!X84</f>
        <v>0</v>
      </c>
      <c r="X84" s="18">
        <f>上机信息表!R84</f>
        <v>0</v>
      </c>
      <c r="Y84" t="str">
        <f t="shared" si="7"/>
        <v/>
      </c>
      <c r="Z84" t="str">
        <f>IFERROR(IF(Y84="RNA提取试剂盒",CONCATENATE(MID(上机信息表!Q84,SEARCH("提取",上机信息表!Q84),SEARCH("建",上机信息表!Q84)-2)),IF(Y84="DNA提取试剂盒",IF(ISNUMBER(FIND("呼吸道",上机信息表!Q84)),CONCATENATE(MID(上机信息表!Q84,SEARCH("提取",上机信息表!Q84),SEARCH(",",上机信息表!Q84,SEARCH("呼吸道",上机信息表!Q84))-1)),IF(ISNUMBER(FIND("组织",上机信息表!Q84)),CONCATENATE(MID(上机信息表!Q84,SEARCH("提取",上机信息表!Q84),SEARCH(",",上机信息表!Q84,SEARCH("组织",上机信息表!Q84))-1)),CONCATENATE(MID(上机信息表!Q84,SEARCH("提取",上机信息表!Q84),SEARCH(",",上机信息表!Q84)-1)))),"")),"")</f>
        <v/>
      </c>
      <c r="AA84" t="str">
        <f t="shared" si="8"/>
        <v/>
      </c>
      <c r="AB84" t="str">
        <f>IFERROR(IF(AA84="RNA建库试剂盒",MID(上机信息表!Q84,SEARCH("建库",上机信息表!Q84),20),IF(AA84="DNA建库试剂盒",MID(上机信息表!Q84,SEARCH("建库",上机信息表!Q84),20),"")),"")</f>
        <v/>
      </c>
      <c r="AC84" t="str">
        <f>IF(C84=0,"",CONCATENATE("芯片批号：",'IDseq-上机流程监控表'!$G$5,",","上机试剂批号：",'IDseq-上机流程监控表'!$G$6,",","Buffer批号：",'IDseq-上机流程监控表'!$G$7))</f>
        <v/>
      </c>
    </row>
    <row r="85" spans="1:29">
      <c r="A85" s="18" t="str">
        <f>IF(C85=0,"","YF23"&amp;TEXT(MID(pooling详情!$A$1,14,(FIND("期",pooling详情!$A$1)-FIND("第",pooling详情!$A$1)-1)),"0000"))</f>
        <v/>
      </c>
      <c r="B85" s="18">
        <f>上机信息表!G85</f>
        <v>0</v>
      </c>
      <c r="C85" s="18">
        <f>上机信息表!C85</f>
        <v>0</v>
      </c>
      <c r="D85" s="18">
        <f>上机信息表!D85</f>
        <v>0</v>
      </c>
      <c r="E85" s="18">
        <f>上机信息表!E85</f>
        <v>0</v>
      </c>
      <c r="F85" s="18">
        <f>上机信息表!F85</f>
        <v>0</v>
      </c>
      <c r="G85" s="18">
        <f>上机信息表!H85</f>
        <v>0</v>
      </c>
      <c r="H85" s="18">
        <f>上机信息表!I85</f>
        <v>0</v>
      </c>
      <c r="I85" s="18">
        <f>IF(F85="DNA",上机信息表!I85*70,上机信息表!I85*100)</f>
        <v>0</v>
      </c>
      <c r="K85" s="33">
        <f>上机信息表!A85</f>
        <v>0</v>
      </c>
      <c r="L85" s="18">
        <f>上机信息表!J85</f>
        <v>0</v>
      </c>
      <c r="M85" s="18">
        <f>上机信息表!K85</f>
        <v>0</v>
      </c>
      <c r="N85" s="18">
        <f>上机信息表!L85</f>
        <v>0</v>
      </c>
      <c r="O85" s="18">
        <f>上机信息表!M85</f>
        <v>0</v>
      </c>
      <c r="P85" s="18">
        <f>上机信息表!N85</f>
        <v>0</v>
      </c>
      <c r="Q85" s="18">
        <f>上机信息表!O85</f>
        <v>0</v>
      </c>
      <c r="R85" s="18" t="str">
        <f>IF(C85=0,"","VMGZ22"&amp;TEXT(MID(pooling详情!$A$1,14,(FIND("期",pooling详情!$A$1)-FIND("第",pooling详情!$A$1)-1)),"0000"))</f>
        <v/>
      </c>
      <c r="S85" s="18">
        <f>上机信息表!P85</f>
        <v>0</v>
      </c>
      <c r="T85" s="18" t="str">
        <f>IF(C85=0,"",pooling详情!$G$66)</f>
        <v/>
      </c>
      <c r="U85" s="34" t="str">
        <f>IF(C85=0,"",pooling详情!$A$80)</f>
        <v/>
      </c>
      <c r="V85" s="34" t="str">
        <f t="shared" si="6"/>
        <v/>
      </c>
      <c r="W85" s="18">
        <f>上机信息表!X85</f>
        <v>0</v>
      </c>
      <c r="X85" s="18">
        <f>上机信息表!R85</f>
        <v>0</v>
      </c>
      <c r="Y85" t="str">
        <f t="shared" si="7"/>
        <v/>
      </c>
      <c r="Z85" t="str">
        <f>IFERROR(IF(Y85="RNA提取试剂盒",CONCATENATE(MID(上机信息表!Q85,SEARCH("提取",上机信息表!Q85),SEARCH("建",上机信息表!Q85)-2)),IF(Y85="DNA提取试剂盒",IF(ISNUMBER(FIND("呼吸道",上机信息表!Q85)),CONCATENATE(MID(上机信息表!Q85,SEARCH("提取",上机信息表!Q85),SEARCH(",",上机信息表!Q85,SEARCH("呼吸道",上机信息表!Q85))-1)),IF(ISNUMBER(FIND("组织",上机信息表!Q85)),CONCATENATE(MID(上机信息表!Q85,SEARCH("提取",上机信息表!Q85),SEARCH(",",上机信息表!Q85,SEARCH("组织",上机信息表!Q85))-1)),CONCATENATE(MID(上机信息表!Q85,SEARCH("提取",上机信息表!Q85),SEARCH(",",上机信息表!Q85)-1)))),"")),"")</f>
        <v/>
      </c>
      <c r="AA85" t="str">
        <f t="shared" si="8"/>
        <v/>
      </c>
      <c r="AB85" t="str">
        <f>IFERROR(IF(AA85="RNA建库试剂盒",MID(上机信息表!Q85,SEARCH("建库",上机信息表!Q85),20),IF(AA85="DNA建库试剂盒",MID(上机信息表!Q85,SEARCH("建库",上机信息表!Q85),20),"")),"")</f>
        <v/>
      </c>
      <c r="AC85" t="str">
        <f>IF(C85=0,"",CONCATENATE("芯片批号：",'IDseq-上机流程监控表'!$G$5,",","上机试剂批号：",'IDseq-上机流程监控表'!$G$6,",","Buffer批号：",'IDseq-上机流程监控表'!$G$7))</f>
        <v/>
      </c>
    </row>
    <row r="86" spans="1:29">
      <c r="A86" s="18" t="str">
        <f>IF(C86=0,"","YF23"&amp;TEXT(MID(pooling详情!$A$1,14,(FIND("期",pooling详情!$A$1)-FIND("第",pooling详情!$A$1)-1)),"0000"))</f>
        <v/>
      </c>
      <c r="B86" s="18">
        <f>上机信息表!G86</f>
        <v>0</v>
      </c>
      <c r="C86" s="18">
        <f>上机信息表!C86</f>
        <v>0</v>
      </c>
      <c r="D86" s="18">
        <f>上机信息表!D86</f>
        <v>0</v>
      </c>
      <c r="E86" s="18">
        <f>上机信息表!E86</f>
        <v>0</v>
      </c>
      <c r="F86" s="18">
        <f>上机信息表!F86</f>
        <v>0</v>
      </c>
      <c r="G86" s="18">
        <f>上机信息表!H86</f>
        <v>0</v>
      </c>
      <c r="H86" s="18">
        <f>上机信息表!I86</f>
        <v>0</v>
      </c>
      <c r="I86" s="18">
        <f>IF(F86="DNA",上机信息表!I86*70,上机信息表!I86*100)</f>
        <v>0</v>
      </c>
      <c r="K86" s="33">
        <f>上机信息表!A86</f>
        <v>0</v>
      </c>
      <c r="L86" s="18">
        <f>上机信息表!J86</f>
        <v>0</v>
      </c>
      <c r="M86" s="18">
        <f>上机信息表!K86</f>
        <v>0</v>
      </c>
      <c r="N86" s="18">
        <f>上机信息表!L86</f>
        <v>0</v>
      </c>
      <c r="O86" s="18">
        <f>上机信息表!M86</f>
        <v>0</v>
      </c>
      <c r="P86" s="18">
        <f>上机信息表!N86</f>
        <v>0</v>
      </c>
      <c r="Q86" s="18">
        <f>上机信息表!O86</f>
        <v>0</v>
      </c>
      <c r="R86" s="18" t="str">
        <f>IF(C86=0,"","VMGZ22"&amp;TEXT(MID(pooling详情!$A$1,14,(FIND("期",pooling详情!$A$1)-FIND("第",pooling详情!$A$1)-1)),"0000"))</f>
        <v/>
      </c>
      <c r="S86" s="18">
        <f>上机信息表!P86</f>
        <v>0</v>
      </c>
      <c r="T86" s="18" t="str">
        <f>IF(C86=0,"",pooling详情!$G$66)</f>
        <v/>
      </c>
      <c r="U86" s="34" t="str">
        <f>IF(C86=0,"",pooling详情!$A$80)</f>
        <v/>
      </c>
      <c r="V86" s="34" t="str">
        <f t="shared" si="6"/>
        <v/>
      </c>
      <c r="W86" s="18">
        <f>上机信息表!X86</f>
        <v>0</v>
      </c>
      <c r="X86" s="18">
        <f>上机信息表!R86</f>
        <v>0</v>
      </c>
      <c r="Y86" t="str">
        <f t="shared" si="7"/>
        <v/>
      </c>
      <c r="Z86" t="str">
        <f>IFERROR(IF(Y86="RNA提取试剂盒",CONCATENATE(MID(上机信息表!Q86,SEARCH("提取",上机信息表!Q86),SEARCH("建",上机信息表!Q86)-2)),IF(Y86="DNA提取试剂盒",IF(ISNUMBER(FIND("呼吸道",上机信息表!Q86)),CONCATENATE(MID(上机信息表!Q86,SEARCH("提取",上机信息表!Q86),SEARCH(",",上机信息表!Q86,SEARCH("呼吸道",上机信息表!Q86))-1)),IF(ISNUMBER(FIND("组织",上机信息表!Q86)),CONCATENATE(MID(上机信息表!Q86,SEARCH("提取",上机信息表!Q86),SEARCH(",",上机信息表!Q86,SEARCH("组织",上机信息表!Q86))-1)),CONCATENATE(MID(上机信息表!Q86,SEARCH("提取",上机信息表!Q86),SEARCH(",",上机信息表!Q86)-1)))),"")),"")</f>
        <v/>
      </c>
      <c r="AA86" t="str">
        <f t="shared" si="8"/>
        <v/>
      </c>
      <c r="AB86" t="str">
        <f>IFERROR(IF(AA86="RNA建库试剂盒",MID(上机信息表!Q86,SEARCH("建库",上机信息表!Q86),20),IF(AA86="DNA建库试剂盒",MID(上机信息表!Q86,SEARCH("建库",上机信息表!Q86),20),"")),"")</f>
        <v/>
      </c>
      <c r="AC86" t="str">
        <f>IF(C86=0,"",CONCATENATE("芯片批号：",'IDseq-上机流程监控表'!$G$5,",","上机试剂批号：",'IDseq-上机流程监控表'!$G$6,",","Buffer批号：",'IDseq-上机流程监控表'!$G$7))</f>
        <v/>
      </c>
    </row>
    <row r="87" spans="1:29">
      <c r="A87" s="18" t="str">
        <f>IF(C87=0,"","YF23"&amp;TEXT(MID(pooling详情!$A$1,14,(FIND("期",pooling详情!$A$1)-FIND("第",pooling详情!$A$1)-1)),"0000"))</f>
        <v/>
      </c>
      <c r="B87" s="18">
        <f>上机信息表!G87</f>
        <v>0</v>
      </c>
      <c r="C87" s="18">
        <f>上机信息表!C87</f>
        <v>0</v>
      </c>
      <c r="D87" s="18">
        <f>上机信息表!D87</f>
        <v>0</v>
      </c>
      <c r="E87" s="18">
        <f>上机信息表!E87</f>
        <v>0</v>
      </c>
      <c r="F87" s="18">
        <f>上机信息表!F87</f>
        <v>0</v>
      </c>
      <c r="G87" s="18">
        <f>上机信息表!H87</f>
        <v>0</v>
      </c>
      <c r="H87" s="18">
        <f>上机信息表!I87</f>
        <v>0</v>
      </c>
      <c r="I87" s="18">
        <f>IF(F87="DNA",上机信息表!I87*70,上机信息表!I87*100)</f>
        <v>0</v>
      </c>
      <c r="K87" s="33">
        <f>上机信息表!A87</f>
        <v>0</v>
      </c>
      <c r="L87" s="18">
        <f>上机信息表!J87</f>
        <v>0</v>
      </c>
      <c r="M87" s="18">
        <f>上机信息表!K87</f>
        <v>0</v>
      </c>
      <c r="N87" s="18">
        <f>上机信息表!L87</f>
        <v>0</v>
      </c>
      <c r="O87" s="18">
        <f>上机信息表!M87</f>
        <v>0</v>
      </c>
      <c r="P87" s="18">
        <f>上机信息表!N87</f>
        <v>0</v>
      </c>
      <c r="Q87" s="18">
        <f>上机信息表!O87</f>
        <v>0</v>
      </c>
      <c r="R87" s="18" t="str">
        <f>IF(C87=0,"","VMGZ22"&amp;TEXT(MID(pooling详情!$A$1,14,(FIND("期",pooling详情!$A$1)-FIND("第",pooling详情!$A$1)-1)),"0000"))</f>
        <v/>
      </c>
      <c r="S87" s="18">
        <f>上机信息表!P87</f>
        <v>0</v>
      </c>
      <c r="T87" s="18" t="str">
        <f>IF(C87=0,"",pooling详情!$G$66)</f>
        <v/>
      </c>
      <c r="U87" s="34" t="str">
        <f>IF(C87=0,"",pooling详情!$A$80)</f>
        <v/>
      </c>
      <c r="V87" s="34" t="str">
        <f t="shared" si="6"/>
        <v/>
      </c>
      <c r="W87" s="18">
        <f>上机信息表!X87</f>
        <v>0</v>
      </c>
      <c r="X87" s="18">
        <f>上机信息表!R87</f>
        <v>0</v>
      </c>
      <c r="Y87" t="str">
        <f t="shared" si="7"/>
        <v/>
      </c>
      <c r="Z87" t="str">
        <f>IFERROR(IF(Y87="RNA提取试剂盒",CONCATENATE(MID(上机信息表!Q87,SEARCH("提取",上机信息表!Q87),SEARCH("建",上机信息表!Q87)-2)),IF(Y87="DNA提取试剂盒",IF(ISNUMBER(FIND("呼吸道",上机信息表!Q87)),CONCATENATE(MID(上机信息表!Q87,SEARCH("提取",上机信息表!Q87),SEARCH(",",上机信息表!Q87,SEARCH("呼吸道",上机信息表!Q87))-1)),IF(ISNUMBER(FIND("组织",上机信息表!Q87)),CONCATENATE(MID(上机信息表!Q87,SEARCH("提取",上机信息表!Q87),SEARCH(",",上机信息表!Q87,SEARCH("组织",上机信息表!Q87))-1)),CONCATENATE(MID(上机信息表!Q87,SEARCH("提取",上机信息表!Q87),SEARCH(",",上机信息表!Q87)-1)))),"")),"")</f>
        <v/>
      </c>
      <c r="AA87" t="str">
        <f t="shared" si="8"/>
        <v/>
      </c>
      <c r="AB87" t="str">
        <f>IFERROR(IF(AA87="RNA建库试剂盒",MID(上机信息表!Q87,SEARCH("建库",上机信息表!Q87),20),IF(AA87="DNA建库试剂盒",MID(上机信息表!Q87,SEARCH("建库",上机信息表!Q87),20),"")),"")</f>
        <v/>
      </c>
      <c r="AC87" t="str">
        <f>IF(C87=0,"",CONCATENATE("芯片批号：",'IDseq-上机流程监控表'!$G$5,",","上机试剂批号：",'IDseq-上机流程监控表'!$G$6,",","Buffer批号：",'IDseq-上机流程监控表'!$G$7))</f>
        <v/>
      </c>
    </row>
    <row r="88" spans="1:29">
      <c r="A88" s="18" t="str">
        <f>IF(C88=0,"","YF23"&amp;TEXT(MID(pooling详情!$A$1,14,(FIND("期",pooling详情!$A$1)-FIND("第",pooling详情!$A$1)-1)),"0000"))</f>
        <v/>
      </c>
      <c r="B88" s="18">
        <f>上机信息表!G88</f>
        <v>0</v>
      </c>
      <c r="C88" s="18">
        <f>上机信息表!C88</f>
        <v>0</v>
      </c>
      <c r="D88" s="18">
        <f>上机信息表!D88</f>
        <v>0</v>
      </c>
      <c r="E88" s="18">
        <f>上机信息表!E88</f>
        <v>0</v>
      </c>
      <c r="F88" s="18">
        <f>上机信息表!F88</f>
        <v>0</v>
      </c>
      <c r="G88" s="18">
        <f>上机信息表!H88</f>
        <v>0</v>
      </c>
      <c r="H88" s="18">
        <f>上机信息表!I88</f>
        <v>0</v>
      </c>
      <c r="I88" s="18">
        <f>IF(F88="DNA",上机信息表!I88*70,上机信息表!I88*100)</f>
        <v>0</v>
      </c>
      <c r="K88" s="33">
        <f>上机信息表!A88</f>
        <v>0</v>
      </c>
      <c r="L88" s="18">
        <f>上机信息表!J88</f>
        <v>0</v>
      </c>
      <c r="M88" s="18">
        <f>上机信息表!K88</f>
        <v>0</v>
      </c>
      <c r="N88" s="18">
        <f>上机信息表!L88</f>
        <v>0</v>
      </c>
      <c r="O88" s="18">
        <f>上机信息表!M88</f>
        <v>0</v>
      </c>
      <c r="P88" s="18">
        <f>上机信息表!N88</f>
        <v>0</v>
      </c>
      <c r="Q88" s="18">
        <f>上机信息表!O88</f>
        <v>0</v>
      </c>
      <c r="R88" s="18" t="str">
        <f>IF(C88=0,"","VMGZ22"&amp;TEXT(MID(pooling详情!$A$1,14,(FIND("期",pooling详情!$A$1)-FIND("第",pooling详情!$A$1)-1)),"0000"))</f>
        <v/>
      </c>
      <c r="S88" s="18">
        <f>上机信息表!P88</f>
        <v>0</v>
      </c>
      <c r="T88" s="18" t="str">
        <f>IF(C88=0,"",pooling详情!$G$66)</f>
        <v/>
      </c>
      <c r="U88" s="34" t="str">
        <f>IF(C88=0,"",pooling详情!$A$80)</f>
        <v/>
      </c>
      <c r="V88" s="34" t="str">
        <f t="shared" si="6"/>
        <v/>
      </c>
      <c r="W88" s="18">
        <f>上机信息表!X88</f>
        <v>0</v>
      </c>
      <c r="X88" s="18">
        <f>上机信息表!R88</f>
        <v>0</v>
      </c>
      <c r="Y88" t="str">
        <f t="shared" si="7"/>
        <v/>
      </c>
      <c r="Z88" t="str">
        <f>IFERROR(IF(Y88="RNA提取试剂盒",CONCATENATE(MID(上机信息表!Q88,SEARCH("提取",上机信息表!Q88),SEARCH("建",上机信息表!Q88)-2)),IF(Y88="DNA提取试剂盒",IF(ISNUMBER(FIND("呼吸道",上机信息表!Q88)),CONCATENATE(MID(上机信息表!Q88,SEARCH("提取",上机信息表!Q88),SEARCH(",",上机信息表!Q88,SEARCH("呼吸道",上机信息表!Q88))-1)),IF(ISNUMBER(FIND("组织",上机信息表!Q88)),CONCATENATE(MID(上机信息表!Q88,SEARCH("提取",上机信息表!Q88),SEARCH(",",上机信息表!Q88,SEARCH("组织",上机信息表!Q88))-1)),CONCATENATE(MID(上机信息表!Q88,SEARCH("提取",上机信息表!Q88),SEARCH(",",上机信息表!Q88)-1)))),"")),"")</f>
        <v/>
      </c>
      <c r="AA88" t="str">
        <f t="shared" si="8"/>
        <v/>
      </c>
      <c r="AB88" t="str">
        <f>IFERROR(IF(AA88="RNA建库试剂盒",MID(上机信息表!Q88,SEARCH("建库",上机信息表!Q88),20),IF(AA88="DNA建库试剂盒",MID(上机信息表!Q88,SEARCH("建库",上机信息表!Q88),20),"")),"")</f>
        <v/>
      </c>
      <c r="AC88" t="str">
        <f>IF(C88=0,"",CONCATENATE("芯片批号：",'IDseq-上机流程监控表'!$G$5,",","上机试剂批号：",'IDseq-上机流程监控表'!$G$6,",","Buffer批号：",'IDseq-上机流程监控表'!$G$7))</f>
        <v/>
      </c>
    </row>
    <row r="89" spans="1:29">
      <c r="A89" s="18" t="str">
        <f>IF(C89=0,"","YF23"&amp;TEXT(MID(pooling详情!$A$1,14,(FIND("期",pooling详情!$A$1)-FIND("第",pooling详情!$A$1)-1)),"0000"))</f>
        <v/>
      </c>
      <c r="B89" s="18">
        <f>上机信息表!G89</f>
        <v>0</v>
      </c>
      <c r="C89" s="18">
        <f>上机信息表!C89</f>
        <v>0</v>
      </c>
      <c r="D89" s="18">
        <f>上机信息表!D89</f>
        <v>0</v>
      </c>
      <c r="E89" s="18">
        <f>上机信息表!E89</f>
        <v>0</v>
      </c>
      <c r="F89" s="18">
        <f>上机信息表!F89</f>
        <v>0</v>
      </c>
      <c r="G89" s="18">
        <f>上机信息表!H89</f>
        <v>0</v>
      </c>
      <c r="H89" s="18">
        <f>上机信息表!I89</f>
        <v>0</v>
      </c>
      <c r="I89" s="18">
        <f>IF(F89="DNA",上机信息表!I89*70,上机信息表!I89*100)</f>
        <v>0</v>
      </c>
      <c r="K89" s="33">
        <f>上机信息表!A89</f>
        <v>0</v>
      </c>
      <c r="L89" s="18">
        <f>上机信息表!J89</f>
        <v>0</v>
      </c>
      <c r="M89" s="18">
        <f>上机信息表!K89</f>
        <v>0</v>
      </c>
      <c r="N89" s="18">
        <f>上机信息表!L89</f>
        <v>0</v>
      </c>
      <c r="O89" s="18">
        <f>上机信息表!M89</f>
        <v>0</v>
      </c>
      <c r="P89" s="18">
        <f>上机信息表!N89</f>
        <v>0</v>
      </c>
      <c r="Q89" s="18">
        <f>上机信息表!O89</f>
        <v>0</v>
      </c>
      <c r="R89" s="18" t="str">
        <f>IF(C89=0,"","VMGZ22"&amp;TEXT(MID(pooling详情!$A$1,14,(FIND("期",pooling详情!$A$1)-FIND("第",pooling详情!$A$1)-1)),"0000"))</f>
        <v/>
      </c>
      <c r="S89" s="18">
        <f>上机信息表!P89</f>
        <v>0</v>
      </c>
      <c r="T89" s="18" t="str">
        <f>IF(C89=0,"",pooling详情!$G$66)</f>
        <v/>
      </c>
      <c r="U89" s="34" t="str">
        <f>IF(C89=0,"",pooling详情!$A$80)</f>
        <v/>
      </c>
      <c r="V89" s="34" t="str">
        <f t="shared" si="6"/>
        <v/>
      </c>
      <c r="W89" s="18">
        <f>上机信息表!X89</f>
        <v>0</v>
      </c>
      <c r="X89" s="18">
        <f>上机信息表!R89</f>
        <v>0</v>
      </c>
      <c r="Y89" t="str">
        <f t="shared" si="7"/>
        <v/>
      </c>
      <c r="Z89" t="str">
        <f>IFERROR(IF(Y89="RNA提取试剂盒",CONCATENATE(MID(上机信息表!Q89,SEARCH("提取",上机信息表!Q89),SEARCH("建",上机信息表!Q89)-2)),IF(Y89="DNA提取试剂盒",IF(ISNUMBER(FIND("呼吸道",上机信息表!Q89)),CONCATENATE(MID(上机信息表!Q89,SEARCH("提取",上机信息表!Q89),SEARCH(",",上机信息表!Q89,SEARCH("呼吸道",上机信息表!Q89))-1)),IF(ISNUMBER(FIND("组织",上机信息表!Q89)),CONCATENATE(MID(上机信息表!Q89,SEARCH("提取",上机信息表!Q89),SEARCH(",",上机信息表!Q89,SEARCH("组织",上机信息表!Q89))-1)),CONCATENATE(MID(上机信息表!Q89,SEARCH("提取",上机信息表!Q89),SEARCH(",",上机信息表!Q89)-1)))),"")),"")</f>
        <v/>
      </c>
      <c r="AA89" t="str">
        <f t="shared" si="8"/>
        <v/>
      </c>
      <c r="AB89" t="str">
        <f>IFERROR(IF(AA89="RNA建库试剂盒",MID(上机信息表!Q89,SEARCH("建库",上机信息表!Q89),20),IF(AA89="DNA建库试剂盒",MID(上机信息表!Q89,SEARCH("建库",上机信息表!Q89),20),"")),"")</f>
        <v/>
      </c>
      <c r="AC89" t="str">
        <f>IF(C89=0,"",CONCATENATE("芯片批号：",'IDseq-上机流程监控表'!$G$5,",","上机试剂批号：",'IDseq-上机流程监控表'!$G$6,",","Buffer批号：",'IDseq-上机流程监控表'!$G$7))</f>
        <v/>
      </c>
    </row>
    <row r="90" spans="1:29">
      <c r="A90" s="18" t="str">
        <f>IF(C90=0,"","YF23"&amp;TEXT(MID(pooling详情!$A$1,14,(FIND("期",pooling详情!$A$1)-FIND("第",pooling详情!$A$1)-1)),"0000"))</f>
        <v/>
      </c>
      <c r="B90" s="18">
        <f>上机信息表!G90</f>
        <v>0</v>
      </c>
      <c r="C90" s="18">
        <f>上机信息表!C90</f>
        <v>0</v>
      </c>
      <c r="D90" s="18">
        <f>上机信息表!D90</f>
        <v>0</v>
      </c>
      <c r="E90" s="18">
        <f>上机信息表!E90</f>
        <v>0</v>
      </c>
      <c r="F90" s="18">
        <f>上机信息表!F90</f>
        <v>0</v>
      </c>
      <c r="G90" s="18">
        <f>上机信息表!H90</f>
        <v>0</v>
      </c>
      <c r="H90" s="18">
        <f>上机信息表!I90</f>
        <v>0</v>
      </c>
      <c r="I90" s="18">
        <f>IF(F90="DNA",上机信息表!I90*70,上机信息表!I90*100)</f>
        <v>0</v>
      </c>
      <c r="K90" s="33">
        <f>上机信息表!A90</f>
        <v>0</v>
      </c>
      <c r="L90" s="18">
        <f>上机信息表!J90</f>
        <v>0</v>
      </c>
      <c r="M90" s="18">
        <f>上机信息表!K90</f>
        <v>0</v>
      </c>
      <c r="N90" s="18">
        <f>上机信息表!L90</f>
        <v>0</v>
      </c>
      <c r="O90" s="18">
        <f>上机信息表!M90</f>
        <v>0</v>
      </c>
      <c r="P90" s="18">
        <f>上机信息表!N90</f>
        <v>0</v>
      </c>
      <c r="Q90" s="18">
        <f>上机信息表!O90</f>
        <v>0</v>
      </c>
      <c r="R90" s="18" t="str">
        <f>IF(C90=0,"","VMGZ22"&amp;TEXT(MID(pooling详情!$A$1,14,(FIND("期",pooling详情!$A$1)-FIND("第",pooling详情!$A$1)-1)),"0000"))</f>
        <v/>
      </c>
      <c r="S90" s="18">
        <f>上机信息表!P90</f>
        <v>0</v>
      </c>
      <c r="T90" s="18" t="str">
        <f>IF(C90=0,"",pooling详情!$G$66)</f>
        <v/>
      </c>
      <c r="U90" s="34" t="str">
        <f>IF(C90=0,"",pooling详情!$A$80)</f>
        <v/>
      </c>
      <c r="V90" s="34" t="str">
        <f t="shared" si="6"/>
        <v/>
      </c>
      <c r="W90" s="18">
        <f>上机信息表!X90</f>
        <v>0</v>
      </c>
      <c r="X90" s="18">
        <f>上机信息表!R90</f>
        <v>0</v>
      </c>
      <c r="Y90" t="str">
        <f t="shared" si="7"/>
        <v/>
      </c>
      <c r="Z90" t="str">
        <f>IFERROR(IF(Y90="RNA提取试剂盒",CONCATENATE(MID(上机信息表!Q90,SEARCH("提取",上机信息表!Q90),SEARCH("建",上机信息表!Q90)-2)),IF(Y90="DNA提取试剂盒",IF(ISNUMBER(FIND("呼吸道",上机信息表!Q90)),CONCATENATE(MID(上机信息表!Q90,SEARCH("提取",上机信息表!Q90),SEARCH(",",上机信息表!Q90,SEARCH("呼吸道",上机信息表!Q90))-1)),IF(ISNUMBER(FIND("组织",上机信息表!Q90)),CONCATENATE(MID(上机信息表!Q90,SEARCH("提取",上机信息表!Q90),SEARCH(",",上机信息表!Q90,SEARCH("组织",上机信息表!Q90))-1)),CONCATENATE(MID(上机信息表!Q90,SEARCH("提取",上机信息表!Q90),SEARCH(",",上机信息表!Q90)-1)))),"")),"")</f>
        <v/>
      </c>
      <c r="AA90" t="str">
        <f t="shared" si="8"/>
        <v/>
      </c>
      <c r="AB90" t="str">
        <f>IFERROR(IF(AA90="RNA建库试剂盒",MID(上机信息表!Q90,SEARCH("建库",上机信息表!Q90),20),IF(AA90="DNA建库试剂盒",MID(上机信息表!Q90,SEARCH("建库",上机信息表!Q90),20),"")),"")</f>
        <v/>
      </c>
      <c r="AC90" t="str">
        <f>IF(C90=0,"",CONCATENATE("芯片批号：",'IDseq-上机流程监控表'!$G$5,",","上机试剂批号：",'IDseq-上机流程监控表'!$G$6,",","Buffer批号：",'IDseq-上机流程监控表'!$G$7))</f>
        <v/>
      </c>
    </row>
    <row r="91" spans="1:29">
      <c r="A91" s="18" t="str">
        <f>IF(C91=0,"","YF23"&amp;TEXT(MID(pooling详情!$A$1,14,(FIND("期",pooling详情!$A$1)-FIND("第",pooling详情!$A$1)-1)),"0000"))</f>
        <v/>
      </c>
      <c r="B91" s="18">
        <f>上机信息表!G91</f>
        <v>0</v>
      </c>
      <c r="C91" s="18">
        <f>上机信息表!C91</f>
        <v>0</v>
      </c>
      <c r="D91" s="18">
        <f>上机信息表!D91</f>
        <v>0</v>
      </c>
      <c r="E91" s="18">
        <f>上机信息表!E91</f>
        <v>0</v>
      </c>
      <c r="F91" s="18">
        <f>上机信息表!F91</f>
        <v>0</v>
      </c>
      <c r="G91" s="18">
        <f>上机信息表!H91</f>
        <v>0</v>
      </c>
      <c r="H91" s="18">
        <f>上机信息表!I91</f>
        <v>0</v>
      </c>
      <c r="I91" s="18">
        <f>IF(F91="DNA",上机信息表!I91*70,上机信息表!I91*100)</f>
        <v>0</v>
      </c>
      <c r="K91" s="33">
        <f>上机信息表!A91</f>
        <v>0</v>
      </c>
      <c r="L91" s="18">
        <f>上机信息表!J91</f>
        <v>0</v>
      </c>
      <c r="M91" s="18">
        <f>上机信息表!K91</f>
        <v>0</v>
      </c>
      <c r="N91" s="18">
        <f>上机信息表!L91</f>
        <v>0</v>
      </c>
      <c r="O91" s="18">
        <f>上机信息表!M91</f>
        <v>0</v>
      </c>
      <c r="P91" s="18">
        <f>上机信息表!N91</f>
        <v>0</v>
      </c>
      <c r="Q91" s="18">
        <f>上机信息表!O91</f>
        <v>0</v>
      </c>
      <c r="R91" s="18" t="str">
        <f>IF(C91=0,"","VMGZ22"&amp;TEXT(MID(pooling详情!$A$1,14,(FIND("期",pooling详情!$A$1)-FIND("第",pooling详情!$A$1)-1)),"0000"))</f>
        <v/>
      </c>
      <c r="S91" s="18">
        <f>上机信息表!P91</f>
        <v>0</v>
      </c>
      <c r="T91" s="18" t="str">
        <f>IF(C91=0,"",pooling详情!$G$66)</f>
        <v/>
      </c>
      <c r="U91" s="34" t="str">
        <f>IF(C91=0,"",pooling详情!$A$80)</f>
        <v/>
      </c>
      <c r="V91" s="34" t="str">
        <f t="shared" si="6"/>
        <v/>
      </c>
      <c r="W91" s="18">
        <f>上机信息表!X91</f>
        <v>0</v>
      </c>
      <c r="X91" s="18">
        <f>上机信息表!R91</f>
        <v>0</v>
      </c>
      <c r="Y91" t="str">
        <f t="shared" si="7"/>
        <v/>
      </c>
      <c r="Z91" t="str">
        <f>IFERROR(IF(Y91="RNA提取试剂盒",CONCATENATE(MID(上机信息表!Q91,SEARCH("提取",上机信息表!Q91),SEARCH("建",上机信息表!Q91)-2)),IF(Y91="DNA提取试剂盒",IF(ISNUMBER(FIND("呼吸道",上机信息表!Q91)),CONCATENATE(MID(上机信息表!Q91,SEARCH("提取",上机信息表!Q91),SEARCH(",",上机信息表!Q91,SEARCH("呼吸道",上机信息表!Q91))-1)),IF(ISNUMBER(FIND("组织",上机信息表!Q91)),CONCATENATE(MID(上机信息表!Q91,SEARCH("提取",上机信息表!Q91),SEARCH(",",上机信息表!Q91,SEARCH("组织",上机信息表!Q91))-1)),CONCATENATE(MID(上机信息表!Q91,SEARCH("提取",上机信息表!Q91),SEARCH(",",上机信息表!Q91)-1)))),"")),"")</f>
        <v/>
      </c>
      <c r="AA91" t="str">
        <f t="shared" si="8"/>
        <v/>
      </c>
      <c r="AB91" t="str">
        <f>IFERROR(IF(AA91="RNA建库试剂盒",MID(上机信息表!Q91,SEARCH("建库",上机信息表!Q91),20),IF(AA91="DNA建库试剂盒",MID(上机信息表!Q91,SEARCH("建库",上机信息表!Q91),20),"")),"")</f>
        <v/>
      </c>
      <c r="AC91" t="str">
        <f>IF(C91=0,"",CONCATENATE("芯片批号：",'IDseq-上机流程监控表'!$G$5,",","上机试剂批号：",'IDseq-上机流程监控表'!$G$6,",","Buffer批号：",'IDseq-上机流程监控表'!$G$7))</f>
        <v/>
      </c>
    </row>
    <row r="92" spans="1:29">
      <c r="A92" s="18" t="str">
        <f>IF(C92=0,"","YF23"&amp;TEXT(MID(pooling详情!$A$1,14,(FIND("期",pooling详情!$A$1)-FIND("第",pooling详情!$A$1)-1)),"0000"))</f>
        <v/>
      </c>
      <c r="B92" s="18">
        <f>上机信息表!G92</f>
        <v>0</v>
      </c>
      <c r="C92" s="18">
        <f>上机信息表!C92</f>
        <v>0</v>
      </c>
      <c r="D92" s="18">
        <f>上机信息表!D92</f>
        <v>0</v>
      </c>
      <c r="E92" s="18">
        <f>上机信息表!E92</f>
        <v>0</v>
      </c>
      <c r="F92" s="18">
        <f>上机信息表!F92</f>
        <v>0</v>
      </c>
      <c r="G92" s="18">
        <f>上机信息表!H92</f>
        <v>0</v>
      </c>
      <c r="H92" s="18">
        <f>上机信息表!I92</f>
        <v>0</v>
      </c>
      <c r="I92" s="18">
        <f>IF(F92="DNA",上机信息表!I92*70,上机信息表!I92*100)</f>
        <v>0</v>
      </c>
      <c r="K92" s="33">
        <f>上机信息表!A92</f>
        <v>0</v>
      </c>
      <c r="L92" s="18">
        <f>上机信息表!J92</f>
        <v>0</v>
      </c>
      <c r="M92" s="18">
        <f>上机信息表!K92</f>
        <v>0</v>
      </c>
      <c r="N92" s="18">
        <f>上机信息表!L92</f>
        <v>0</v>
      </c>
      <c r="O92" s="18">
        <f>上机信息表!M92</f>
        <v>0</v>
      </c>
      <c r="P92" s="18">
        <f>上机信息表!N92</f>
        <v>0</v>
      </c>
      <c r="Q92" s="18">
        <f>上机信息表!O92</f>
        <v>0</v>
      </c>
      <c r="R92" s="18" t="str">
        <f>IF(C92=0,"","VMGZ22"&amp;TEXT(MID(pooling详情!$A$1,14,(FIND("期",pooling详情!$A$1)-FIND("第",pooling详情!$A$1)-1)),"0000"))</f>
        <v/>
      </c>
      <c r="S92" s="18">
        <f>上机信息表!P92</f>
        <v>0</v>
      </c>
      <c r="T92" s="18" t="str">
        <f>IF(C92=0,"",pooling详情!$G$66)</f>
        <v/>
      </c>
      <c r="U92" s="34" t="str">
        <f>IF(C92=0,"",pooling详情!$A$80)</f>
        <v/>
      </c>
      <c r="V92" s="34" t="str">
        <f t="shared" si="6"/>
        <v/>
      </c>
      <c r="W92" s="18">
        <f>上机信息表!X92</f>
        <v>0</v>
      </c>
      <c r="X92" s="18">
        <f>上机信息表!R92</f>
        <v>0</v>
      </c>
      <c r="Y92" t="str">
        <f t="shared" si="7"/>
        <v/>
      </c>
      <c r="Z92" t="str">
        <f>IFERROR(IF(Y92="RNA提取试剂盒",CONCATENATE(MID(上机信息表!Q92,SEARCH("提取",上机信息表!Q92),SEARCH("建",上机信息表!Q92)-2)),IF(Y92="DNA提取试剂盒",IF(ISNUMBER(FIND("呼吸道",上机信息表!Q92)),CONCATENATE(MID(上机信息表!Q92,SEARCH("提取",上机信息表!Q92),SEARCH(",",上机信息表!Q92,SEARCH("呼吸道",上机信息表!Q92))-1)),IF(ISNUMBER(FIND("组织",上机信息表!Q92)),CONCATENATE(MID(上机信息表!Q92,SEARCH("提取",上机信息表!Q92),SEARCH(",",上机信息表!Q92,SEARCH("组织",上机信息表!Q92))-1)),CONCATENATE(MID(上机信息表!Q92,SEARCH("提取",上机信息表!Q92),SEARCH(",",上机信息表!Q92)-1)))),"")),"")</f>
        <v/>
      </c>
      <c r="AA92" t="str">
        <f t="shared" si="8"/>
        <v/>
      </c>
      <c r="AB92" t="str">
        <f>IFERROR(IF(AA92="RNA建库试剂盒",MID(上机信息表!Q92,SEARCH("建库",上机信息表!Q92),20),IF(AA92="DNA建库试剂盒",MID(上机信息表!Q92,SEARCH("建库",上机信息表!Q92),20),"")),"")</f>
        <v/>
      </c>
      <c r="AC92" t="str">
        <f>IF(C92=0,"",CONCATENATE("芯片批号：",'IDseq-上机流程监控表'!$G$5,",","上机试剂批号：",'IDseq-上机流程监控表'!$G$6,",","Buffer批号：",'IDseq-上机流程监控表'!$G$7))</f>
        <v/>
      </c>
    </row>
    <row r="93" spans="1:29">
      <c r="A93" s="18" t="str">
        <f>IF(C93=0,"","YF23"&amp;TEXT(MID(pooling详情!$A$1,14,(FIND("期",pooling详情!$A$1)-FIND("第",pooling详情!$A$1)-1)),"0000"))</f>
        <v/>
      </c>
      <c r="B93" s="18">
        <f>上机信息表!G93</f>
        <v>0</v>
      </c>
      <c r="C93" s="18">
        <f>上机信息表!C93</f>
        <v>0</v>
      </c>
      <c r="D93" s="18">
        <f>上机信息表!D93</f>
        <v>0</v>
      </c>
      <c r="E93" s="18">
        <f>上机信息表!E93</f>
        <v>0</v>
      </c>
      <c r="F93" s="18">
        <f>上机信息表!F93</f>
        <v>0</v>
      </c>
      <c r="G93" s="18">
        <f>上机信息表!H93</f>
        <v>0</v>
      </c>
      <c r="H93" s="18">
        <f>上机信息表!I93</f>
        <v>0</v>
      </c>
      <c r="I93" s="18">
        <f>IF(F93="DNA",上机信息表!I93*70,上机信息表!I93*100)</f>
        <v>0</v>
      </c>
      <c r="K93" s="33">
        <f>上机信息表!A93</f>
        <v>0</v>
      </c>
      <c r="L93" s="18">
        <f>上机信息表!J93</f>
        <v>0</v>
      </c>
      <c r="M93" s="18">
        <f>上机信息表!K93</f>
        <v>0</v>
      </c>
      <c r="N93" s="18">
        <f>上机信息表!L93</f>
        <v>0</v>
      </c>
      <c r="O93" s="18">
        <f>上机信息表!M93</f>
        <v>0</v>
      </c>
      <c r="P93" s="18">
        <f>上机信息表!N93</f>
        <v>0</v>
      </c>
      <c r="Q93" s="18">
        <f>上机信息表!O93</f>
        <v>0</v>
      </c>
      <c r="R93" s="18" t="str">
        <f>IF(C93=0,"","VMGZ22"&amp;TEXT(MID(pooling详情!$A$1,14,(FIND("期",pooling详情!$A$1)-FIND("第",pooling详情!$A$1)-1)),"0000"))</f>
        <v/>
      </c>
      <c r="S93" s="18">
        <f>上机信息表!P93</f>
        <v>0</v>
      </c>
      <c r="T93" s="18" t="str">
        <f>IF(C93=0,"",pooling详情!$G$66)</f>
        <v/>
      </c>
      <c r="U93" s="34" t="str">
        <f>IF(C93=0,"",pooling详情!$A$80)</f>
        <v/>
      </c>
      <c r="V93" s="34" t="str">
        <f t="shared" si="6"/>
        <v/>
      </c>
      <c r="W93" s="18">
        <f>上机信息表!X93</f>
        <v>0</v>
      </c>
      <c r="X93" s="18">
        <f>上机信息表!R93</f>
        <v>0</v>
      </c>
      <c r="Y93" t="str">
        <f t="shared" si="7"/>
        <v/>
      </c>
      <c r="Z93" t="str">
        <f>IFERROR(IF(Y93="RNA提取试剂盒",CONCATENATE(MID(上机信息表!Q93,SEARCH("提取",上机信息表!Q93),SEARCH("建",上机信息表!Q93)-2)),IF(Y93="DNA提取试剂盒",IF(ISNUMBER(FIND("呼吸道",上机信息表!Q93)),CONCATENATE(MID(上机信息表!Q93,SEARCH("提取",上机信息表!Q93),SEARCH(",",上机信息表!Q93,SEARCH("呼吸道",上机信息表!Q93))-1)),IF(ISNUMBER(FIND("组织",上机信息表!Q93)),CONCATENATE(MID(上机信息表!Q93,SEARCH("提取",上机信息表!Q93),SEARCH(",",上机信息表!Q93,SEARCH("组织",上机信息表!Q93))-1)),CONCATENATE(MID(上机信息表!Q93,SEARCH("提取",上机信息表!Q93),SEARCH(",",上机信息表!Q93)-1)))),"")),"")</f>
        <v/>
      </c>
      <c r="AA93" t="str">
        <f t="shared" si="8"/>
        <v/>
      </c>
      <c r="AB93" t="str">
        <f>IFERROR(IF(AA93="RNA建库试剂盒",MID(上机信息表!Q93,SEARCH("建库",上机信息表!Q93),20),IF(AA93="DNA建库试剂盒",MID(上机信息表!Q93,SEARCH("建库",上机信息表!Q93),20),"")),"")</f>
        <v/>
      </c>
      <c r="AC93" t="str">
        <f>IF(C93=0,"",CONCATENATE("芯片批号：",'IDseq-上机流程监控表'!$G$5,",","上机试剂批号：",'IDseq-上机流程监控表'!$G$6,",","Buffer批号：",'IDseq-上机流程监控表'!$G$7))</f>
        <v/>
      </c>
    </row>
    <row r="94" spans="1:29">
      <c r="A94" s="18" t="str">
        <f>IF(C94=0,"","YF23"&amp;TEXT(MID(pooling详情!$A$1,14,(FIND("期",pooling详情!$A$1)-FIND("第",pooling详情!$A$1)-1)),"0000"))</f>
        <v/>
      </c>
      <c r="B94" s="18">
        <f>上机信息表!G94</f>
        <v>0</v>
      </c>
      <c r="C94" s="18">
        <f>上机信息表!C94</f>
        <v>0</v>
      </c>
      <c r="D94" s="18">
        <f>上机信息表!D94</f>
        <v>0</v>
      </c>
      <c r="E94" s="18">
        <f>上机信息表!E94</f>
        <v>0</v>
      </c>
      <c r="F94" s="18">
        <f>上机信息表!F94</f>
        <v>0</v>
      </c>
      <c r="G94" s="18">
        <f>上机信息表!H94</f>
        <v>0</v>
      </c>
      <c r="H94" s="18">
        <f>上机信息表!I94</f>
        <v>0</v>
      </c>
      <c r="I94" s="18">
        <f>IF(F94="DNA",上机信息表!I94*70,上机信息表!I94*100)</f>
        <v>0</v>
      </c>
      <c r="K94" s="33">
        <f>上机信息表!A94</f>
        <v>0</v>
      </c>
      <c r="L94" s="18">
        <f>上机信息表!J94</f>
        <v>0</v>
      </c>
      <c r="M94" s="18">
        <f>上机信息表!K94</f>
        <v>0</v>
      </c>
      <c r="N94" s="18">
        <f>上机信息表!L94</f>
        <v>0</v>
      </c>
      <c r="O94" s="18">
        <f>上机信息表!M94</f>
        <v>0</v>
      </c>
      <c r="P94" s="18">
        <f>上机信息表!N94</f>
        <v>0</v>
      </c>
      <c r="Q94" s="18">
        <f>上机信息表!O94</f>
        <v>0</v>
      </c>
      <c r="R94" s="18" t="str">
        <f>IF(C94=0,"","VMGZ22"&amp;TEXT(MID(pooling详情!$A$1,14,(FIND("期",pooling详情!$A$1)-FIND("第",pooling详情!$A$1)-1)),"0000"))</f>
        <v/>
      </c>
      <c r="S94" s="18">
        <f>上机信息表!P94</f>
        <v>0</v>
      </c>
      <c r="T94" s="18" t="str">
        <f>IF(C94=0,"",pooling详情!$G$66)</f>
        <v/>
      </c>
      <c r="U94" s="34" t="str">
        <f>IF(C94=0,"",pooling详情!$A$80)</f>
        <v/>
      </c>
      <c r="V94" s="34" t="str">
        <f t="shared" si="6"/>
        <v/>
      </c>
      <c r="W94" s="18">
        <f>上机信息表!X94</f>
        <v>0</v>
      </c>
      <c r="X94" s="18">
        <f>上机信息表!R94</f>
        <v>0</v>
      </c>
      <c r="Y94" t="str">
        <f t="shared" si="7"/>
        <v/>
      </c>
      <c r="Z94" t="str">
        <f>IFERROR(IF(Y94="RNA提取试剂盒",CONCATENATE(MID(上机信息表!Q94,SEARCH("提取",上机信息表!Q94),SEARCH("建",上机信息表!Q94)-2)),IF(Y94="DNA提取试剂盒",IF(ISNUMBER(FIND("呼吸道",上机信息表!Q94)),CONCATENATE(MID(上机信息表!Q94,SEARCH("提取",上机信息表!Q94),SEARCH(",",上机信息表!Q94,SEARCH("呼吸道",上机信息表!Q94))-1)),IF(ISNUMBER(FIND("组织",上机信息表!Q94)),CONCATENATE(MID(上机信息表!Q94,SEARCH("提取",上机信息表!Q94),SEARCH(",",上机信息表!Q94,SEARCH("组织",上机信息表!Q94))-1)),CONCATENATE(MID(上机信息表!Q94,SEARCH("提取",上机信息表!Q94),SEARCH(",",上机信息表!Q94)-1)))),"")),"")</f>
        <v/>
      </c>
      <c r="AA94" t="str">
        <f t="shared" si="8"/>
        <v/>
      </c>
      <c r="AB94" t="str">
        <f>IFERROR(IF(AA94="RNA建库试剂盒",MID(上机信息表!Q94,SEARCH("建库",上机信息表!Q94),20),IF(AA94="DNA建库试剂盒",MID(上机信息表!Q94,SEARCH("建库",上机信息表!Q94),20),"")),"")</f>
        <v/>
      </c>
      <c r="AC94" t="str">
        <f>IF(C94=0,"",CONCATENATE("芯片批号：",'IDseq-上机流程监控表'!$G$5,",","上机试剂批号：",'IDseq-上机流程监控表'!$G$6,",","Buffer批号：",'IDseq-上机流程监控表'!$G$7))</f>
        <v/>
      </c>
    </row>
    <row r="95" spans="1:29">
      <c r="A95" s="18" t="str">
        <f>IF(C95=0,"","YF23"&amp;TEXT(MID(pooling详情!$A$1,14,(FIND("期",pooling详情!$A$1)-FIND("第",pooling详情!$A$1)-1)),"0000"))</f>
        <v/>
      </c>
      <c r="B95" s="18">
        <f>上机信息表!G95</f>
        <v>0</v>
      </c>
      <c r="C95" s="18">
        <f>上机信息表!C95</f>
        <v>0</v>
      </c>
      <c r="D95" s="18">
        <f>上机信息表!D95</f>
        <v>0</v>
      </c>
      <c r="E95" s="18">
        <f>上机信息表!E95</f>
        <v>0</v>
      </c>
      <c r="F95" s="18">
        <f>上机信息表!F95</f>
        <v>0</v>
      </c>
      <c r="G95" s="18">
        <f>上机信息表!H95</f>
        <v>0</v>
      </c>
      <c r="H95" s="18">
        <f>上机信息表!I95</f>
        <v>0</v>
      </c>
      <c r="I95" s="18">
        <f>IF(F95="DNA",上机信息表!I95*70,上机信息表!I95*100)</f>
        <v>0</v>
      </c>
      <c r="K95" s="33">
        <f>上机信息表!A95</f>
        <v>0</v>
      </c>
      <c r="L95" s="18">
        <f>上机信息表!J95</f>
        <v>0</v>
      </c>
      <c r="M95" s="18">
        <f>上机信息表!K95</f>
        <v>0</v>
      </c>
      <c r="N95" s="18">
        <f>上机信息表!L95</f>
        <v>0</v>
      </c>
      <c r="O95" s="18">
        <f>上机信息表!M95</f>
        <v>0</v>
      </c>
      <c r="P95" s="18">
        <f>上机信息表!N95</f>
        <v>0</v>
      </c>
      <c r="Q95" s="18">
        <f>上机信息表!O95</f>
        <v>0</v>
      </c>
      <c r="R95" s="18" t="str">
        <f>IF(C95=0,"","VMGZ22"&amp;TEXT(MID(pooling详情!$A$1,14,(FIND("期",pooling详情!$A$1)-FIND("第",pooling详情!$A$1)-1)),"0000"))</f>
        <v/>
      </c>
      <c r="S95" s="18">
        <f>上机信息表!P95</f>
        <v>0</v>
      </c>
      <c r="T95" s="18" t="str">
        <f>IF(C95=0,"",pooling详情!$G$66)</f>
        <v/>
      </c>
      <c r="U95" s="34" t="str">
        <f>IF(C95=0,"",pooling详情!$A$80)</f>
        <v/>
      </c>
      <c r="V95" s="34" t="str">
        <f t="shared" si="6"/>
        <v/>
      </c>
      <c r="W95" s="18">
        <f>上机信息表!X95</f>
        <v>0</v>
      </c>
      <c r="X95" s="18">
        <f>上机信息表!R95</f>
        <v>0</v>
      </c>
      <c r="Y95" t="str">
        <f t="shared" si="7"/>
        <v/>
      </c>
      <c r="Z95" t="str">
        <f>IFERROR(IF(Y95="RNA提取试剂盒",CONCATENATE(MID(上机信息表!Q95,SEARCH("提取",上机信息表!Q95),SEARCH("建",上机信息表!Q95)-2)),IF(Y95="DNA提取试剂盒",IF(ISNUMBER(FIND("呼吸道",上机信息表!Q95)),CONCATENATE(MID(上机信息表!Q95,SEARCH("提取",上机信息表!Q95),SEARCH(",",上机信息表!Q95,SEARCH("呼吸道",上机信息表!Q95))-1)),IF(ISNUMBER(FIND("组织",上机信息表!Q95)),CONCATENATE(MID(上机信息表!Q95,SEARCH("提取",上机信息表!Q95),SEARCH(",",上机信息表!Q95,SEARCH("组织",上机信息表!Q95))-1)),CONCATENATE(MID(上机信息表!Q95,SEARCH("提取",上机信息表!Q95),SEARCH(",",上机信息表!Q95)-1)))),"")),"")</f>
        <v/>
      </c>
      <c r="AA95" t="str">
        <f t="shared" si="8"/>
        <v/>
      </c>
      <c r="AB95" t="str">
        <f>IFERROR(IF(AA95="RNA建库试剂盒",MID(上机信息表!Q95,SEARCH("建库",上机信息表!Q95),20),IF(AA95="DNA建库试剂盒",MID(上机信息表!Q95,SEARCH("建库",上机信息表!Q95),20),"")),"")</f>
        <v/>
      </c>
      <c r="AC95" t="str">
        <f>IF(C95=0,"",CONCATENATE("芯片批号：",'IDseq-上机流程监控表'!$G$5,",","上机试剂批号：",'IDseq-上机流程监控表'!$G$6,",","Buffer批号：",'IDseq-上机流程监控表'!$G$7))</f>
        <v/>
      </c>
    </row>
    <row r="96" spans="1:29">
      <c r="A96" s="18" t="str">
        <f>IF(C96=0,"","YF23"&amp;TEXT(MID(pooling详情!$A$1,14,(FIND("期",pooling详情!$A$1)-FIND("第",pooling详情!$A$1)-1)),"0000"))</f>
        <v/>
      </c>
      <c r="B96" s="18">
        <f>上机信息表!G96</f>
        <v>0</v>
      </c>
      <c r="C96" s="18">
        <f>上机信息表!C96</f>
        <v>0</v>
      </c>
      <c r="D96" s="18">
        <f>上机信息表!D96</f>
        <v>0</v>
      </c>
      <c r="E96" s="18">
        <f>上机信息表!E96</f>
        <v>0</v>
      </c>
      <c r="F96" s="18">
        <f>上机信息表!F96</f>
        <v>0</v>
      </c>
      <c r="G96" s="18">
        <f>上机信息表!H96</f>
        <v>0</v>
      </c>
      <c r="H96" s="18">
        <f>上机信息表!I96</f>
        <v>0</v>
      </c>
      <c r="I96" s="18">
        <f>IF(F96="DNA",上机信息表!I96*70,上机信息表!I96*100)</f>
        <v>0</v>
      </c>
      <c r="K96" s="33">
        <f>上机信息表!A96</f>
        <v>0</v>
      </c>
      <c r="L96" s="18">
        <f>上机信息表!J96</f>
        <v>0</v>
      </c>
      <c r="M96" s="18">
        <f>上机信息表!K96</f>
        <v>0</v>
      </c>
      <c r="N96" s="18">
        <f>上机信息表!L96</f>
        <v>0</v>
      </c>
      <c r="O96" s="18">
        <f>上机信息表!M96</f>
        <v>0</v>
      </c>
      <c r="P96" s="18">
        <f>上机信息表!N96</f>
        <v>0</v>
      </c>
      <c r="Q96" s="18">
        <f>上机信息表!O96</f>
        <v>0</v>
      </c>
      <c r="R96" s="18" t="str">
        <f>IF(C96=0,"","VMGZ22"&amp;TEXT(MID(pooling详情!$A$1,14,(FIND("期",pooling详情!$A$1)-FIND("第",pooling详情!$A$1)-1)),"0000"))</f>
        <v/>
      </c>
      <c r="S96" s="18">
        <f>上机信息表!P96</f>
        <v>0</v>
      </c>
      <c r="T96" s="18" t="str">
        <f>IF(C96=0,"",pooling详情!$G$66)</f>
        <v/>
      </c>
      <c r="U96" s="34" t="str">
        <f>IF(C96=0,"",pooling详情!$A$80)</f>
        <v/>
      </c>
      <c r="V96" s="34" t="str">
        <f t="shared" si="6"/>
        <v/>
      </c>
      <c r="W96" s="18">
        <f>上机信息表!X96</f>
        <v>0</v>
      </c>
      <c r="X96" s="18">
        <f>上机信息表!R96</f>
        <v>0</v>
      </c>
      <c r="Y96" t="str">
        <f t="shared" si="7"/>
        <v/>
      </c>
      <c r="Z96" t="str">
        <f>IFERROR(IF(Y96="RNA提取试剂盒",CONCATENATE(MID(上机信息表!Q96,SEARCH("提取",上机信息表!Q96),SEARCH("建",上机信息表!Q96)-2)),IF(Y96="DNA提取试剂盒",IF(ISNUMBER(FIND("呼吸道",上机信息表!Q96)),CONCATENATE(MID(上机信息表!Q96,SEARCH("提取",上机信息表!Q96),SEARCH(",",上机信息表!Q96,SEARCH("呼吸道",上机信息表!Q96))-1)),IF(ISNUMBER(FIND("组织",上机信息表!Q96)),CONCATENATE(MID(上机信息表!Q96,SEARCH("提取",上机信息表!Q96),SEARCH(",",上机信息表!Q96,SEARCH("组织",上机信息表!Q96))-1)),CONCATENATE(MID(上机信息表!Q96,SEARCH("提取",上机信息表!Q96),SEARCH(",",上机信息表!Q96)-1)))),"")),"")</f>
        <v/>
      </c>
      <c r="AA96" t="str">
        <f t="shared" si="8"/>
        <v/>
      </c>
      <c r="AB96" t="str">
        <f>IFERROR(IF(AA96="RNA建库试剂盒",MID(上机信息表!Q96,SEARCH("建库",上机信息表!Q96),20),IF(AA96="DNA建库试剂盒",MID(上机信息表!Q96,SEARCH("建库",上机信息表!Q96),20),"")),"")</f>
        <v/>
      </c>
      <c r="AC96" t="str">
        <f>IF(C96=0,"",CONCATENATE("芯片批号：",'IDseq-上机流程监控表'!$G$5,",","上机试剂批号：",'IDseq-上机流程监控表'!$G$6,",","Buffer批号：",'IDseq-上机流程监控表'!$G$7))</f>
        <v/>
      </c>
    </row>
    <row r="97" spans="1:29">
      <c r="A97" s="18" t="str">
        <f>IF(C97=0,"","YF23"&amp;TEXT(MID(pooling详情!$A$1,14,(FIND("期",pooling详情!$A$1)-FIND("第",pooling详情!$A$1)-1)),"0000"))</f>
        <v/>
      </c>
      <c r="B97" s="18">
        <f>上机信息表!G97</f>
        <v>0</v>
      </c>
      <c r="C97" s="18">
        <f>上机信息表!C97</f>
        <v>0</v>
      </c>
      <c r="D97" s="18">
        <f>上机信息表!D97</f>
        <v>0</v>
      </c>
      <c r="E97" s="18">
        <f>上机信息表!E97</f>
        <v>0</v>
      </c>
      <c r="F97" s="18">
        <f>上机信息表!F97</f>
        <v>0</v>
      </c>
      <c r="G97" s="18">
        <f>上机信息表!H97</f>
        <v>0</v>
      </c>
      <c r="H97" s="18">
        <f>上机信息表!I97</f>
        <v>0</v>
      </c>
      <c r="I97" s="18">
        <f>IF(F97="DNA",上机信息表!I97*70,上机信息表!I97*100)</f>
        <v>0</v>
      </c>
      <c r="K97" s="33">
        <f>上机信息表!A97</f>
        <v>0</v>
      </c>
      <c r="L97" s="18">
        <f>上机信息表!J97</f>
        <v>0</v>
      </c>
      <c r="M97" s="18">
        <f>上机信息表!K97</f>
        <v>0</v>
      </c>
      <c r="N97" s="18">
        <f>上机信息表!L97</f>
        <v>0</v>
      </c>
      <c r="O97" s="18">
        <f>上机信息表!M97</f>
        <v>0</v>
      </c>
      <c r="P97" s="18">
        <f>上机信息表!N97</f>
        <v>0</v>
      </c>
      <c r="Q97" s="18">
        <f>上机信息表!O97</f>
        <v>0</v>
      </c>
      <c r="R97" s="18" t="str">
        <f>IF(C97=0,"","VMGZ22"&amp;TEXT(MID(pooling详情!$A$1,14,(FIND("期",pooling详情!$A$1)-FIND("第",pooling详情!$A$1)-1)),"0000"))</f>
        <v/>
      </c>
      <c r="S97" s="18">
        <f>上机信息表!P97</f>
        <v>0</v>
      </c>
      <c r="T97" s="18" t="str">
        <f>IF(C97=0,"",pooling详情!$G$66)</f>
        <v/>
      </c>
      <c r="U97" s="34" t="str">
        <f>IF(C97=0,"",pooling详情!$A$80)</f>
        <v/>
      </c>
      <c r="V97" s="34" t="str">
        <f t="shared" si="6"/>
        <v/>
      </c>
      <c r="W97" s="18">
        <f>上机信息表!X97</f>
        <v>0</v>
      </c>
      <c r="X97" s="18">
        <f>上机信息表!R97</f>
        <v>0</v>
      </c>
      <c r="Y97" t="str">
        <f t="shared" si="7"/>
        <v/>
      </c>
      <c r="Z97" t="str">
        <f>IFERROR(IF(Y97="RNA提取试剂盒",CONCATENATE(MID(上机信息表!Q97,SEARCH("提取",上机信息表!Q97),SEARCH("建",上机信息表!Q97)-2)),IF(Y97="DNA提取试剂盒",IF(ISNUMBER(FIND("呼吸道",上机信息表!Q97)),CONCATENATE(MID(上机信息表!Q97,SEARCH("提取",上机信息表!Q97),SEARCH(",",上机信息表!Q97,SEARCH("呼吸道",上机信息表!Q97))-1)),IF(ISNUMBER(FIND("组织",上机信息表!Q97)),CONCATENATE(MID(上机信息表!Q97,SEARCH("提取",上机信息表!Q97),SEARCH(",",上机信息表!Q97,SEARCH("组织",上机信息表!Q97))-1)),CONCATENATE(MID(上机信息表!Q97,SEARCH("提取",上机信息表!Q97),SEARCH(",",上机信息表!Q97)-1)))),"")),"")</f>
        <v/>
      </c>
      <c r="AA97" t="str">
        <f t="shared" si="8"/>
        <v/>
      </c>
      <c r="AB97" t="str">
        <f>IFERROR(IF(AA97="RNA建库试剂盒",MID(上机信息表!Q97,SEARCH("建库",上机信息表!Q97),20),IF(AA97="DNA建库试剂盒",MID(上机信息表!Q97,SEARCH("建库",上机信息表!Q97),20),"")),"")</f>
        <v/>
      </c>
      <c r="AC97" t="str">
        <f>IF(C97=0,"",CONCATENATE("芯片批号：",'IDseq-上机流程监控表'!$G$5,",","上机试剂批号：",'IDseq-上机流程监控表'!$G$6,",","Buffer批号：",'IDseq-上机流程监控表'!$G$7))</f>
        <v/>
      </c>
    </row>
    <row r="98" spans="1:29">
      <c r="A98" s="18" t="str">
        <f>IF(C98=0,"","YF23"&amp;TEXT(MID(pooling详情!$A$1,14,(FIND("期",pooling详情!$A$1)-FIND("第",pooling详情!$A$1)-1)),"0000"))</f>
        <v/>
      </c>
      <c r="B98" s="18">
        <f>上机信息表!G98</f>
        <v>0</v>
      </c>
      <c r="C98" s="18">
        <f>上机信息表!C98</f>
        <v>0</v>
      </c>
      <c r="D98" s="18">
        <f>上机信息表!D98</f>
        <v>0</v>
      </c>
      <c r="E98" s="18">
        <f>上机信息表!E98</f>
        <v>0</v>
      </c>
      <c r="F98" s="18">
        <f>上机信息表!F98</f>
        <v>0</v>
      </c>
      <c r="G98" s="18">
        <f>上机信息表!H98</f>
        <v>0</v>
      </c>
      <c r="H98" s="18">
        <f>上机信息表!I98</f>
        <v>0</v>
      </c>
      <c r="I98" s="18">
        <f>IF(F98="DNA",上机信息表!I98*70,上机信息表!I98*100)</f>
        <v>0</v>
      </c>
      <c r="K98" s="33">
        <f>上机信息表!A98</f>
        <v>0</v>
      </c>
      <c r="L98" s="18">
        <f>上机信息表!J98</f>
        <v>0</v>
      </c>
      <c r="M98" s="18">
        <f>上机信息表!K98</f>
        <v>0</v>
      </c>
      <c r="N98" s="18">
        <f>上机信息表!L98</f>
        <v>0</v>
      </c>
      <c r="O98" s="18">
        <f>上机信息表!M98</f>
        <v>0</v>
      </c>
      <c r="P98" s="18">
        <f>上机信息表!N98</f>
        <v>0</v>
      </c>
      <c r="Q98" s="18">
        <f>上机信息表!O98</f>
        <v>0</v>
      </c>
      <c r="R98" s="18" t="str">
        <f>IF(C98=0,"","VMGZ22"&amp;TEXT(MID(pooling详情!$A$1,14,(FIND("期",pooling详情!$A$1)-FIND("第",pooling详情!$A$1)-1)),"0000"))</f>
        <v/>
      </c>
      <c r="S98" s="18">
        <f>上机信息表!P98</f>
        <v>0</v>
      </c>
      <c r="T98" s="18" t="str">
        <f>IF(C98=0,"",pooling详情!$G$66)</f>
        <v/>
      </c>
      <c r="U98" s="34" t="str">
        <f>IF(C98=0,"",pooling详情!$A$80)</f>
        <v/>
      </c>
      <c r="V98" s="34" t="str">
        <f t="shared" si="6"/>
        <v/>
      </c>
      <c r="W98" s="18">
        <f>上机信息表!X98</f>
        <v>0</v>
      </c>
      <c r="X98" s="18">
        <f>上机信息表!R98</f>
        <v>0</v>
      </c>
      <c r="Y98" t="str">
        <f t="shared" si="7"/>
        <v/>
      </c>
      <c r="Z98" t="str">
        <f>IFERROR(IF(Y98="RNA提取试剂盒",CONCATENATE(MID(上机信息表!Q98,SEARCH("提取",上机信息表!Q98),SEARCH("建",上机信息表!Q98)-2)),IF(Y98="DNA提取试剂盒",IF(ISNUMBER(FIND("呼吸道",上机信息表!Q98)),CONCATENATE(MID(上机信息表!Q98,SEARCH("提取",上机信息表!Q98),SEARCH(",",上机信息表!Q98,SEARCH("呼吸道",上机信息表!Q98))-1)),IF(ISNUMBER(FIND("组织",上机信息表!Q98)),CONCATENATE(MID(上机信息表!Q98,SEARCH("提取",上机信息表!Q98),SEARCH(",",上机信息表!Q98,SEARCH("组织",上机信息表!Q98))-1)),CONCATENATE(MID(上机信息表!Q98,SEARCH("提取",上机信息表!Q98),SEARCH(",",上机信息表!Q98)-1)))),"")),"")</f>
        <v/>
      </c>
      <c r="AA98" t="str">
        <f t="shared" si="8"/>
        <v/>
      </c>
      <c r="AB98" t="str">
        <f>IFERROR(IF(AA98="RNA建库试剂盒",MID(上机信息表!Q98,SEARCH("建库",上机信息表!Q98),20),IF(AA98="DNA建库试剂盒",MID(上机信息表!Q98,SEARCH("建库",上机信息表!Q98),20),"")),"")</f>
        <v/>
      </c>
      <c r="AC98" t="str">
        <f>IF(C98=0,"",CONCATENATE("芯片批号：",'IDseq-上机流程监控表'!$G$5,",","上机试剂批号：",'IDseq-上机流程监控表'!$G$6,",","Buffer批号：",'IDseq-上机流程监控表'!$G$7))</f>
        <v/>
      </c>
    </row>
    <row r="99" spans="1:29">
      <c r="A99" s="18" t="str">
        <f>IF(C99=0,"","YF23"&amp;TEXT(MID(pooling详情!$A$1,14,(FIND("期",pooling详情!$A$1)-FIND("第",pooling详情!$A$1)-1)),"0000"))</f>
        <v/>
      </c>
      <c r="B99" s="18">
        <f>上机信息表!G99</f>
        <v>0</v>
      </c>
      <c r="C99" s="18">
        <f>上机信息表!C99</f>
        <v>0</v>
      </c>
      <c r="D99" s="18">
        <f>上机信息表!D99</f>
        <v>0</v>
      </c>
      <c r="E99" s="18">
        <f>上机信息表!E99</f>
        <v>0</v>
      </c>
      <c r="F99" s="18">
        <f>上机信息表!F99</f>
        <v>0</v>
      </c>
      <c r="G99" s="18">
        <f>上机信息表!H99</f>
        <v>0</v>
      </c>
      <c r="H99" s="18">
        <f>上机信息表!I99</f>
        <v>0</v>
      </c>
      <c r="I99" s="18">
        <f>IF(F99="DNA",上机信息表!I99*70,上机信息表!I99*100)</f>
        <v>0</v>
      </c>
      <c r="K99" s="33">
        <f>上机信息表!A99</f>
        <v>0</v>
      </c>
      <c r="L99" s="18">
        <f>上机信息表!J99</f>
        <v>0</v>
      </c>
      <c r="M99" s="18">
        <f>上机信息表!K99</f>
        <v>0</v>
      </c>
      <c r="N99" s="18">
        <f>上机信息表!L99</f>
        <v>0</v>
      </c>
      <c r="O99" s="18">
        <f>上机信息表!M99</f>
        <v>0</v>
      </c>
      <c r="P99" s="18">
        <f>上机信息表!N99</f>
        <v>0</v>
      </c>
      <c r="Q99" s="18">
        <f>上机信息表!O99</f>
        <v>0</v>
      </c>
      <c r="R99" s="18" t="str">
        <f>IF(C99=0,"","VMGZ22"&amp;TEXT(MID(pooling详情!$A$1,14,(FIND("期",pooling详情!$A$1)-FIND("第",pooling详情!$A$1)-1)),"0000"))</f>
        <v/>
      </c>
      <c r="S99" s="18">
        <f>上机信息表!P99</f>
        <v>0</v>
      </c>
      <c r="T99" s="18" t="str">
        <f>IF(C99=0,"",pooling详情!$G$66)</f>
        <v/>
      </c>
      <c r="U99" s="34" t="str">
        <f>IF(C99=0,"",pooling详情!$A$80)</f>
        <v/>
      </c>
      <c r="V99" s="34" t="str">
        <f t="shared" si="6"/>
        <v/>
      </c>
      <c r="W99" s="18">
        <f>上机信息表!X99</f>
        <v>0</v>
      </c>
      <c r="X99" s="18">
        <f>上机信息表!R99</f>
        <v>0</v>
      </c>
      <c r="Y99" t="str">
        <f t="shared" si="7"/>
        <v/>
      </c>
      <c r="Z99" t="str">
        <f>IFERROR(IF(Y99="RNA提取试剂盒",CONCATENATE(MID(上机信息表!Q99,SEARCH("提取",上机信息表!Q99),SEARCH("建",上机信息表!Q99)-2)),IF(Y99="DNA提取试剂盒",IF(ISNUMBER(FIND("呼吸道",上机信息表!Q99)),CONCATENATE(MID(上机信息表!Q99,SEARCH("提取",上机信息表!Q99),SEARCH(",",上机信息表!Q99,SEARCH("呼吸道",上机信息表!Q99))-1)),IF(ISNUMBER(FIND("组织",上机信息表!Q99)),CONCATENATE(MID(上机信息表!Q99,SEARCH("提取",上机信息表!Q99),SEARCH(",",上机信息表!Q99,SEARCH("组织",上机信息表!Q99))-1)),CONCATENATE(MID(上机信息表!Q99,SEARCH("提取",上机信息表!Q99),SEARCH(",",上机信息表!Q99)-1)))),"")),"")</f>
        <v/>
      </c>
      <c r="AA99" t="str">
        <f t="shared" si="8"/>
        <v/>
      </c>
      <c r="AB99" t="str">
        <f>IFERROR(IF(AA99="RNA建库试剂盒",MID(上机信息表!Q99,SEARCH("建库",上机信息表!Q99),20),IF(AA99="DNA建库试剂盒",MID(上机信息表!Q99,SEARCH("建库",上机信息表!Q99),20),"")),"")</f>
        <v/>
      </c>
      <c r="AC99" t="str">
        <f>IF(C99=0,"",CONCATENATE("芯片批号：",'IDseq-上机流程监控表'!$G$5,",","上机试剂批号：",'IDseq-上机流程监控表'!$G$6,",","Buffer批号：",'IDseq-上机流程监控表'!$G$7))</f>
        <v/>
      </c>
    </row>
    <row r="100" spans="1:29">
      <c r="A100" s="18" t="str">
        <f>IF(C100=0,"","YF23"&amp;TEXT(MID(pooling详情!$A$1,14,(FIND("期",pooling详情!$A$1)-FIND("第",pooling详情!$A$1)-1)),"0000"))</f>
        <v/>
      </c>
      <c r="B100" s="18">
        <f>上机信息表!G100</f>
        <v>0</v>
      </c>
      <c r="C100" s="18">
        <f>上机信息表!C100</f>
        <v>0</v>
      </c>
      <c r="D100" s="18">
        <f>上机信息表!D100</f>
        <v>0</v>
      </c>
      <c r="E100" s="18">
        <f>上机信息表!E100</f>
        <v>0</v>
      </c>
      <c r="F100" s="18">
        <f>上机信息表!F100</f>
        <v>0</v>
      </c>
      <c r="G100" s="18">
        <f>上机信息表!H100</f>
        <v>0</v>
      </c>
      <c r="H100" s="18">
        <f>上机信息表!I100</f>
        <v>0</v>
      </c>
      <c r="I100" s="18">
        <f>IF(F100="DNA",上机信息表!I100*70,上机信息表!I100*100)</f>
        <v>0</v>
      </c>
      <c r="K100" s="33">
        <f>上机信息表!A100</f>
        <v>0</v>
      </c>
      <c r="L100" s="18">
        <f>上机信息表!J100</f>
        <v>0</v>
      </c>
      <c r="M100" s="18">
        <f>上机信息表!K100</f>
        <v>0</v>
      </c>
      <c r="N100" s="18">
        <f>上机信息表!L100</f>
        <v>0</v>
      </c>
      <c r="O100" s="18">
        <f>上机信息表!M100</f>
        <v>0</v>
      </c>
      <c r="P100" s="18">
        <f>上机信息表!N100</f>
        <v>0</v>
      </c>
      <c r="Q100" s="18">
        <f>上机信息表!O100</f>
        <v>0</v>
      </c>
      <c r="R100" s="18" t="str">
        <f>IF(C100=0,"","VMGZ22"&amp;TEXT(MID(pooling详情!$A$1,14,(FIND("期",pooling详情!$A$1)-FIND("第",pooling详情!$A$1)-1)),"0000"))</f>
        <v/>
      </c>
      <c r="S100" s="18">
        <f>上机信息表!P100</f>
        <v>0</v>
      </c>
      <c r="T100" s="18" t="str">
        <f>IF(C100=0,"",pooling详情!$G$66)</f>
        <v/>
      </c>
      <c r="U100" s="34" t="str">
        <f>IF(C100=0,"",pooling详情!$A$80)</f>
        <v/>
      </c>
      <c r="V100" s="34" t="str">
        <f t="shared" si="6"/>
        <v/>
      </c>
      <c r="W100" s="18">
        <f>上机信息表!X100</f>
        <v>0</v>
      </c>
      <c r="X100" s="18">
        <f>上机信息表!R100</f>
        <v>0</v>
      </c>
      <c r="Y100" t="str">
        <f t="shared" si="7"/>
        <v/>
      </c>
      <c r="Z100" t="str">
        <f>IFERROR(IF(Y100="RNA提取试剂盒",CONCATENATE(MID(上机信息表!Q100,SEARCH("提取",上机信息表!Q100),SEARCH("建",上机信息表!Q100)-2)),IF(Y100="DNA提取试剂盒",IF(ISNUMBER(FIND("呼吸道",上机信息表!Q100)),CONCATENATE(MID(上机信息表!Q100,SEARCH("提取",上机信息表!Q100),SEARCH(",",上机信息表!Q100,SEARCH("呼吸道",上机信息表!Q100))-1)),IF(ISNUMBER(FIND("组织",上机信息表!Q100)),CONCATENATE(MID(上机信息表!Q100,SEARCH("提取",上机信息表!Q100),SEARCH(",",上机信息表!Q100,SEARCH("组织",上机信息表!Q100))-1)),CONCATENATE(MID(上机信息表!Q100,SEARCH("提取",上机信息表!Q100),SEARCH(",",上机信息表!Q100)-1)))),"")),"")</f>
        <v/>
      </c>
      <c r="AA100" t="str">
        <f t="shared" si="8"/>
        <v/>
      </c>
      <c r="AB100" t="str">
        <f>IFERROR(IF(AA100="RNA建库试剂盒",MID(上机信息表!Q100,SEARCH("建库",上机信息表!Q100),20),IF(AA100="DNA建库试剂盒",MID(上机信息表!Q100,SEARCH("建库",上机信息表!Q100),20),"")),"")</f>
        <v/>
      </c>
      <c r="AC100" t="str">
        <f>IF(C100=0,"",CONCATENATE("芯片批号：",'IDseq-上机流程监控表'!$G$5,",","上机试剂批号：",'IDseq-上机流程监控表'!$G$6,",","Buffer批号：",'IDseq-上机流程监控表'!$G$7))</f>
        <v/>
      </c>
    </row>
    <row r="101" spans="1:29">
      <c r="A101" s="18" t="str">
        <f>IF(C101=0,"","YF23"&amp;TEXT(MID(pooling详情!$A$1,14,(FIND("期",pooling详情!$A$1)-FIND("第",pooling详情!$A$1)-1)),"0000"))</f>
        <v/>
      </c>
      <c r="B101" s="18">
        <f>上机信息表!G101</f>
        <v>0</v>
      </c>
      <c r="C101" s="18">
        <f>上机信息表!C101</f>
        <v>0</v>
      </c>
      <c r="D101" s="18">
        <f>上机信息表!D101</f>
        <v>0</v>
      </c>
      <c r="E101" s="18">
        <f>上机信息表!E101</f>
        <v>0</v>
      </c>
      <c r="F101" s="18">
        <f>上机信息表!F101</f>
        <v>0</v>
      </c>
      <c r="G101" s="18">
        <f>上机信息表!H101</f>
        <v>0</v>
      </c>
      <c r="H101" s="18">
        <f>上机信息表!I101</f>
        <v>0</v>
      </c>
      <c r="I101" s="18">
        <f>IF(F101="DNA",上机信息表!I101*70,上机信息表!I101*100)</f>
        <v>0</v>
      </c>
      <c r="K101" s="33">
        <f>上机信息表!A101</f>
        <v>0</v>
      </c>
      <c r="L101" s="18">
        <f>上机信息表!J101</f>
        <v>0</v>
      </c>
      <c r="M101" s="18">
        <f>上机信息表!K101</f>
        <v>0</v>
      </c>
      <c r="N101" s="18">
        <f>上机信息表!L101</f>
        <v>0</v>
      </c>
      <c r="O101" s="18">
        <f>上机信息表!M101</f>
        <v>0</v>
      </c>
      <c r="P101" s="18">
        <f>上机信息表!N101</f>
        <v>0</v>
      </c>
      <c r="Q101" s="18">
        <f>上机信息表!O101</f>
        <v>0</v>
      </c>
      <c r="R101" s="18" t="str">
        <f>IF(C101=0,"","VMGZ22"&amp;TEXT(MID(pooling详情!$A$1,14,(FIND("期",pooling详情!$A$1)-FIND("第",pooling详情!$A$1)-1)),"0000"))</f>
        <v/>
      </c>
      <c r="S101" s="18">
        <f>上机信息表!P101</f>
        <v>0</v>
      </c>
      <c r="T101" s="18" t="str">
        <f>IF(C101=0,"",pooling详情!$G$66)</f>
        <v/>
      </c>
      <c r="U101" s="34" t="str">
        <f>IF(C101=0,"",pooling详情!$A$80)</f>
        <v/>
      </c>
      <c r="V101" s="34" t="str">
        <f t="shared" si="6"/>
        <v/>
      </c>
      <c r="W101" s="18">
        <f>上机信息表!X101</f>
        <v>0</v>
      </c>
      <c r="X101" s="18">
        <f>上机信息表!R101</f>
        <v>0</v>
      </c>
      <c r="Y101" t="str">
        <f t="shared" si="7"/>
        <v/>
      </c>
      <c r="Z101" t="str">
        <f>IFERROR(IF(Y101="RNA提取试剂盒",CONCATENATE(MID(上机信息表!Q101,SEARCH("提取",上机信息表!Q101),SEARCH("建",上机信息表!Q101)-2)),IF(Y101="DNA提取试剂盒",IF(ISNUMBER(FIND("呼吸道",上机信息表!Q101)),CONCATENATE(MID(上机信息表!Q101,SEARCH("提取",上机信息表!Q101),SEARCH(",",上机信息表!Q101,SEARCH("呼吸道",上机信息表!Q101))-1)),IF(ISNUMBER(FIND("组织",上机信息表!Q101)),CONCATENATE(MID(上机信息表!Q101,SEARCH("提取",上机信息表!Q101),SEARCH(",",上机信息表!Q101,SEARCH("组织",上机信息表!Q101))-1)),CONCATENATE(MID(上机信息表!Q101,SEARCH("提取",上机信息表!Q101),SEARCH(",",上机信息表!Q101)-1)))),"")),"")</f>
        <v/>
      </c>
      <c r="AA101" t="str">
        <f t="shared" si="8"/>
        <v/>
      </c>
      <c r="AB101" t="str">
        <f>IFERROR(IF(AA101="RNA建库试剂盒",MID(上机信息表!Q101,SEARCH("建库",上机信息表!Q101),20),IF(AA101="DNA建库试剂盒",MID(上机信息表!Q101,SEARCH("建库",上机信息表!Q101),20),"")),"")</f>
        <v/>
      </c>
      <c r="AC101" t="str">
        <f>IF(C101=0,"",CONCATENATE("芯片批号：",'IDseq-上机流程监控表'!$G$5,",","上机试剂批号：",'IDseq-上机流程监控表'!$G$6,",","Buffer批号：",'IDseq-上机流程监控表'!$G$7))</f>
        <v/>
      </c>
    </row>
  </sheetData>
  <phoneticPr fontId="98" type="noConversion"/>
  <dataValidations count="1">
    <dataValidation type="list" allowBlank="1" showInputMessage="1" showErrorMessage="1" sqref="E1" xr:uid="{00000000-0002-0000-0300-000000000000}">
      <formula1>"血液,脑脊液,肺泡灌洗液,痰液,气道分泌物,组织,胸腹水,胆汁,其他"</formula1>
    </dataValidation>
  </dataValidation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workbookViewId="0">
      <selection activeCell="N5" sqref="N5"/>
    </sheetView>
  </sheetViews>
  <sheetFormatPr defaultColWidth="9" defaultRowHeight="14"/>
  <sheetData>
    <row r="1" spans="1:9" ht="25.5">
      <c r="A1" s="225" t="s">
        <v>165</v>
      </c>
      <c r="B1" s="226"/>
      <c r="C1" s="226"/>
      <c r="D1" s="226"/>
      <c r="E1" s="226"/>
      <c r="F1" s="226"/>
      <c r="G1" s="226"/>
      <c r="H1" s="226"/>
      <c r="I1" s="227"/>
    </row>
    <row r="2" spans="1:9" ht="27">
      <c r="A2" s="266" t="s">
        <v>166</v>
      </c>
      <c r="B2" s="1" t="s">
        <v>167</v>
      </c>
      <c r="C2" s="1" t="s">
        <v>168</v>
      </c>
      <c r="D2" s="2" t="s">
        <v>169</v>
      </c>
      <c r="E2" s="228" t="s">
        <v>170</v>
      </c>
      <c r="F2" s="229"/>
      <c r="G2" s="2" t="s">
        <v>171</v>
      </c>
      <c r="H2" s="3" t="s">
        <v>172</v>
      </c>
      <c r="I2" s="2" t="s">
        <v>173</v>
      </c>
    </row>
    <row r="3" spans="1:9" ht="39">
      <c r="A3" s="267"/>
      <c r="B3" s="4" t="s">
        <v>174</v>
      </c>
      <c r="C3" s="2" t="s">
        <v>175</v>
      </c>
      <c r="D3" s="2"/>
      <c r="E3" s="230" t="s">
        <v>176</v>
      </c>
      <c r="F3" s="231"/>
      <c r="G3" s="232"/>
      <c r="H3" s="2"/>
      <c r="I3" s="275" t="s">
        <v>177</v>
      </c>
    </row>
    <row r="4" spans="1:9">
      <c r="A4" s="267"/>
      <c r="B4" s="4" t="s">
        <v>178</v>
      </c>
      <c r="C4" s="4" t="s">
        <v>179</v>
      </c>
      <c r="D4" s="1"/>
      <c r="E4" s="233" t="s">
        <v>176</v>
      </c>
      <c r="F4" s="233"/>
      <c r="G4" s="233"/>
      <c r="H4" s="3"/>
      <c r="I4" s="275"/>
    </row>
    <row r="5" spans="1:9" ht="26">
      <c r="A5" s="267"/>
      <c r="B5" s="6" t="s">
        <v>180</v>
      </c>
      <c r="C5" s="2">
        <v>10</v>
      </c>
      <c r="D5" s="2"/>
      <c r="E5" s="234" t="s">
        <v>181</v>
      </c>
      <c r="F5" s="235"/>
      <c r="G5" s="236"/>
      <c r="H5" s="3"/>
      <c r="I5" s="276"/>
    </row>
    <row r="6" spans="1:9">
      <c r="A6" s="267"/>
      <c r="B6" s="237" t="s">
        <v>182</v>
      </c>
      <c r="C6" s="231"/>
      <c r="D6" s="231"/>
      <c r="E6" s="231"/>
      <c r="F6" s="231"/>
      <c r="G6" s="232"/>
      <c r="H6" s="2"/>
      <c r="I6" s="7"/>
    </row>
    <row r="7" spans="1:9">
      <c r="A7" s="267"/>
      <c r="B7" s="238" t="s">
        <v>183</v>
      </c>
      <c r="C7" s="231"/>
      <c r="D7" s="239">
        <v>60</v>
      </c>
      <c r="E7" s="239"/>
      <c r="F7" s="239"/>
      <c r="G7" s="239"/>
      <c r="H7" s="2"/>
      <c r="I7" s="7"/>
    </row>
    <row r="8" spans="1:9">
      <c r="A8" s="267"/>
      <c r="B8" s="240" t="s">
        <v>184</v>
      </c>
      <c r="C8" s="241"/>
      <c r="D8" s="241"/>
      <c r="E8" s="241"/>
      <c r="F8" s="241"/>
      <c r="G8" s="241"/>
      <c r="H8" s="242"/>
      <c r="I8" s="2" t="s">
        <v>185</v>
      </c>
    </row>
    <row r="9" spans="1:9">
      <c r="A9" s="268"/>
      <c r="B9" s="243" t="s">
        <v>186</v>
      </c>
      <c r="C9" s="244"/>
      <c r="D9" s="244"/>
      <c r="E9" s="245"/>
      <c r="F9" s="243" t="s">
        <v>187</v>
      </c>
      <c r="G9" s="244"/>
      <c r="H9" s="244"/>
      <c r="I9" s="246"/>
    </row>
    <row r="10" spans="1:9" ht="27">
      <c r="A10" s="266" t="s">
        <v>188</v>
      </c>
      <c r="B10" s="238" t="s">
        <v>167</v>
      </c>
      <c r="C10" s="231"/>
      <c r="D10" s="1" t="s">
        <v>168</v>
      </c>
      <c r="E10" s="2" t="s">
        <v>169</v>
      </c>
      <c r="F10" s="1" t="s">
        <v>189</v>
      </c>
      <c r="G10" s="2" t="s">
        <v>171</v>
      </c>
      <c r="H10" s="2" t="s">
        <v>172</v>
      </c>
      <c r="I10" s="2" t="s">
        <v>173</v>
      </c>
    </row>
    <row r="11" spans="1:9">
      <c r="A11" s="267"/>
      <c r="B11" s="238" t="s">
        <v>190</v>
      </c>
      <c r="C11" s="231"/>
      <c r="D11" s="238">
        <v>60</v>
      </c>
      <c r="E11" s="231"/>
      <c r="F11" s="231"/>
      <c r="G11" s="232"/>
      <c r="H11" s="2"/>
      <c r="I11" s="277" t="s">
        <v>191</v>
      </c>
    </row>
    <row r="12" spans="1:9">
      <c r="A12" s="267"/>
      <c r="B12" s="247" t="s">
        <v>192</v>
      </c>
      <c r="C12" s="247"/>
      <c r="D12" s="9">
        <v>4</v>
      </c>
      <c r="E12" s="272"/>
      <c r="F12" s="10"/>
      <c r="G12" s="272">
        <v>39</v>
      </c>
      <c r="H12" s="5"/>
      <c r="I12" s="278"/>
    </row>
    <row r="13" spans="1:9">
      <c r="A13" s="267"/>
      <c r="B13" s="248" t="s">
        <v>193</v>
      </c>
      <c r="C13" s="247"/>
      <c r="D13" s="9">
        <v>30</v>
      </c>
      <c r="E13" s="273"/>
      <c r="F13" s="2"/>
      <c r="G13" s="273"/>
      <c r="H13" s="5"/>
      <c r="I13" s="278"/>
    </row>
    <row r="14" spans="1:9">
      <c r="A14" s="267"/>
      <c r="B14" s="248" t="s">
        <v>194</v>
      </c>
      <c r="C14" s="247"/>
      <c r="D14" s="9">
        <v>5</v>
      </c>
      <c r="E14" s="274"/>
      <c r="F14" s="2"/>
      <c r="G14" s="274"/>
      <c r="H14" s="5"/>
      <c r="I14" s="278"/>
    </row>
    <row r="15" spans="1:9">
      <c r="A15" s="267"/>
      <c r="B15" s="249" t="s">
        <v>195</v>
      </c>
      <c r="C15" s="250"/>
      <c r="D15" s="2">
        <v>1</v>
      </c>
      <c r="E15" s="2"/>
      <c r="F15" s="2"/>
      <c r="G15" s="3" t="s">
        <v>196</v>
      </c>
      <c r="H15" s="8"/>
      <c r="I15" s="278"/>
    </row>
    <row r="16" spans="1:9">
      <c r="A16" s="267"/>
      <c r="B16" s="238" t="s">
        <v>183</v>
      </c>
      <c r="C16" s="231"/>
      <c r="D16" s="239">
        <v>100</v>
      </c>
      <c r="E16" s="239"/>
      <c r="F16" s="239"/>
      <c r="G16" s="239"/>
      <c r="H16" s="5"/>
      <c r="I16" s="279"/>
    </row>
    <row r="17" spans="1:9">
      <c r="A17" s="267"/>
      <c r="B17" s="240" t="s">
        <v>197</v>
      </c>
      <c r="C17" s="241"/>
      <c r="D17" s="241"/>
      <c r="E17" s="241"/>
      <c r="F17" s="241"/>
      <c r="G17" s="241"/>
      <c r="H17" s="242"/>
      <c r="I17" s="2" t="s">
        <v>198</v>
      </c>
    </row>
    <row r="18" spans="1:9">
      <c r="A18" s="268"/>
      <c r="B18" s="243" t="s">
        <v>186</v>
      </c>
      <c r="C18" s="244"/>
      <c r="D18" s="244"/>
      <c r="E18" s="245"/>
      <c r="F18" s="243" t="s">
        <v>187</v>
      </c>
      <c r="G18" s="244"/>
      <c r="H18" s="244"/>
      <c r="I18" s="246"/>
    </row>
    <row r="19" spans="1:9">
      <c r="A19" s="233" t="s">
        <v>199</v>
      </c>
      <c r="B19" s="251" t="s">
        <v>200</v>
      </c>
      <c r="C19" s="251"/>
      <c r="D19" s="251"/>
      <c r="E19" s="11" t="s">
        <v>201</v>
      </c>
      <c r="F19" s="251" t="s">
        <v>202</v>
      </c>
      <c r="G19" s="251"/>
      <c r="H19" s="251"/>
      <c r="I19" s="2" t="s">
        <v>201</v>
      </c>
    </row>
    <row r="20" spans="1:9">
      <c r="A20" s="239"/>
      <c r="B20" s="251" t="s">
        <v>203</v>
      </c>
      <c r="C20" s="251"/>
      <c r="D20" s="251"/>
      <c r="E20" s="11" t="s">
        <v>201</v>
      </c>
      <c r="F20" s="251" t="s">
        <v>204</v>
      </c>
      <c r="G20" s="251"/>
      <c r="H20" s="251"/>
      <c r="I20" s="2" t="s">
        <v>201</v>
      </c>
    </row>
    <row r="21" spans="1:9">
      <c r="A21" s="239"/>
      <c r="B21" s="252" t="s">
        <v>186</v>
      </c>
      <c r="C21" s="253"/>
      <c r="D21" s="253"/>
      <c r="E21" s="246"/>
      <c r="F21" s="254" t="s">
        <v>205</v>
      </c>
      <c r="G21" s="253"/>
      <c r="H21" s="253"/>
      <c r="I21" s="246"/>
    </row>
    <row r="22" spans="1:9" ht="27">
      <c r="A22" s="266" t="s">
        <v>206</v>
      </c>
      <c r="B22" s="239" t="s">
        <v>167</v>
      </c>
      <c r="C22" s="239"/>
      <c r="D22" s="12" t="s">
        <v>207</v>
      </c>
      <c r="E22" s="2" t="s">
        <v>169</v>
      </c>
      <c r="F22" s="1" t="s">
        <v>189</v>
      </c>
      <c r="G22" s="2" t="s">
        <v>171</v>
      </c>
      <c r="H22" s="2" t="s">
        <v>172</v>
      </c>
      <c r="I22" s="2" t="s">
        <v>173</v>
      </c>
    </row>
    <row r="23" spans="1:9">
      <c r="A23" s="267"/>
      <c r="B23" s="233" t="s">
        <v>208</v>
      </c>
      <c r="C23" s="239"/>
      <c r="D23" s="1">
        <v>20</v>
      </c>
      <c r="E23" s="10"/>
      <c r="F23" s="13"/>
      <c r="G23" s="14"/>
      <c r="H23" s="2"/>
      <c r="I23" s="2"/>
    </row>
    <row r="24" spans="1:9">
      <c r="A24" s="267"/>
      <c r="B24" s="255" t="s">
        <v>209</v>
      </c>
      <c r="C24" s="256"/>
      <c r="D24" s="1">
        <v>25</v>
      </c>
      <c r="E24" s="238" t="s">
        <v>210</v>
      </c>
      <c r="F24" s="231"/>
      <c r="G24" s="232"/>
      <c r="H24" s="2"/>
      <c r="I24" s="2"/>
    </row>
    <row r="25" spans="1:9">
      <c r="A25" s="267"/>
      <c r="B25" s="255" t="s">
        <v>211</v>
      </c>
      <c r="C25" s="239"/>
      <c r="D25" s="1">
        <v>5</v>
      </c>
      <c r="E25" s="238" t="s">
        <v>210</v>
      </c>
      <c r="F25" s="231"/>
      <c r="G25" s="232"/>
      <c r="H25" s="2"/>
      <c r="I25" s="2"/>
    </row>
    <row r="26" spans="1:9">
      <c r="A26" s="267"/>
      <c r="B26" s="239" t="s">
        <v>212</v>
      </c>
      <c r="C26" s="239"/>
      <c r="D26" s="239">
        <v>50</v>
      </c>
      <c r="E26" s="239"/>
      <c r="F26" s="239"/>
      <c r="G26" s="239"/>
      <c r="H26" s="2"/>
      <c r="I26" s="2"/>
    </row>
    <row r="27" spans="1:9">
      <c r="A27" s="267"/>
      <c r="B27" s="240" t="s">
        <v>213</v>
      </c>
      <c r="C27" s="241"/>
      <c r="D27" s="241"/>
      <c r="E27" s="241"/>
      <c r="F27" s="241"/>
      <c r="G27" s="241"/>
      <c r="H27" s="242"/>
      <c r="I27" s="2" t="s">
        <v>214</v>
      </c>
    </row>
    <row r="28" spans="1:9">
      <c r="A28" s="268"/>
      <c r="B28" s="252" t="s">
        <v>186</v>
      </c>
      <c r="C28" s="253"/>
      <c r="D28" s="253"/>
      <c r="E28" s="246"/>
      <c r="F28" s="252" t="s">
        <v>187</v>
      </c>
      <c r="G28" s="253"/>
      <c r="H28" s="253"/>
      <c r="I28" s="246"/>
    </row>
    <row r="29" spans="1:9">
      <c r="A29" s="269" t="s">
        <v>215</v>
      </c>
      <c r="B29" s="257" t="s">
        <v>216</v>
      </c>
      <c r="C29" s="258"/>
      <c r="D29" s="259"/>
      <c r="E29" s="15" t="s">
        <v>217</v>
      </c>
      <c r="F29" s="257" t="s">
        <v>218</v>
      </c>
      <c r="G29" s="258"/>
      <c r="H29" s="259"/>
      <c r="I29" s="15" t="s">
        <v>217</v>
      </c>
    </row>
    <row r="30" spans="1:9">
      <c r="A30" s="270"/>
      <c r="B30" s="257" t="s">
        <v>219</v>
      </c>
      <c r="C30" s="258"/>
      <c r="D30" s="259"/>
      <c r="E30" s="15" t="s">
        <v>217</v>
      </c>
      <c r="F30" s="260" t="s">
        <v>220</v>
      </c>
      <c r="G30" s="261"/>
      <c r="H30" s="262"/>
      <c r="I30" s="15" t="s">
        <v>217</v>
      </c>
    </row>
    <row r="31" spans="1:9">
      <c r="A31" s="270"/>
      <c r="B31" s="257" t="s">
        <v>221</v>
      </c>
      <c r="C31" s="258"/>
      <c r="D31" s="259"/>
      <c r="E31" s="15" t="s">
        <v>217</v>
      </c>
      <c r="F31" s="260" t="s">
        <v>222</v>
      </c>
      <c r="G31" s="261"/>
      <c r="H31" s="262"/>
      <c r="I31" s="15" t="s">
        <v>217</v>
      </c>
    </row>
    <row r="32" spans="1:9">
      <c r="A32" s="270"/>
      <c r="B32" s="257" t="s">
        <v>223</v>
      </c>
      <c r="C32" s="258"/>
      <c r="D32" s="259"/>
      <c r="E32" s="15" t="s">
        <v>217</v>
      </c>
      <c r="F32" s="260" t="s">
        <v>224</v>
      </c>
      <c r="G32" s="261"/>
      <c r="H32" s="262"/>
      <c r="I32" s="15" t="s">
        <v>217</v>
      </c>
    </row>
    <row r="33" spans="1:9">
      <c r="A33" s="270"/>
      <c r="B33" s="257" t="s">
        <v>225</v>
      </c>
      <c r="C33" s="258"/>
      <c r="D33" s="259"/>
      <c r="E33" s="15" t="s">
        <v>217</v>
      </c>
      <c r="F33" s="260" t="s">
        <v>226</v>
      </c>
      <c r="G33" s="261"/>
      <c r="H33" s="262"/>
      <c r="I33" s="15" t="s">
        <v>217</v>
      </c>
    </row>
    <row r="34" spans="1:9">
      <c r="A34" s="271"/>
      <c r="B34" s="257" t="s">
        <v>227</v>
      </c>
      <c r="C34" s="258"/>
      <c r="D34" s="259"/>
      <c r="E34" s="15" t="s">
        <v>217</v>
      </c>
      <c r="F34" s="260" t="s">
        <v>228</v>
      </c>
      <c r="G34" s="261"/>
      <c r="H34" s="262"/>
      <c r="I34" s="15" t="s">
        <v>217</v>
      </c>
    </row>
    <row r="35" spans="1:9">
      <c r="A35" s="16" t="s">
        <v>229</v>
      </c>
      <c r="B35" s="263" t="s">
        <v>230</v>
      </c>
      <c r="C35" s="264"/>
      <c r="D35" s="264"/>
      <c r="E35" s="264"/>
      <c r="F35" s="264"/>
      <c r="G35" s="264"/>
      <c r="H35" s="265"/>
      <c r="I35" s="17"/>
    </row>
  </sheetData>
  <mergeCells count="62">
    <mergeCell ref="I11:I16"/>
    <mergeCell ref="B34:D34"/>
    <mergeCell ref="F34:H34"/>
    <mergeCell ref="B35:H35"/>
    <mergeCell ref="A2:A9"/>
    <mergeCell ref="A10:A18"/>
    <mergeCell ref="A19:A21"/>
    <mergeCell ref="A22:A28"/>
    <mergeCell ref="A29:A34"/>
    <mergeCell ref="E12:E14"/>
    <mergeCell ref="G12:G14"/>
    <mergeCell ref="B31:D31"/>
    <mergeCell ref="F31:H31"/>
    <mergeCell ref="B32:D32"/>
    <mergeCell ref="F32:H32"/>
    <mergeCell ref="B33:D33"/>
    <mergeCell ref="F33:H33"/>
    <mergeCell ref="B28:E28"/>
    <mergeCell ref="F28:I28"/>
    <mergeCell ref="B29:D29"/>
    <mergeCell ref="F29:H29"/>
    <mergeCell ref="B30:D30"/>
    <mergeCell ref="F30:H30"/>
    <mergeCell ref="B25:C25"/>
    <mergeCell ref="E25:G25"/>
    <mergeCell ref="B26:C26"/>
    <mergeCell ref="D26:G26"/>
    <mergeCell ref="B27:H27"/>
    <mergeCell ref="B21:E21"/>
    <mergeCell ref="F21:I21"/>
    <mergeCell ref="B22:C22"/>
    <mergeCell ref="B23:C23"/>
    <mergeCell ref="B24:C24"/>
    <mergeCell ref="E24:G24"/>
    <mergeCell ref="B18:E18"/>
    <mergeCell ref="F18:I18"/>
    <mergeCell ref="B19:D19"/>
    <mergeCell ref="F19:H19"/>
    <mergeCell ref="B20:D20"/>
    <mergeCell ref="F20:H20"/>
    <mergeCell ref="B14:C14"/>
    <mergeCell ref="B15:C15"/>
    <mergeCell ref="B16:C16"/>
    <mergeCell ref="D16:G16"/>
    <mergeCell ref="B17:H17"/>
    <mergeCell ref="B10:C10"/>
    <mergeCell ref="B11:C11"/>
    <mergeCell ref="D11:G11"/>
    <mergeCell ref="B12:C12"/>
    <mergeCell ref="B13:C13"/>
    <mergeCell ref="B6:G6"/>
    <mergeCell ref="B7:C7"/>
    <mergeCell ref="D7:G7"/>
    <mergeCell ref="B8:H8"/>
    <mergeCell ref="B9:E9"/>
    <mergeCell ref="F9:I9"/>
    <mergeCell ref="A1:I1"/>
    <mergeCell ref="E2:F2"/>
    <mergeCell ref="E3:G3"/>
    <mergeCell ref="E4:G4"/>
    <mergeCell ref="E5:G5"/>
    <mergeCell ref="I3:I5"/>
  </mergeCells>
  <phoneticPr fontId="9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U15" sqref="U15"/>
    </sheetView>
  </sheetViews>
  <sheetFormatPr defaultColWidth="9" defaultRowHeight="14"/>
  <sheetData/>
  <phoneticPr fontId="98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A19" workbookViewId="0">
      <selection activeCell="I46" sqref="I46"/>
    </sheetView>
  </sheetViews>
  <sheetFormatPr defaultColWidth="9" defaultRowHeight="14"/>
  <sheetData/>
  <phoneticPr fontId="98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2" master="" otherUserPermission="visible">
    <arrUserId title="区域2" rangeCreator="" othersAccessPermission="edit"/>
    <arrUserId title="区域1" rangeCreator="" othersAccessPermission="edit"/>
  </rangeList>
  <rangeList sheetStid="4" master="" otherUserPermission="visible">
    <arrUserId title="区域1" rangeCreator="" othersAccessPermission="edit"/>
  </rangeList>
  <rangeList sheetStid="5" master="" otherUserPermission="visible"/>
  <rangeList sheetStid="6" master="" otherUserPermission="visible"/>
  <rangeList sheetStid="7" master="" otherUserPermission="visible"/>
  <rangeList sheetStid="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上机信息表</vt:lpstr>
      <vt:lpstr>pooling详情</vt:lpstr>
      <vt:lpstr>IDseq-上机流程监控表</vt:lpstr>
      <vt:lpstr>跟进表信息提取</vt:lpstr>
      <vt:lpstr>建库流程</vt:lpstr>
      <vt:lpstr>DNA片段大小</vt:lpstr>
      <vt:lpstr>RNA片段大小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浅 浅</cp:lastModifiedBy>
  <cp:lastPrinted>2023-06-16T10:31:00Z</cp:lastPrinted>
  <dcterms:created xsi:type="dcterms:W3CDTF">2017-07-04T06:47:00Z</dcterms:created>
  <dcterms:modified xsi:type="dcterms:W3CDTF">2026-05-21T06:22:29Z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F7C202C9A0E44FA297C590401CCB8DEF_13</vt:lpwstr>
  </property>
  <property fmtid="{D5CDD505-2E9C-101B-9397-08002B2CF9AE}" pid="4" name="CalculationRule">
    <vt:i4>0</vt:i4>
  </property>
</Properties>
</file>