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010" yWindow="240" windowWidth="13920" windowHeight="9225" tabRatio="814" activeTab="1"/>
  </bookViews>
  <sheets>
    <sheet name="采购" sheetId="1" r:id="rId1"/>
    <sheet name="销售" sheetId="2" r:id="rId2"/>
    <sheet name="库存" sheetId="7" r:id="rId3"/>
    <sheet name="Ansell手套库存" sheetId="8" r:id="rId4"/>
    <sheet name="样品流向" sheetId="3" r:id="rId5"/>
    <sheet name="销售员取货" sheetId="5" r:id="rId6"/>
  </sheets>
  <definedNames>
    <definedName name="_xlnm._FilterDatabase" localSheetId="3" hidden="1">Ansell手套库存!$A$1:$G$40</definedName>
    <definedName name="_xlnm._FilterDatabase" localSheetId="0" hidden="1">采购!$A$1:$AG$1084</definedName>
    <definedName name="_xlnm._FilterDatabase" localSheetId="2" hidden="1">库存!$A$1:$E$172</definedName>
    <definedName name="_xlnm._FilterDatabase" localSheetId="1" hidden="1">销售!$A$1:$AR$2154</definedName>
    <definedName name="_xlnm._FilterDatabase" localSheetId="5" hidden="1">销售员取货!$A$1:$G$45</definedName>
    <definedName name="_xlnm._FilterDatabase" localSheetId="4" hidden="1">样品流向!$A$1:$K$292</definedName>
    <definedName name="Z_E2EBE12A_2EEF_4ED6_A8ED_23574FF31B29_.wvu.FilterData" localSheetId="0" hidden="1">采购!$A$1:$AG$338</definedName>
    <definedName name="Z_E2EBE12A_2EEF_4ED6_A8ED_23574FF31B29_.wvu.FilterData" localSheetId="1" hidden="1">销售!$A$1:$AR$664</definedName>
    <definedName name="Z_E2EBE12A_2EEF_4ED6_A8ED_23574FF31B29_.wvu.FilterData" localSheetId="4" hidden="1">样品流向!$A$1:$H$150</definedName>
  </definedNames>
  <calcPr calcId="125725"/>
  <customWorkbookViews>
    <customWorkbookView name="微软用户 - 个人视图" guid="{E2EBE12A-2EEF-4ED6-A8ED-23574FF31B29}" mergeInterval="0" personalView="1" maximized="1" xWindow="1" yWindow="1" windowWidth="1280" windowHeight="530" activeSheetId="2"/>
  </customWorkbookViews>
</workbook>
</file>

<file path=xl/calcChain.xml><?xml version="1.0" encoding="utf-8"?>
<calcChain xmlns="http://schemas.openxmlformats.org/spreadsheetml/2006/main">
  <c r="I1083" i="1"/>
  <c r="I1082"/>
  <c r="I1081"/>
  <c r="I1080"/>
  <c r="I1078"/>
  <c r="I1079"/>
  <c r="I2154" i="2"/>
  <c r="O2154" s="1"/>
  <c r="I2153"/>
  <c r="O2153" s="1"/>
  <c r="O2151"/>
  <c r="I2152"/>
  <c r="O2152" s="1"/>
  <c r="I2151"/>
  <c r="K2050"/>
  <c r="C15" i="7"/>
  <c r="K2134" i="2"/>
  <c r="K2133"/>
  <c r="C5" i="7"/>
  <c r="I2134" i="2"/>
  <c r="O2134" s="1"/>
  <c r="C4" i="7"/>
  <c r="E21"/>
  <c r="C21"/>
  <c r="K2132" i="2"/>
  <c r="E94" i="7"/>
  <c r="C94"/>
  <c r="K2131" i="2"/>
  <c r="C119" i="7"/>
  <c r="I2132" i="2"/>
  <c r="O2132" s="1"/>
  <c r="I2149"/>
  <c r="O2149" s="1"/>
  <c r="I2150"/>
  <c r="O2150" s="1"/>
  <c r="I2133"/>
  <c r="O2133" s="1"/>
  <c r="I2131"/>
  <c r="O2131" s="1"/>
  <c r="K2129"/>
  <c r="E34" i="7"/>
  <c r="C34"/>
  <c r="K2128" i="2"/>
  <c r="I2128"/>
  <c r="O2128" s="1"/>
  <c r="K2130"/>
  <c r="K2127"/>
  <c r="E38" i="7"/>
  <c r="C38"/>
  <c r="K2126" i="2"/>
  <c r="E23" i="7"/>
  <c r="C23"/>
  <c r="K2125" i="2"/>
  <c r="K2124"/>
  <c r="I2127"/>
  <c r="N2127" s="1"/>
  <c r="I2126"/>
  <c r="N2126" s="1"/>
  <c r="I2125"/>
  <c r="N2125" s="1"/>
  <c r="I2124"/>
  <c r="K2148"/>
  <c r="I2148"/>
  <c r="O2148" s="1"/>
  <c r="I2147"/>
  <c r="O2147" s="1"/>
  <c r="I2130"/>
  <c r="O2130" s="1"/>
  <c r="I2129"/>
  <c r="O2129" s="1"/>
  <c r="K2107"/>
  <c r="C57" i="7"/>
  <c r="E112"/>
  <c r="C112"/>
  <c r="K2072" i="2"/>
  <c r="I2072"/>
  <c r="N2072" s="1"/>
  <c r="O2072" s="1"/>
  <c r="K2071"/>
  <c r="O2127" l="1"/>
  <c r="O2126"/>
  <c r="O2125"/>
  <c r="N2124"/>
  <c r="O2124" s="1"/>
  <c r="K2123"/>
  <c r="E57" i="7"/>
  <c r="I1077" i="1"/>
  <c r="I2123" i="2"/>
  <c r="N2123" s="1"/>
  <c r="O2123" s="1"/>
  <c r="E160" i="7" l="1"/>
  <c r="C160"/>
  <c r="K2118" i="2"/>
  <c r="I2104"/>
  <c r="I2105"/>
  <c r="K2122"/>
  <c r="I2122"/>
  <c r="O2122" s="1"/>
  <c r="K2146"/>
  <c r="I2146"/>
  <c r="O2146" s="1"/>
  <c r="I2145"/>
  <c r="O2145" s="1"/>
  <c r="K2121" l="1"/>
  <c r="E65" i="7" l="1"/>
  <c r="C65"/>
  <c r="K2117" i="2"/>
  <c r="K2119"/>
  <c r="C11" i="7"/>
  <c r="C110" l="1"/>
  <c r="K2116" i="2"/>
  <c r="C98" i="7"/>
  <c r="I2116" i="2"/>
  <c r="O2116" s="1"/>
  <c r="I1076" i="1"/>
  <c r="I2118" i="2"/>
  <c r="O2118" s="1"/>
  <c r="I2119"/>
  <c r="K2114"/>
  <c r="E161" i="7"/>
  <c r="C161"/>
  <c r="K2115" i="2"/>
  <c r="I2115"/>
  <c r="O2115" s="1"/>
  <c r="I2114"/>
  <c r="O2114" s="1"/>
  <c r="I1075" i="1"/>
  <c r="O2119" i="2" l="1"/>
  <c r="K2113" l="1"/>
  <c r="I2113"/>
  <c r="O2113" s="1"/>
  <c r="I1074" i="1"/>
  <c r="I2144" i="2"/>
  <c r="O2144" s="1"/>
  <c r="I2143"/>
  <c r="O2143" s="1"/>
  <c r="K2109"/>
  <c r="K2110"/>
  <c r="E13" i="7"/>
  <c r="C13"/>
  <c r="K2111" i="2"/>
  <c r="E15" i="7"/>
  <c r="I2112" i="2"/>
  <c r="O2112" s="1"/>
  <c r="I1073" i="1"/>
  <c r="I1072"/>
  <c r="I1071"/>
  <c r="I1070"/>
  <c r="K2108" i="2"/>
  <c r="K2104"/>
  <c r="K2103"/>
  <c r="E167" i="7"/>
  <c r="C167"/>
  <c r="K2102" i="2"/>
  <c r="E37" i="7"/>
  <c r="C37"/>
  <c r="K2101" i="2"/>
  <c r="I2142"/>
  <c r="O2142" s="1"/>
  <c r="K2106"/>
  <c r="E122" i="7"/>
  <c r="C122"/>
  <c r="I2106" i="2"/>
  <c r="N2106" s="1"/>
  <c r="O2106" s="1"/>
  <c r="N2105"/>
  <c r="I2108"/>
  <c r="O2108" s="1"/>
  <c r="I2111"/>
  <c r="N2111" s="1"/>
  <c r="I2110"/>
  <c r="I2109"/>
  <c r="N2109" s="1"/>
  <c r="I2107"/>
  <c r="O2104"/>
  <c r="I2103"/>
  <c r="O2103" s="1"/>
  <c r="I2102"/>
  <c r="O2102" s="1"/>
  <c r="I2101"/>
  <c r="O2101" s="1"/>
  <c r="K2105"/>
  <c r="I2120"/>
  <c r="O2120" s="1"/>
  <c r="K2100"/>
  <c r="I2100"/>
  <c r="O2100" s="1"/>
  <c r="K2099"/>
  <c r="K2098"/>
  <c r="K2097"/>
  <c r="K2096"/>
  <c r="I2099"/>
  <c r="O2099" s="1"/>
  <c r="I2098"/>
  <c r="O2098" s="1"/>
  <c r="I2097"/>
  <c r="O2097" s="1"/>
  <c r="I2096"/>
  <c r="O2096" s="1"/>
  <c r="K2093"/>
  <c r="C2" i="7"/>
  <c r="K2094" i="2"/>
  <c r="K2095"/>
  <c r="K2092"/>
  <c r="K2091"/>
  <c r="K2090"/>
  <c r="I1066" i="1"/>
  <c r="I1067"/>
  <c r="I1068"/>
  <c r="I1069"/>
  <c r="N2107" i="2" l="1"/>
  <c r="O2107" s="1"/>
  <c r="O2105"/>
  <c r="N2110"/>
  <c r="O2110" s="1"/>
  <c r="O2111"/>
  <c r="O2109"/>
  <c r="E16" i="7" l="1"/>
  <c r="C16"/>
  <c r="I2141" i="2"/>
  <c r="O2141" l="1"/>
  <c r="I2140"/>
  <c r="O2140" s="1"/>
  <c r="K2088" l="1"/>
  <c r="K2089"/>
  <c r="C58" i="7"/>
  <c r="K2087" i="2"/>
  <c r="I2088"/>
  <c r="I2087"/>
  <c r="I2095"/>
  <c r="O2095" s="1"/>
  <c r="I2094"/>
  <c r="O2094" s="1"/>
  <c r="I2093"/>
  <c r="O2093" s="1"/>
  <c r="I2092"/>
  <c r="O2092" s="1"/>
  <c r="I2091"/>
  <c r="O2091" s="1"/>
  <c r="I2090"/>
  <c r="O2090" s="1"/>
  <c r="I2089"/>
  <c r="O2089" s="1"/>
  <c r="I1065" i="1"/>
  <c r="O2088" i="2" l="1"/>
  <c r="N2088"/>
  <c r="N2087"/>
  <c r="O2087" s="1"/>
  <c r="I1063" i="1"/>
  <c r="I1062"/>
  <c r="I1061"/>
  <c r="K2086" i="2"/>
  <c r="I2117"/>
  <c r="N2117" s="1"/>
  <c r="I2086"/>
  <c r="N2086" s="1"/>
  <c r="K2085"/>
  <c r="I1060" i="1"/>
  <c r="K2084" i="2"/>
  <c r="K2083"/>
  <c r="E147" i="7"/>
  <c r="C147"/>
  <c r="O2086" i="2" l="1"/>
  <c r="O2117"/>
  <c r="K2082" l="1"/>
  <c r="I2085"/>
  <c r="O2085" s="1"/>
  <c r="I2084"/>
  <c r="O2084" s="1"/>
  <c r="I2083"/>
  <c r="O2083" s="1"/>
  <c r="I2082"/>
  <c r="O2082" s="1"/>
  <c r="K2080"/>
  <c r="K2079"/>
  <c r="I2080"/>
  <c r="I2079"/>
  <c r="K2081"/>
  <c r="I2081"/>
  <c r="O2081" s="1"/>
  <c r="K2069"/>
  <c r="K2070"/>
  <c r="K2068"/>
  <c r="K2073"/>
  <c r="E8" i="7"/>
  <c r="I2068" i="2"/>
  <c r="I1059" i="1"/>
  <c r="I1058"/>
  <c r="C8" i="7"/>
  <c r="I2070" i="2"/>
  <c r="O2070" s="1"/>
  <c r="I2121"/>
  <c r="O2121" s="1"/>
  <c r="I2069"/>
  <c r="O2069" s="1"/>
  <c r="G8" i="8"/>
  <c r="E8"/>
  <c r="E7"/>
  <c r="G7"/>
  <c r="G3"/>
  <c r="E3"/>
  <c r="E37"/>
  <c r="K2078" i="2"/>
  <c r="C105" i="7"/>
  <c r="K2077" i="2"/>
  <c r="K2076"/>
  <c r="K2075"/>
  <c r="C32" i="7"/>
  <c r="E32" s="1"/>
  <c r="K2064" i="2"/>
  <c r="K2063"/>
  <c r="K2062"/>
  <c r="E33" i="8"/>
  <c r="K2065" i="2"/>
  <c r="K2066"/>
  <c r="K2061"/>
  <c r="K2060"/>
  <c r="K2059"/>
  <c r="K2057"/>
  <c r="K2058"/>
  <c r="K2056"/>
  <c r="K2055"/>
  <c r="K2054"/>
  <c r="I1057" i="1"/>
  <c r="I1056"/>
  <c r="I1055"/>
  <c r="I1054"/>
  <c r="I1053"/>
  <c r="I2061" i="2"/>
  <c r="O2061" s="1"/>
  <c r="I2060"/>
  <c r="O2060" s="1"/>
  <c r="I2059"/>
  <c r="O2059" s="1"/>
  <c r="I2058"/>
  <c r="O2058" s="1"/>
  <c r="I2057"/>
  <c r="O2057" s="1"/>
  <c r="I2056"/>
  <c r="O2056" s="1"/>
  <c r="I2055"/>
  <c r="O2055" s="1"/>
  <c r="I2054"/>
  <c r="O2054" s="1"/>
  <c r="I1052" i="1"/>
  <c r="I1051"/>
  <c r="I1050"/>
  <c r="N2068" i="2" l="1"/>
  <c r="O2068" s="1"/>
  <c r="N2080"/>
  <c r="O2080" s="1"/>
  <c r="N2079"/>
  <c r="O2079" s="1"/>
  <c r="I1049" i="1"/>
  <c r="I1048"/>
  <c r="I1047"/>
  <c r="I1046"/>
  <c r="K2053" i="2"/>
  <c r="E10" i="7"/>
  <c r="C10"/>
  <c r="I2053" i="2"/>
  <c r="O2053" s="1"/>
  <c r="K1985"/>
  <c r="E66" i="7"/>
  <c r="C66"/>
  <c r="I999" i="1"/>
  <c r="K2049" i="2"/>
  <c r="I1045" i="1"/>
  <c r="K2052" i="2"/>
  <c r="K2051"/>
  <c r="I2052"/>
  <c r="O2052" s="1"/>
  <c r="I2051"/>
  <c r="O2051" s="1"/>
  <c r="I2050"/>
  <c r="O2050" s="1"/>
  <c r="I2049"/>
  <c r="O2049" s="1"/>
  <c r="K2067"/>
  <c r="I1044" i="1"/>
  <c r="J1303" i="2" l="1"/>
  <c r="J1470"/>
  <c r="J1471"/>
  <c r="J1572"/>
  <c r="J1583"/>
  <c r="J1584"/>
  <c r="J1585"/>
  <c r="J1850"/>
  <c r="K801"/>
  <c r="K666"/>
  <c r="K2048"/>
  <c r="I2048"/>
  <c r="N2048" s="1"/>
  <c r="E4" i="7"/>
  <c r="E3"/>
  <c r="K2047" i="2"/>
  <c r="K2046"/>
  <c r="K2045"/>
  <c r="K2044"/>
  <c r="K2043"/>
  <c r="I2044"/>
  <c r="N2044" s="1"/>
  <c r="O2044" s="1"/>
  <c r="I2045"/>
  <c r="N2045" s="1"/>
  <c r="I2046"/>
  <c r="N2046" s="1"/>
  <c r="O2046" s="1"/>
  <c r="I2047"/>
  <c r="N2047" s="1"/>
  <c r="O2047" s="1"/>
  <c r="I2043"/>
  <c r="N2043" s="1"/>
  <c r="O2043" s="1"/>
  <c r="I1043" i="1"/>
  <c r="I1042"/>
  <c r="I1041"/>
  <c r="I1040"/>
  <c r="I2067" i="2"/>
  <c r="O2067" s="1"/>
  <c r="I2066"/>
  <c r="O2066" s="1"/>
  <c r="I2065"/>
  <c r="O2065" s="1"/>
  <c r="I2064"/>
  <c r="O2064" s="1"/>
  <c r="I2063"/>
  <c r="O2063" s="1"/>
  <c r="I2062"/>
  <c r="O2062" s="1"/>
  <c r="E5" i="7"/>
  <c r="K2042" i="2"/>
  <c r="E96" i="7"/>
  <c r="C96"/>
  <c r="I2042" i="2"/>
  <c r="O2042" s="1"/>
  <c r="O2048" l="1"/>
  <c r="O2045"/>
  <c r="I2139"/>
  <c r="O2139" s="1"/>
  <c r="I2138"/>
  <c r="O2138" s="1"/>
  <c r="I2137"/>
  <c r="O2137" s="1"/>
  <c r="I2078"/>
  <c r="I2077"/>
  <c r="I2076"/>
  <c r="I2075"/>
  <c r="K2040"/>
  <c r="K2039"/>
  <c r="C12" i="7"/>
  <c r="N2075" i="2" l="1"/>
  <c r="O2075" s="1"/>
  <c r="N2077"/>
  <c r="O2077" s="1"/>
  <c r="N2078"/>
  <c r="O2078" s="1"/>
  <c r="N2076"/>
  <c r="O2076" s="1"/>
  <c r="C17" i="7"/>
  <c r="I1037" i="1"/>
  <c r="I1038"/>
  <c r="I1039"/>
  <c r="I1036"/>
  <c r="I1035"/>
  <c r="K2038" i="2"/>
  <c r="K2037"/>
  <c r="I2038"/>
  <c r="O2038" s="1"/>
  <c r="I2037"/>
  <c r="O2037" s="1"/>
  <c r="I1033" i="1"/>
  <c r="I1034"/>
  <c r="K2036" i="2"/>
  <c r="K2035"/>
  <c r="I2036"/>
  <c r="O2036" s="1"/>
  <c r="I2035"/>
  <c r="O2035" s="1"/>
  <c r="K2034" l="1"/>
  <c r="I2034"/>
  <c r="O2034" s="1"/>
  <c r="K2074" l="1"/>
  <c r="I2074"/>
  <c r="I2073"/>
  <c r="I2071"/>
  <c r="K2041"/>
  <c r="I2041"/>
  <c r="I2040"/>
  <c r="N2040" s="1"/>
  <c r="I2039"/>
  <c r="K2033"/>
  <c r="I2033"/>
  <c r="N2033" s="1"/>
  <c r="K2031"/>
  <c r="K2032"/>
  <c r="I1032" i="1"/>
  <c r="I1031"/>
  <c r="I2032" i="2"/>
  <c r="O2032" s="1"/>
  <c r="I2031"/>
  <c r="O2031" s="1"/>
  <c r="N2074" l="1"/>
  <c r="O2074" s="1"/>
  <c r="N2073"/>
  <c r="O2073" s="1"/>
  <c r="N2071"/>
  <c r="O2071" s="1"/>
  <c r="O2033"/>
  <c r="N2041"/>
  <c r="O2041" s="1"/>
  <c r="O2040"/>
  <c r="N2039"/>
  <c r="O2039" s="1"/>
  <c r="K2030" l="1"/>
  <c r="K2029"/>
  <c r="I2030"/>
  <c r="O2030" s="1"/>
  <c r="I2029"/>
  <c r="O2029" s="1"/>
  <c r="E27" i="8"/>
  <c r="E26"/>
  <c r="E23"/>
  <c r="E36"/>
  <c r="E34"/>
  <c r="K2028" i="2"/>
  <c r="K2027"/>
  <c r="K2026"/>
  <c r="I2028"/>
  <c r="I2027"/>
  <c r="I2026"/>
  <c r="K2022"/>
  <c r="N2028" l="1"/>
  <c r="O2028" s="1"/>
  <c r="N2027"/>
  <c r="O2027" s="1"/>
  <c r="N2026"/>
  <c r="O2026" s="1"/>
  <c r="I1029" i="1"/>
  <c r="I1030"/>
  <c r="I1028"/>
  <c r="K2024" i="2"/>
  <c r="K2023"/>
  <c r="K2025"/>
  <c r="I2024"/>
  <c r="I2025"/>
  <c r="I2023"/>
  <c r="I2022"/>
  <c r="K2017"/>
  <c r="I2017"/>
  <c r="N2017" s="1"/>
  <c r="N2024" l="1"/>
  <c r="O2024" s="1"/>
  <c r="N2025"/>
  <c r="O2025" s="1"/>
  <c r="N2023"/>
  <c r="O2023" s="1"/>
  <c r="N2022"/>
  <c r="O2022" s="1"/>
  <c r="O2017"/>
  <c r="K2016" l="1"/>
  <c r="I2016"/>
  <c r="O2016" s="1"/>
  <c r="I1027" i="1"/>
  <c r="I1022"/>
  <c r="I1023"/>
  <c r="I1024"/>
  <c r="I1025"/>
  <c r="I1026"/>
  <c r="I1021"/>
  <c r="K2015" i="2"/>
  <c r="I2015"/>
  <c r="O2015" s="1"/>
  <c r="K2014"/>
  <c r="F2014"/>
  <c r="I2014" s="1"/>
  <c r="O2014" s="1"/>
  <c r="K2018"/>
  <c r="I2018"/>
  <c r="K2010"/>
  <c r="K2013"/>
  <c r="I2013"/>
  <c r="I2012"/>
  <c r="N2012" s="1"/>
  <c r="K2012"/>
  <c r="K2021"/>
  <c r="K2020"/>
  <c r="K2019"/>
  <c r="I2021"/>
  <c r="N2021" s="1"/>
  <c r="I2020"/>
  <c r="N2020" s="1"/>
  <c r="O2020" s="1"/>
  <c r="I2019"/>
  <c r="N2019" s="1"/>
  <c r="K2009"/>
  <c r="K2008"/>
  <c r="K2007"/>
  <c r="I2009"/>
  <c r="O2009" s="1"/>
  <c r="I2008"/>
  <c r="O2008" s="1"/>
  <c r="I2007"/>
  <c r="O2007" s="1"/>
  <c r="N2013" l="1"/>
  <c r="O2013" s="1"/>
  <c r="N2018"/>
  <c r="O2018" s="1"/>
  <c r="O2012"/>
  <c r="O2019"/>
  <c r="O2021"/>
  <c r="I1020" i="1" l="1"/>
  <c r="K2006" i="2" l="1"/>
  <c r="K2005" l="1"/>
  <c r="K2004"/>
  <c r="I2005"/>
  <c r="O2005" s="1"/>
  <c r="I2006"/>
  <c r="O2006" s="1"/>
  <c r="I2004"/>
  <c r="O2004" s="1"/>
  <c r="K2003"/>
  <c r="I2003"/>
  <c r="K2002"/>
  <c r="I1019" i="1"/>
  <c r="I2002" i="2"/>
  <c r="N2002" s="1"/>
  <c r="K2001"/>
  <c r="K2000"/>
  <c r="I2001"/>
  <c r="I2000"/>
  <c r="N2001" l="1"/>
  <c r="O2001" s="1"/>
  <c r="N2000"/>
  <c r="O2000" s="1"/>
  <c r="N2003"/>
  <c r="O2003" s="1"/>
  <c r="O2002"/>
  <c r="K1999"/>
  <c r="I1999"/>
  <c r="N1999" s="1"/>
  <c r="O1999" l="1"/>
  <c r="K2011"/>
  <c r="I2011"/>
  <c r="O2011" s="1"/>
  <c r="E21" i="8" l="1"/>
  <c r="K1998" i="2"/>
  <c r="I1998"/>
  <c r="O1998" s="1"/>
  <c r="K1989" l="1"/>
  <c r="I1989"/>
  <c r="O1989" s="1"/>
  <c r="K1658"/>
  <c r="K1927"/>
  <c r="K1845"/>
  <c r="F1018" i="1"/>
  <c r="I1018" s="1"/>
  <c r="K1996" i="2"/>
  <c r="E35" i="7"/>
  <c r="C35"/>
  <c r="K1995" i="2"/>
  <c r="K1990"/>
  <c r="I1990"/>
  <c r="O1990" s="1"/>
  <c r="I1017" i="1"/>
  <c r="K1997" i="2"/>
  <c r="I1997"/>
  <c r="N1997" s="1"/>
  <c r="K1994"/>
  <c r="K1863"/>
  <c r="E6" i="7"/>
  <c r="K1986" i="2"/>
  <c r="K1987"/>
  <c r="K1988"/>
  <c r="I1986"/>
  <c r="O1986" s="1"/>
  <c r="I1987"/>
  <c r="O1987" s="1"/>
  <c r="I1988"/>
  <c r="O1988" s="1"/>
  <c r="I1985"/>
  <c r="O1985" s="1"/>
  <c r="K1993"/>
  <c r="K1992"/>
  <c r="I1993"/>
  <c r="N1993" s="1"/>
  <c r="I1992"/>
  <c r="N1992" s="1"/>
  <c r="O1992" s="1"/>
  <c r="K1991"/>
  <c r="I1016" i="1"/>
  <c r="J1991" i="2"/>
  <c r="I1991"/>
  <c r="N1991" s="1"/>
  <c r="O1997" l="1"/>
  <c r="O1993"/>
  <c r="O1991"/>
  <c r="I1015" i="1" l="1"/>
  <c r="C18" i="7"/>
  <c r="K1984" i="2" l="1"/>
  <c r="I1984"/>
  <c r="O1984" s="1"/>
  <c r="K1983"/>
  <c r="I1983"/>
  <c r="O1983" s="1"/>
  <c r="K1976"/>
  <c r="C132" i="7" l="1"/>
  <c r="C117"/>
  <c r="C114"/>
  <c r="C127"/>
  <c r="I1014" i="1" l="1"/>
  <c r="K1514" i="2"/>
  <c r="C139" i="7"/>
  <c r="E139"/>
  <c r="I1013" i="1" l="1"/>
  <c r="I1012" l="1"/>
  <c r="I1011"/>
  <c r="I1010"/>
  <c r="I1009"/>
  <c r="I1008"/>
  <c r="I1006"/>
  <c r="I1007"/>
  <c r="I1005"/>
  <c r="I1004"/>
  <c r="K1981" i="2"/>
  <c r="K1980"/>
  <c r="K1979"/>
  <c r="I1981"/>
  <c r="O1981" s="1"/>
  <c r="I1980"/>
  <c r="O1980" s="1"/>
  <c r="I1979"/>
  <c r="O1979" s="1"/>
  <c r="K1978"/>
  <c r="E164" i="7"/>
  <c r="C164"/>
  <c r="I1978" i="2"/>
  <c r="N1978" s="1"/>
  <c r="O1978" s="1"/>
  <c r="I1003" i="1"/>
  <c r="I1002"/>
  <c r="K1977" i="2"/>
  <c r="I1001" i="1"/>
  <c r="I1977" i="2"/>
  <c r="O1977" s="1"/>
  <c r="K1982"/>
  <c r="I1982"/>
  <c r="O1982" s="1"/>
  <c r="E19" i="8"/>
  <c r="K1975" i="2"/>
  <c r="I1976"/>
  <c r="O1976" s="1"/>
  <c r="I1975"/>
  <c r="O1975" s="1"/>
  <c r="K1974"/>
  <c r="I1000" i="1"/>
  <c r="I1996" i="2"/>
  <c r="I1995"/>
  <c r="I1994"/>
  <c r="K1973"/>
  <c r="I1973"/>
  <c r="N1973" l="1"/>
  <c r="O1973" s="1"/>
  <c r="N1996"/>
  <c r="O1996" s="1"/>
  <c r="N1995"/>
  <c r="O1995" s="1"/>
  <c r="N1994"/>
  <c r="O1994" s="1"/>
  <c r="K1968"/>
  <c r="I1968"/>
  <c r="O1968" s="1"/>
  <c r="K1969" l="1"/>
  <c r="I1969"/>
  <c r="O1969" s="1"/>
  <c r="I998" i="1"/>
  <c r="I997"/>
  <c r="I996"/>
  <c r="I994"/>
  <c r="I993"/>
  <c r="I995"/>
  <c r="K1967" i="2"/>
  <c r="K1966"/>
  <c r="I1967"/>
  <c r="I1966"/>
  <c r="K1965"/>
  <c r="I1965"/>
  <c r="I1974"/>
  <c r="N1974" s="1"/>
  <c r="O1974" s="1"/>
  <c r="N1967" l="1"/>
  <c r="O1967" s="1"/>
  <c r="N1966"/>
  <c r="O1966" s="1"/>
  <c r="N1965"/>
  <c r="O1965" s="1"/>
  <c r="K1964"/>
  <c r="I1964"/>
  <c r="O1964" s="1"/>
  <c r="K1963"/>
  <c r="I1963"/>
  <c r="K1961"/>
  <c r="K1962"/>
  <c r="I1962"/>
  <c r="O1962" s="1"/>
  <c r="I1961"/>
  <c r="O1961" s="1"/>
  <c r="N1963" l="1"/>
  <c r="O1963" s="1"/>
  <c r="K1960"/>
  <c r="K1959"/>
  <c r="I1960"/>
  <c r="O1960" s="1"/>
  <c r="I1959"/>
  <c r="K1957"/>
  <c r="K1958"/>
  <c r="I1958"/>
  <c r="I1957"/>
  <c r="K1946"/>
  <c r="C9" i="7"/>
  <c r="K1945" i="2"/>
  <c r="I991" i="1"/>
  <c r="I992"/>
  <c r="I990"/>
  <c r="J1931" i="2"/>
  <c r="J1930"/>
  <c r="C7" i="7"/>
  <c r="E7" s="1"/>
  <c r="K1955" i="2"/>
  <c r="I1956"/>
  <c r="N1956" s="1"/>
  <c r="I1955"/>
  <c r="N1955" s="1"/>
  <c r="O1955" s="1"/>
  <c r="K1953"/>
  <c r="E117" i="7"/>
  <c r="K1952" i="2"/>
  <c r="K1951"/>
  <c r="K1950"/>
  <c r="C33" i="7"/>
  <c r="K1949" i="2"/>
  <c r="K1947"/>
  <c r="K1948"/>
  <c r="K1944"/>
  <c r="O1940"/>
  <c r="K1940"/>
  <c r="K1942"/>
  <c r="K1943"/>
  <c r="I1943"/>
  <c r="O1943" s="1"/>
  <c r="K1941"/>
  <c r="I1941"/>
  <c r="O1941" s="1"/>
  <c r="I1942"/>
  <c r="O1942" s="1"/>
  <c r="N1958" l="1"/>
  <c r="O1958" s="1"/>
  <c r="N1957"/>
  <c r="O1957" s="1"/>
  <c r="N1959"/>
  <c r="O1959" s="1"/>
  <c r="O1956"/>
  <c r="K1972"/>
  <c r="K1970"/>
  <c r="K1971" l="1"/>
  <c r="I982" i="1"/>
  <c r="K1936" i="2"/>
  <c r="K1937"/>
  <c r="K1939"/>
  <c r="K1938"/>
  <c r="I1939"/>
  <c r="O1939" s="1"/>
  <c r="I1938"/>
  <c r="O1938" s="1"/>
  <c r="I1937"/>
  <c r="O1937" s="1"/>
  <c r="K1935"/>
  <c r="K1934" l="1"/>
  <c r="K1933"/>
  <c r="K1932"/>
  <c r="E106" i="7"/>
  <c r="C106"/>
  <c r="K1931" i="2"/>
  <c r="K1930"/>
  <c r="K1929"/>
  <c r="I1929"/>
  <c r="K1925"/>
  <c r="K1924"/>
  <c r="K1926"/>
  <c r="I989" i="1"/>
  <c r="I988"/>
  <c r="E9" i="7"/>
  <c r="K1928" i="2"/>
  <c r="I987" i="1"/>
  <c r="I986"/>
  <c r="I1926" i="2"/>
  <c r="I1925"/>
  <c r="I1924"/>
  <c r="I1934"/>
  <c r="N1934" s="1"/>
  <c r="K1923"/>
  <c r="I1923"/>
  <c r="O1923" s="1"/>
  <c r="K1954"/>
  <c r="I1954"/>
  <c r="O1954" s="1"/>
  <c r="N1924" l="1"/>
  <c r="O1924" s="1"/>
  <c r="N1926"/>
  <c r="O1926" s="1"/>
  <c r="N1925"/>
  <c r="O1925" s="1"/>
  <c r="N1929"/>
  <c r="O1929" s="1"/>
  <c r="O1934"/>
  <c r="K1922" l="1"/>
  <c r="I1922"/>
  <c r="O1922" s="1"/>
  <c r="K1921"/>
  <c r="E90" i="7"/>
  <c r="C90"/>
  <c r="K1920" i="2"/>
  <c r="C97" i="7"/>
  <c r="K1919" i="2"/>
  <c r="K1918"/>
  <c r="I1921"/>
  <c r="N1921" s="1"/>
  <c r="I1920"/>
  <c r="N1920" s="1"/>
  <c r="I1919"/>
  <c r="N1919" s="1"/>
  <c r="I1918"/>
  <c r="N1918" s="1"/>
  <c r="I985" i="1"/>
  <c r="K1828" i="2"/>
  <c r="K1734"/>
  <c r="O1921" l="1"/>
  <c r="O1920"/>
  <c r="O1919"/>
  <c r="O1918"/>
  <c r="I1936"/>
  <c r="N1936" s="1"/>
  <c r="I1935"/>
  <c r="N1935" s="1"/>
  <c r="I984" i="1"/>
  <c r="I983"/>
  <c r="K1915" i="2"/>
  <c r="I1915"/>
  <c r="O1915" s="1"/>
  <c r="K1916"/>
  <c r="K1917"/>
  <c r="O1935" l="1"/>
  <c r="O1936"/>
  <c r="K1914"/>
  <c r="K1913"/>
  <c r="K1905"/>
  <c r="I1905"/>
  <c r="N1905" s="1"/>
  <c r="K1904"/>
  <c r="K1903"/>
  <c r="I1904"/>
  <c r="I1903"/>
  <c r="I981" i="1"/>
  <c r="K1907" i="2"/>
  <c r="K1912"/>
  <c r="K1902"/>
  <c r="E2" i="7"/>
  <c r="K1898" i="2"/>
  <c r="K1899"/>
  <c r="K1900"/>
  <c r="K1901"/>
  <c r="I1899"/>
  <c r="O1899" s="1"/>
  <c r="I1900"/>
  <c r="O1900" s="1"/>
  <c r="I1901"/>
  <c r="O1901" s="1"/>
  <c r="I1902"/>
  <c r="O1902" s="1"/>
  <c r="I1898"/>
  <c r="O1898" s="1"/>
  <c r="K1911"/>
  <c r="K1910"/>
  <c r="K1909"/>
  <c r="K1908"/>
  <c r="K1897"/>
  <c r="I1897"/>
  <c r="O1897" s="1"/>
  <c r="I1953"/>
  <c r="O1953" s="1"/>
  <c r="I1952"/>
  <c r="O1952" s="1"/>
  <c r="I1951"/>
  <c r="O1951" s="1"/>
  <c r="I1950"/>
  <c r="O1950" s="1"/>
  <c r="I1949"/>
  <c r="O1949" s="1"/>
  <c r="I974" i="1"/>
  <c r="I973"/>
  <c r="I972"/>
  <c r="I953"/>
  <c r="I1948" i="2"/>
  <c r="O1948" s="1"/>
  <c r="I1947"/>
  <c r="O1947" s="1"/>
  <c r="I1946"/>
  <c r="O1946" s="1"/>
  <c r="I1945"/>
  <c r="O1945" s="1"/>
  <c r="I1944"/>
  <c r="O1944" s="1"/>
  <c r="I980" i="1"/>
  <c r="I979"/>
  <c r="I978"/>
  <c r="I977"/>
  <c r="I976"/>
  <c r="I975"/>
  <c r="I1932" i="2"/>
  <c r="N1932" s="1"/>
  <c r="I1931"/>
  <c r="N1931" s="1"/>
  <c r="I1930"/>
  <c r="N1930" s="1"/>
  <c r="N1904" l="1"/>
  <c r="O1904" s="1"/>
  <c r="N1903"/>
  <c r="O1903" s="1"/>
  <c r="O1905"/>
  <c r="O1932"/>
  <c r="O1931"/>
  <c r="O1930"/>
  <c r="K1896"/>
  <c r="I1913"/>
  <c r="I1914"/>
  <c r="I1896"/>
  <c r="N1914" l="1"/>
  <c r="O1914" s="1"/>
  <c r="N1913"/>
  <c r="O1913" s="1"/>
  <c r="N1896"/>
  <c r="O1896" s="1"/>
  <c r="K1894"/>
  <c r="K1895"/>
  <c r="K1893"/>
  <c r="K1892"/>
  <c r="I1895"/>
  <c r="O1895" s="1"/>
  <c r="I1894"/>
  <c r="O1894" s="1"/>
  <c r="I1893"/>
  <c r="O1893" s="1"/>
  <c r="I1892"/>
  <c r="O1892" s="1"/>
  <c r="I971" i="1"/>
  <c r="E55" i="7"/>
  <c r="C55"/>
  <c r="K1886" i="2" l="1"/>
  <c r="I1883"/>
  <c r="N1883" s="1"/>
  <c r="I1884"/>
  <c r="I1885"/>
  <c r="N1885" s="1"/>
  <c r="K1882"/>
  <c r="K1881"/>
  <c r="K1880"/>
  <c r="K1884"/>
  <c r="K1885"/>
  <c r="K1883"/>
  <c r="K1889"/>
  <c r="I970" i="1"/>
  <c r="O1885" i="2" l="1"/>
  <c r="O1883"/>
  <c r="N1884"/>
  <c r="O1884" s="1"/>
  <c r="K1879"/>
  <c r="E12" i="8"/>
  <c r="K1890" i="2"/>
  <c r="E116" i="7"/>
  <c r="C116"/>
  <c r="K1888" i="2"/>
  <c r="K1887"/>
  <c r="I1933"/>
  <c r="I1891"/>
  <c r="N1891" s="1"/>
  <c r="I1890"/>
  <c r="I1889"/>
  <c r="I1888"/>
  <c r="I1887"/>
  <c r="N1933" l="1"/>
  <c r="O1933" s="1"/>
  <c r="O1891"/>
  <c r="N1890"/>
  <c r="O1890" s="1"/>
  <c r="N1889"/>
  <c r="O1889" s="1"/>
  <c r="N1888"/>
  <c r="O1888" s="1"/>
  <c r="N1887"/>
  <c r="O1887" s="1"/>
  <c r="K1873" l="1"/>
  <c r="C113" i="7"/>
  <c r="I1872" i="2"/>
  <c r="I1871"/>
  <c r="K1874"/>
  <c r="K1875"/>
  <c r="K1876"/>
  <c r="K1868"/>
  <c r="I969" i="1"/>
  <c r="I2136" i="2"/>
  <c r="O2136" s="1"/>
  <c r="K1870"/>
  <c r="E24" i="8"/>
  <c r="K1869" i="2"/>
  <c r="I1870"/>
  <c r="N1870" s="1"/>
  <c r="I1869"/>
  <c r="N1869" s="1"/>
  <c r="K1867"/>
  <c r="K1866"/>
  <c r="K1864"/>
  <c r="K1865"/>
  <c r="I1867"/>
  <c r="O1867" s="1"/>
  <c r="I1866"/>
  <c r="O1866" s="1"/>
  <c r="I1865"/>
  <c r="O1865" s="1"/>
  <c r="I1864"/>
  <c r="O1864" s="1"/>
  <c r="N1872" l="1"/>
  <c r="O1872" s="1"/>
  <c r="N1871"/>
  <c r="O1871" s="1"/>
  <c r="O1870"/>
  <c r="O1869"/>
  <c r="K1848"/>
  <c r="K1846"/>
  <c r="K1877" l="1"/>
  <c r="K1862"/>
  <c r="I968" i="1"/>
  <c r="I967"/>
  <c r="I966"/>
  <c r="I1928" i="2"/>
  <c r="N1928" s="1"/>
  <c r="O1928" s="1"/>
  <c r="K1859"/>
  <c r="K1858"/>
  <c r="I1859"/>
  <c r="O1859" s="1"/>
  <c r="I1858"/>
  <c r="O1858" s="1"/>
  <c r="K1857"/>
  <c r="I1857"/>
  <c r="O1857" s="1"/>
  <c r="K1855"/>
  <c r="K1854"/>
  <c r="K1847"/>
  <c r="I1855"/>
  <c r="N1855" s="1"/>
  <c r="I1854"/>
  <c r="N1854" l="1"/>
  <c r="O1854" s="1"/>
  <c r="O1855"/>
  <c r="I964" i="1"/>
  <c r="I965"/>
  <c r="K1860" i="2"/>
  <c r="K1861"/>
  <c r="C54" i="7"/>
  <c r="I963" i="1"/>
  <c r="K1878" i="2"/>
  <c r="I1878"/>
  <c r="I962" i="1"/>
  <c r="I961"/>
  <c r="I960"/>
  <c r="I1863" i="2"/>
  <c r="I1876"/>
  <c r="O1876" s="1"/>
  <c r="I1875"/>
  <c r="O1875" s="1"/>
  <c r="I1874"/>
  <c r="O1874" s="1"/>
  <c r="K1851"/>
  <c r="K1853"/>
  <c r="K1852"/>
  <c r="I1862"/>
  <c r="I2010"/>
  <c r="O2010" s="1"/>
  <c r="I1853"/>
  <c r="O1853" s="1"/>
  <c r="I1852"/>
  <c r="O1852" s="1"/>
  <c r="I1851"/>
  <c r="O1851" s="1"/>
  <c r="I1972"/>
  <c r="O1972" s="1"/>
  <c r="I1971"/>
  <c r="O1971" s="1"/>
  <c r="I1970"/>
  <c r="O1970" s="1"/>
  <c r="K1856"/>
  <c r="I1856"/>
  <c r="N1856" s="1"/>
  <c r="O1856" s="1"/>
  <c r="I959" i="1"/>
  <c r="K1850" i="2"/>
  <c r="I1850"/>
  <c r="N1850" s="1"/>
  <c r="K1849"/>
  <c r="I1849"/>
  <c r="N1849" s="1"/>
  <c r="I958" i="1"/>
  <c r="I957"/>
  <c r="I956"/>
  <c r="I955"/>
  <c r="I954"/>
  <c r="N1878" i="2" l="1"/>
  <c r="O1878" s="1"/>
  <c r="N1862"/>
  <c r="O1862" s="1"/>
  <c r="N1863"/>
  <c r="O1863" s="1"/>
  <c r="O1849"/>
  <c r="O1850"/>
  <c r="I1927" l="1"/>
  <c r="N1927" s="1"/>
  <c r="O1927" s="1"/>
  <c r="I1848"/>
  <c r="I1847"/>
  <c r="I1873"/>
  <c r="I1846"/>
  <c r="K1844"/>
  <c r="N1848" l="1"/>
  <c r="O1848" s="1"/>
  <c r="N1847"/>
  <c r="O1847" s="1"/>
  <c r="N1873"/>
  <c r="O1873" s="1"/>
  <c r="N1846"/>
  <c r="O1846" s="1"/>
  <c r="K1842"/>
  <c r="K1841"/>
  <c r="I1842"/>
  <c r="I1841"/>
  <c r="K1840"/>
  <c r="E69" i="7"/>
  <c r="C69"/>
  <c r="I1840" i="2"/>
  <c r="N1840" s="1"/>
  <c r="N1842" l="1"/>
  <c r="O1842" s="1"/>
  <c r="N1841"/>
  <c r="O1841" s="1"/>
  <c r="O1840"/>
  <c r="K1839"/>
  <c r="I1839"/>
  <c r="O1839" s="1"/>
  <c r="I1084" i="1" l="1"/>
  <c r="E58" i="7"/>
  <c r="K1838" i="2" l="1"/>
  <c r="I1912"/>
  <c r="N1912" s="1"/>
  <c r="K1834"/>
  <c r="K1833"/>
  <c r="I1834"/>
  <c r="N1834" s="1"/>
  <c r="I1833"/>
  <c r="N1833" s="1"/>
  <c r="K1906"/>
  <c r="K1843"/>
  <c r="I1843"/>
  <c r="O1843" s="1"/>
  <c r="K1835"/>
  <c r="K1836"/>
  <c r="K1837"/>
  <c r="I1837"/>
  <c r="I952" i="1"/>
  <c r="I951"/>
  <c r="I950"/>
  <c r="I949"/>
  <c r="I948"/>
  <c r="I947"/>
  <c r="I1917" i="2"/>
  <c r="I1916"/>
  <c r="N1837" l="1"/>
  <c r="O1837" s="1"/>
  <c r="O1833"/>
  <c r="O1834"/>
  <c r="O1912"/>
  <c r="O1917"/>
  <c r="O1916"/>
  <c r="I1836"/>
  <c r="I1835"/>
  <c r="N1835" s="1"/>
  <c r="N1836" l="1"/>
  <c r="O1836" s="1"/>
  <c r="O1835"/>
  <c r="K1830" l="1"/>
  <c r="K1827"/>
  <c r="K1831"/>
  <c r="I946" i="1" l="1"/>
  <c r="K1823" i="2"/>
  <c r="I1823"/>
  <c r="I945" i="1"/>
  <c r="I944"/>
  <c r="I943"/>
  <c r="K1832" i="2"/>
  <c r="K1829"/>
  <c r="K1826"/>
  <c r="I942" i="1"/>
  <c r="N1823" i="2" l="1"/>
  <c r="O1823" s="1"/>
  <c r="K1820"/>
  <c r="K1819"/>
  <c r="K1818"/>
  <c r="I1819"/>
  <c r="O1819" s="1"/>
  <c r="I1820"/>
  <c r="O1820" s="1"/>
  <c r="I1818"/>
  <c r="O1818" s="1"/>
  <c r="K1825"/>
  <c r="I1825"/>
  <c r="O1825" s="1"/>
  <c r="I941" i="1"/>
  <c r="I940"/>
  <c r="I939"/>
  <c r="I1832" i="2"/>
  <c r="I1831"/>
  <c r="N1831" s="1"/>
  <c r="I1830"/>
  <c r="N1830" s="1"/>
  <c r="O1830" s="1"/>
  <c r="I1829"/>
  <c r="I1828"/>
  <c r="K1824"/>
  <c r="I1824"/>
  <c r="I1911"/>
  <c r="I1910"/>
  <c r="I1909"/>
  <c r="I1908"/>
  <c r="I1907"/>
  <c r="I1906"/>
  <c r="K1822"/>
  <c r="K1821"/>
  <c r="I938" i="1"/>
  <c r="N1906" i="2" l="1"/>
  <c r="O1906" s="1"/>
  <c r="N1908"/>
  <c r="O1908" s="1"/>
  <c r="N1907"/>
  <c r="O1907" s="1"/>
  <c r="N1911"/>
  <c r="O1911" s="1"/>
  <c r="N1910"/>
  <c r="O1910" s="1"/>
  <c r="N1909"/>
  <c r="O1909" s="1"/>
  <c r="N1824"/>
  <c r="O1824" s="1"/>
  <c r="O1831"/>
  <c r="N1828"/>
  <c r="O1828" s="1"/>
  <c r="N1829"/>
  <c r="O1829" s="1"/>
  <c r="N1832"/>
  <c r="O1832" s="1"/>
  <c r="I1822"/>
  <c r="I1838"/>
  <c r="I1821"/>
  <c r="I1827"/>
  <c r="N1827" s="1"/>
  <c r="I1826"/>
  <c r="N1826" s="1"/>
  <c r="I1886"/>
  <c r="I1882"/>
  <c r="K1817"/>
  <c r="K1816"/>
  <c r="I1817"/>
  <c r="I1816"/>
  <c r="K1814"/>
  <c r="I937" i="1"/>
  <c r="N1838" i="2" l="1"/>
  <c r="O1838" s="1"/>
  <c r="N1822"/>
  <c r="O1822" s="1"/>
  <c r="N1821"/>
  <c r="O1821" s="1"/>
  <c r="O1827"/>
  <c r="O1826"/>
  <c r="N1886"/>
  <c r="O1886" s="1"/>
  <c r="N1882"/>
  <c r="O1882" s="1"/>
  <c r="N1817"/>
  <c r="O1817" s="1"/>
  <c r="N1816"/>
  <c r="O1816" s="1"/>
  <c r="K1815" l="1"/>
  <c r="I1815"/>
  <c r="N1815" s="1"/>
  <c r="K1813"/>
  <c r="K1812"/>
  <c r="K1811"/>
  <c r="K1810"/>
  <c r="K1809"/>
  <c r="E13" i="8"/>
  <c r="E32"/>
  <c r="O1815" i="2" l="1"/>
  <c r="I1845"/>
  <c r="N1845" s="1"/>
  <c r="I1844"/>
  <c r="N1844" s="1"/>
  <c r="O1845" l="1"/>
  <c r="O1844"/>
  <c r="I1881" l="1"/>
  <c r="N1881" s="1"/>
  <c r="O1881" s="1"/>
  <c r="I1880"/>
  <c r="N1880" s="1"/>
  <c r="K1806"/>
  <c r="I1806"/>
  <c r="N1806" l="1"/>
  <c r="O1806" s="1"/>
  <c r="O1880"/>
  <c r="K1808" l="1"/>
  <c r="I1808"/>
  <c r="K1807"/>
  <c r="I1807"/>
  <c r="N1808" l="1"/>
  <c r="O1808" s="1"/>
  <c r="N1807"/>
  <c r="O1807" s="1"/>
  <c r="I936" i="1"/>
  <c r="K1794" i="2"/>
  <c r="K1795"/>
  <c r="K1804"/>
  <c r="K1802"/>
  <c r="K1803"/>
  <c r="K1801"/>
  <c r="I1803"/>
  <c r="I1804"/>
  <c r="I1802"/>
  <c r="K1799"/>
  <c r="K1805"/>
  <c r="E10" i="8"/>
  <c r="K1800" i="2"/>
  <c r="I1794"/>
  <c r="I1805"/>
  <c r="I1801"/>
  <c r="I1800"/>
  <c r="I1799"/>
  <c r="I935" i="1"/>
  <c r="I932"/>
  <c r="K1798" i="2"/>
  <c r="K1797"/>
  <c r="C22" i="7"/>
  <c r="K1796" i="2"/>
  <c r="I934" i="1"/>
  <c r="I933"/>
  <c r="I931"/>
  <c r="I930"/>
  <c r="I929"/>
  <c r="I1796" i="2"/>
  <c r="N1796" s="1"/>
  <c r="O1796" s="1"/>
  <c r="I927" i="1"/>
  <c r="K1793" i="2"/>
  <c r="K1792"/>
  <c r="I1793"/>
  <c r="O1793" s="1"/>
  <c r="I1792"/>
  <c r="O1792" s="1"/>
  <c r="I1787"/>
  <c r="N1787" s="1"/>
  <c r="I1877"/>
  <c r="I1798"/>
  <c r="I1797"/>
  <c r="N1797" s="1"/>
  <c r="O1797" s="1"/>
  <c r="K1791"/>
  <c r="I928" i="1"/>
  <c r="I1814" i="2"/>
  <c r="I1795"/>
  <c r="N1795" s="1"/>
  <c r="K1790"/>
  <c r="K1789"/>
  <c r="C121" i="7"/>
  <c r="K1787" i="2"/>
  <c r="I1791"/>
  <c r="N1791" s="1"/>
  <c r="I1790"/>
  <c r="N1790" s="1"/>
  <c r="I1789"/>
  <c r="N1877" l="1"/>
  <c r="O1877" s="1"/>
  <c r="N1794"/>
  <c r="O1794" s="1"/>
  <c r="N1804"/>
  <c r="O1804" s="1"/>
  <c r="N1799"/>
  <c r="O1799" s="1"/>
  <c r="N1802"/>
  <c r="O1802" s="1"/>
  <c r="N1805"/>
  <c r="O1805" s="1"/>
  <c r="N1800"/>
  <c r="O1800" s="1"/>
  <c r="N1801"/>
  <c r="O1801" s="1"/>
  <c r="N1803"/>
  <c r="O1803" s="1"/>
  <c r="N1798"/>
  <c r="O1798" s="1"/>
  <c r="O1787"/>
  <c r="N1814"/>
  <c r="O1814" s="1"/>
  <c r="O1795"/>
  <c r="O1791"/>
  <c r="O1790"/>
  <c r="N1789"/>
  <c r="O1789" s="1"/>
  <c r="K1788"/>
  <c r="I1788"/>
  <c r="O1788" s="1"/>
  <c r="I925" i="1" l="1"/>
  <c r="I926"/>
  <c r="K1759" i="2" l="1"/>
  <c r="I916" i="1"/>
  <c r="C59" i="7" l="1"/>
  <c r="I1879" i="2" l="1"/>
  <c r="I1860"/>
  <c r="K1785"/>
  <c r="I1785"/>
  <c r="N1777"/>
  <c r="O1777" s="1"/>
  <c r="N1879" l="1"/>
  <c r="O1879" s="1"/>
  <c r="N1785"/>
  <c r="O1785" s="1"/>
  <c r="N1860"/>
  <c r="O1860" s="1"/>
  <c r="C166" i="7"/>
  <c r="K1784" i="2"/>
  <c r="K1783"/>
  <c r="K1782"/>
  <c r="K1780"/>
  <c r="K1779"/>
  <c r="E25" i="8"/>
  <c r="K1778" i="2"/>
  <c r="K1777"/>
  <c r="K1776"/>
  <c r="K1775"/>
  <c r="K1774"/>
  <c r="K1773"/>
  <c r="K1772"/>
  <c r="I1784"/>
  <c r="I1772"/>
  <c r="I1773"/>
  <c r="I1774"/>
  <c r="I1775"/>
  <c r="I1776"/>
  <c r="I1778"/>
  <c r="I1779"/>
  <c r="I1780"/>
  <c r="I1781"/>
  <c r="I1782"/>
  <c r="I1783"/>
  <c r="I921" i="1"/>
  <c r="I922"/>
  <c r="I923"/>
  <c r="I924"/>
  <c r="I914"/>
  <c r="G37" i="8"/>
  <c r="G40" s="1"/>
  <c r="N1774" i="2" l="1"/>
  <c r="O1774" s="1"/>
  <c r="N1780"/>
  <c r="O1780" s="1"/>
  <c r="N1779"/>
  <c r="O1779" s="1"/>
  <c r="N1784"/>
  <c r="O1784" s="1"/>
  <c r="N1781"/>
  <c r="O1781" s="1"/>
  <c r="N1776"/>
  <c r="O1776" s="1"/>
  <c r="N1772"/>
  <c r="O1772" s="1"/>
  <c r="N1783"/>
  <c r="O1783" s="1"/>
  <c r="N1775"/>
  <c r="O1775" s="1"/>
  <c r="N1782"/>
  <c r="O1782" s="1"/>
  <c r="N1778"/>
  <c r="O1778" s="1"/>
  <c r="N1773"/>
  <c r="O1773" s="1"/>
  <c r="K1753" l="1"/>
  <c r="I920" i="1"/>
  <c r="K1771" i="2"/>
  <c r="I1771"/>
  <c r="K1766"/>
  <c r="K1758"/>
  <c r="K1755"/>
  <c r="K1754"/>
  <c r="K1770"/>
  <c r="E20" i="7"/>
  <c r="C20"/>
  <c r="K1769" i="2"/>
  <c r="I919" i="1"/>
  <c r="K1760" i="2"/>
  <c r="K1756"/>
  <c r="K1750"/>
  <c r="K1749"/>
  <c r="K1732"/>
  <c r="K1729"/>
  <c r="K1736"/>
  <c r="K1747"/>
  <c r="K1746"/>
  <c r="K1745"/>
  <c r="K1748"/>
  <c r="K1768"/>
  <c r="K1751"/>
  <c r="K1744"/>
  <c r="K1743"/>
  <c r="E107" i="7"/>
  <c r="C107"/>
  <c r="K1767" i="2"/>
  <c r="K1764"/>
  <c r="K1742"/>
  <c r="K1763"/>
  <c r="K1737"/>
  <c r="K1741"/>
  <c r="K1762"/>
  <c r="K1740"/>
  <c r="K1765"/>
  <c r="K1738"/>
  <c r="K1739"/>
  <c r="K1757"/>
  <c r="E119" i="7"/>
  <c r="I918" i="1"/>
  <c r="C68" i="7"/>
  <c r="I915" i="1"/>
  <c r="I899"/>
  <c r="I917"/>
  <c r="K1761" i="2"/>
  <c r="I913" i="1"/>
  <c r="I1770" i="2"/>
  <c r="N1770" s="1"/>
  <c r="I1769"/>
  <c r="N1769" s="1"/>
  <c r="I1768"/>
  <c r="N1768" s="1"/>
  <c r="N1771" l="1"/>
  <c r="O1771" s="1"/>
  <c r="K1735"/>
  <c r="I912" i="1"/>
  <c r="I1735" i="2"/>
  <c r="O1735" s="1"/>
  <c r="C158" i="7"/>
  <c r="E158" s="1"/>
  <c r="I911" i="1"/>
  <c r="I910"/>
  <c r="I909"/>
  <c r="I1734" i="2"/>
  <c r="N1734" l="1"/>
  <c r="O1734" s="1"/>
  <c r="I908" i="1"/>
  <c r="I904"/>
  <c r="I905"/>
  <c r="I906"/>
  <c r="I907"/>
  <c r="I903"/>
  <c r="I1767" i="2"/>
  <c r="N1767" s="1"/>
  <c r="K1752"/>
  <c r="I1752"/>
  <c r="O1752" s="1"/>
  <c r="I1766"/>
  <c r="I1765"/>
  <c r="N1766" l="1"/>
  <c r="O1766" s="1"/>
  <c r="N1765"/>
  <c r="O1765" s="1"/>
  <c r="I1810"/>
  <c r="O1810" s="1"/>
  <c r="I1811"/>
  <c r="O1811" s="1"/>
  <c r="I1812"/>
  <c r="O1812" s="1"/>
  <c r="I1813"/>
  <c r="O1813" s="1"/>
  <c r="I1809"/>
  <c r="O1809" s="1"/>
  <c r="I901" i="1"/>
  <c r="K1728" i="2"/>
  <c r="K1727"/>
  <c r="K1726"/>
  <c r="I1726"/>
  <c r="N1726" s="1"/>
  <c r="O1726" s="1"/>
  <c r="I1727"/>
  <c r="I1728"/>
  <c r="K1725"/>
  <c r="K1724"/>
  <c r="I1725"/>
  <c r="I1724"/>
  <c r="N1724" s="1"/>
  <c r="I1754"/>
  <c r="K1731"/>
  <c r="K1730"/>
  <c r="I902" i="1"/>
  <c r="N1754" i="2" l="1"/>
  <c r="O1754" s="1"/>
  <c r="N1727"/>
  <c r="O1727" s="1"/>
  <c r="N1728"/>
  <c r="O1728" s="1"/>
  <c r="N1725"/>
  <c r="O1725" s="1"/>
  <c r="O1724"/>
  <c r="I1732"/>
  <c r="N1732" s="1"/>
  <c r="O1732" l="1"/>
  <c r="K1733"/>
  <c r="I900" i="1"/>
  <c r="I1733" i="2"/>
  <c r="I1861"/>
  <c r="N1861" s="1"/>
  <c r="I1764"/>
  <c r="N1764" s="1"/>
  <c r="I1763"/>
  <c r="N1763" s="1"/>
  <c r="I1762"/>
  <c r="N1762" s="1"/>
  <c r="I1761"/>
  <c r="N1761" s="1"/>
  <c r="I1760"/>
  <c r="N1760" s="1"/>
  <c r="I1759"/>
  <c r="N1759" s="1"/>
  <c r="I1758"/>
  <c r="N1758" s="1"/>
  <c r="K1722"/>
  <c r="N1733" l="1"/>
  <c r="O1733" s="1"/>
  <c r="O1861"/>
  <c r="O1764"/>
  <c r="O1763"/>
  <c r="O1762"/>
  <c r="O1761"/>
  <c r="O1760"/>
  <c r="O1759"/>
  <c r="O1758"/>
  <c r="I1731" l="1"/>
  <c r="N1731" s="1"/>
  <c r="I1730"/>
  <c r="N1730" s="1"/>
  <c r="K1723"/>
  <c r="I1757"/>
  <c r="N1757" s="1"/>
  <c r="I1729"/>
  <c r="N1729" s="1"/>
  <c r="O1731" l="1"/>
  <c r="O1730"/>
  <c r="O1757"/>
  <c r="O1729"/>
  <c r="I898" i="1"/>
  <c r="I897"/>
  <c r="I896" l="1"/>
  <c r="K1786" i="2"/>
  <c r="I1786"/>
  <c r="I895" i="1"/>
  <c r="K1720" i="2"/>
  <c r="I1723"/>
  <c r="I894" i="1"/>
  <c r="K1717" i="2"/>
  <c r="K1718"/>
  <c r="N1786" l="1"/>
  <c r="O1786" s="1"/>
  <c r="N1723"/>
  <c r="O1723" s="1"/>
  <c r="I1718"/>
  <c r="N1718" s="1"/>
  <c r="I1722"/>
  <c r="N1722" s="1"/>
  <c r="O1722" s="1"/>
  <c r="O1718" l="1"/>
  <c r="K1716"/>
  <c r="K1715"/>
  <c r="K1714"/>
  <c r="K1713"/>
  <c r="K1711"/>
  <c r="K1710" l="1"/>
  <c r="K1709"/>
  <c r="I1710"/>
  <c r="O1710" s="1"/>
  <c r="I1709"/>
  <c r="O1709" s="1"/>
  <c r="I1756"/>
  <c r="I1755"/>
  <c r="I1717"/>
  <c r="I1716"/>
  <c r="I1715"/>
  <c r="I1714"/>
  <c r="I1713"/>
  <c r="I892" i="1"/>
  <c r="I889"/>
  <c r="I890"/>
  <c r="I891"/>
  <c r="I888"/>
  <c r="K1712" i="2"/>
  <c r="I1712"/>
  <c r="I1751"/>
  <c r="K1721"/>
  <c r="C19" i="7"/>
  <c r="K1719" i="2"/>
  <c r="K1701"/>
  <c r="I893" i="1"/>
  <c r="I887"/>
  <c r="K1702" i="2"/>
  <c r="K1708"/>
  <c r="I1708"/>
  <c r="N1708" s="1"/>
  <c r="E18" i="7"/>
  <c r="K1699" i="2"/>
  <c r="K1698"/>
  <c r="K1697"/>
  <c r="I1711"/>
  <c r="K1700"/>
  <c r="I1700"/>
  <c r="N1751" l="1"/>
  <c r="O1751" s="1"/>
  <c r="N1712"/>
  <c r="O1712" s="1"/>
  <c r="N1700"/>
  <c r="O1700" s="1"/>
  <c r="N1755"/>
  <c r="O1755" s="1"/>
  <c r="N1756"/>
  <c r="O1756" s="1"/>
  <c r="N1716"/>
  <c r="O1716" s="1"/>
  <c r="N1715"/>
  <c r="O1715" s="1"/>
  <c r="N1714"/>
  <c r="O1714" s="1"/>
  <c r="N1717"/>
  <c r="O1717" s="1"/>
  <c r="N1711"/>
  <c r="O1711" s="1"/>
  <c r="N1713"/>
  <c r="O1713" s="1"/>
  <c r="O1708"/>
  <c r="K1695"/>
  <c r="K1694"/>
  <c r="K1693"/>
  <c r="K1692"/>
  <c r="K1696"/>
  <c r="I886" i="1"/>
  <c r="K1707" i="2"/>
  <c r="K1706"/>
  <c r="K1705"/>
  <c r="K1703"/>
  <c r="K1704"/>
  <c r="I1707"/>
  <c r="O1707" s="1"/>
  <c r="I1706"/>
  <c r="O1706" s="1"/>
  <c r="I1705"/>
  <c r="O1705" s="1"/>
  <c r="I1704"/>
  <c r="O1704" s="1"/>
  <c r="I1703"/>
  <c r="O1703" s="1"/>
  <c r="I1696" l="1"/>
  <c r="O1696" s="1"/>
  <c r="I1695"/>
  <c r="O1695" s="1"/>
  <c r="I1694"/>
  <c r="O1694" s="1"/>
  <c r="I1693"/>
  <c r="O1693" s="1"/>
  <c r="I1692"/>
  <c r="O1692" s="1"/>
  <c r="I1736" l="1"/>
  <c r="I1753"/>
  <c r="I1699"/>
  <c r="I1737"/>
  <c r="I1698"/>
  <c r="I1697"/>
  <c r="I1702"/>
  <c r="I1721"/>
  <c r="I1720"/>
  <c r="I1719"/>
  <c r="I885" i="1"/>
  <c r="I884"/>
  <c r="N1720" i="2" l="1"/>
  <c r="O1720" s="1"/>
  <c r="N1719"/>
  <c r="O1719" s="1"/>
  <c r="N1721"/>
  <c r="O1721" s="1"/>
  <c r="N1736"/>
  <c r="O1736" s="1"/>
  <c r="N1697"/>
  <c r="O1697" s="1"/>
  <c r="N1699"/>
  <c r="O1699" s="1"/>
  <c r="N1698"/>
  <c r="O1698" s="1"/>
  <c r="N1753"/>
  <c r="O1753" s="1"/>
  <c r="N1737"/>
  <c r="O1737" s="1"/>
  <c r="N1702"/>
  <c r="O1702" s="1"/>
  <c r="K1691"/>
  <c r="K1690"/>
  <c r="K1689"/>
  <c r="K1688"/>
  <c r="I883" i="1"/>
  <c r="I882"/>
  <c r="I881"/>
  <c r="I880"/>
  <c r="I1747" i="2" l="1"/>
  <c r="I1748"/>
  <c r="I1749"/>
  <c r="I1750"/>
  <c r="I1745"/>
  <c r="I1746"/>
  <c r="I1744"/>
  <c r="I1743"/>
  <c r="I1742"/>
  <c r="I1741"/>
  <c r="I1740"/>
  <c r="I1739"/>
  <c r="I1738"/>
  <c r="N1738" l="1"/>
  <c r="O1738" s="1"/>
  <c r="N1745"/>
  <c r="O1745" s="1"/>
  <c r="N1740"/>
  <c r="O1740" s="1"/>
  <c r="N1742"/>
  <c r="O1742" s="1"/>
  <c r="N1747"/>
  <c r="O1747" s="1"/>
  <c r="N1741"/>
  <c r="O1741" s="1"/>
  <c r="N1746"/>
  <c r="O1746" s="1"/>
  <c r="N1748"/>
  <c r="O1748" s="1"/>
  <c r="N1744"/>
  <c r="O1744" s="1"/>
  <c r="N1749"/>
  <c r="O1749" s="1"/>
  <c r="N1739"/>
  <c r="O1739" s="1"/>
  <c r="N1743"/>
  <c r="O1743" s="1"/>
  <c r="N1750"/>
  <c r="O1750" s="1"/>
  <c r="K1040"/>
  <c r="K992"/>
  <c r="K322"/>
  <c r="K192"/>
  <c r="K1684" l="1"/>
  <c r="I1684"/>
  <c r="N1684" l="1"/>
  <c r="O1684" s="1"/>
  <c r="K1687"/>
  <c r="E9" i="8"/>
  <c r="K1683" i="2"/>
  <c r="I1688" l="1"/>
  <c r="O1688" s="1"/>
  <c r="I1689"/>
  <c r="O1689" s="1"/>
  <c r="I1690"/>
  <c r="O1690" s="1"/>
  <c r="I1691"/>
  <c r="O1691" s="1"/>
  <c r="K1685"/>
  <c r="I1685"/>
  <c r="O1685" s="1"/>
  <c r="N37"/>
  <c r="O37" s="1"/>
  <c r="N123"/>
  <c r="O123" s="1"/>
  <c r="N272"/>
  <c r="O272" s="1"/>
  <c r="N273"/>
  <c r="O273" s="1"/>
  <c r="N274"/>
  <c r="O274" s="1"/>
  <c r="N275"/>
  <c r="O275" s="1"/>
  <c r="N276"/>
  <c r="O276" s="1"/>
  <c r="N277"/>
  <c r="O277" s="1"/>
  <c r="N278"/>
  <c r="O278" s="1"/>
  <c r="N344"/>
  <c r="O344" s="1"/>
  <c r="N345"/>
  <c r="O345" s="1"/>
  <c r="N346"/>
  <c r="O346" s="1"/>
  <c r="N347"/>
  <c r="O347" s="1"/>
  <c r="N348"/>
  <c r="O348" s="1"/>
  <c r="N350"/>
  <c r="O350" s="1"/>
  <c r="N422"/>
  <c r="O422" s="1"/>
  <c r="N446"/>
  <c r="O446" s="1"/>
  <c r="N975"/>
  <c r="O975" s="1"/>
  <c r="N1299"/>
  <c r="O1299" s="1"/>
  <c r="K1682" l="1"/>
  <c r="I1682"/>
  <c r="O1682" s="1"/>
  <c r="K1681"/>
  <c r="I1681"/>
  <c r="O1681" s="1"/>
  <c r="I879" i="1"/>
  <c r="I878"/>
  <c r="K1677" i="2"/>
  <c r="K1678"/>
  <c r="K1680"/>
  <c r="K1679"/>
  <c r="K1676"/>
  <c r="I1680"/>
  <c r="I1679"/>
  <c r="I1678"/>
  <c r="I1677"/>
  <c r="I1676"/>
  <c r="N1679" l="1"/>
  <c r="O1679" s="1"/>
  <c r="N1678"/>
  <c r="O1678" s="1"/>
  <c r="N1677"/>
  <c r="O1677" s="1"/>
  <c r="N1676"/>
  <c r="O1676" s="1"/>
  <c r="N1680"/>
  <c r="O1680" s="1"/>
  <c r="K1675"/>
  <c r="C36" i="7"/>
  <c r="I877" i="1" l="1"/>
  <c r="I876"/>
  <c r="I875"/>
  <c r="I874"/>
  <c r="I873"/>
  <c r="K1671" i="2"/>
  <c r="K1670"/>
  <c r="K1668"/>
  <c r="K1667"/>
  <c r="I1675"/>
  <c r="I1581"/>
  <c r="N1581" s="1"/>
  <c r="K1674"/>
  <c r="C169" i="7"/>
  <c r="I1674" i="2"/>
  <c r="I1673"/>
  <c r="I872" i="1"/>
  <c r="I871"/>
  <c r="I870"/>
  <c r="I869"/>
  <c r="I868"/>
  <c r="K1673" i="2"/>
  <c r="K1672"/>
  <c r="I1672"/>
  <c r="I1671"/>
  <c r="O1671" s="1"/>
  <c r="I1670"/>
  <c r="O1670" s="1"/>
  <c r="K1660"/>
  <c r="K1657"/>
  <c r="K1669"/>
  <c r="I1669"/>
  <c r="K1661"/>
  <c r="K1662"/>
  <c r="N1669" l="1"/>
  <c r="O1669" s="1"/>
  <c r="N1675"/>
  <c r="O1675" s="1"/>
  <c r="N1674"/>
  <c r="O1674" s="1"/>
  <c r="N1673"/>
  <c r="O1673" s="1"/>
  <c r="N1672"/>
  <c r="O1672" s="1"/>
  <c r="O1581"/>
  <c r="I1652" l="1"/>
  <c r="I1653"/>
  <c r="I1654"/>
  <c r="I1655"/>
  <c r="I1656"/>
  <c r="C86" i="7"/>
  <c r="K1651" i="2"/>
  <c r="I1651"/>
  <c r="E134" i="7"/>
  <c r="C134"/>
  <c r="I1650" i="2"/>
  <c r="C39" i="7"/>
  <c r="K1666" i="2"/>
  <c r="K1664"/>
  <c r="K1665"/>
  <c r="I1668"/>
  <c r="O1668" s="1"/>
  <c r="I1667"/>
  <c r="O1667" s="1"/>
  <c r="I1666"/>
  <c r="O1666" s="1"/>
  <c r="I1665"/>
  <c r="O1665" s="1"/>
  <c r="I1664"/>
  <c r="O1664" s="1"/>
  <c r="K1663"/>
  <c r="E99" i="7"/>
  <c r="C99"/>
  <c r="K1659" i="2"/>
  <c r="I867" i="1"/>
  <c r="I1683" i="2"/>
  <c r="I1868"/>
  <c r="I2135"/>
  <c r="O2135" s="1"/>
  <c r="I1701"/>
  <c r="I866" i="1"/>
  <c r="I865"/>
  <c r="I1662" i="2"/>
  <c r="I1663"/>
  <c r="I1661"/>
  <c r="N1868" l="1"/>
  <c r="O1868" s="1"/>
  <c r="N1701"/>
  <c r="O1701" s="1"/>
  <c r="N1683"/>
  <c r="O1683" s="1"/>
  <c r="N1652"/>
  <c r="O1652" s="1"/>
  <c r="N1653"/>
  <c r="O1653" s="1"/>
  <c r="N1650"/>
  <c r="O1650" s="1"/>
  <c r="N1654"/>
  <c r="O1654" s="1"/>
  <c r="N1656"/>
  <c r="O1656" s="1"/>
  <c r="N1662"/>
  <c r="O1662" s="1"/>
  <c r="N1663"/>
  <c r="O1663" s="1"/>
  <c r="N1661"/>
  <c r="O1661" s="1"/>
  <c r="N1651"/>
  <c r="O1651" s="1"/>
  <c r="N1655"/>
  <c r="O1655" s="1"/>
  <c r="I1660"/>
  <c r="I1659"/>
  <c r="I1658"/>
  <c r="O1658" s="1"/>
  <c r="I1687"/>
  <c r="O1687" s="1"/>
  <c r="I1686"/>
  <c r="I1657"/>
  <c r="K1649"/>
  <c r="K1648"/>
  <c r="K1647"/>
  <c r="I864" i="1"/>
  <c r="I1649" i="2"/>
  <c r="I1648"/>
  <c r="I1647"/>
  <c r="K1646"/>
  <c r="I1646"/>
  <c r="I863" i="1"/>
  <c r="K1645" i="2"/>
  <c r="K1644"/>
  <c r="K1642"/>
  <c r="K1643"/>
  <c r="I1645"/>
  <c r="I1644"/>
  <c r="I1643"/>
  <c r="I1642"/>
  <c r="N1657" l="1"/>
  <c r="O1657" s="1"/>
  <c r="N1686"/>
  <c r="O1686" s="1"/>
  <c r="N1659"/>
  <c r="O1659" s="1"/>
  <c r="N1660"/>
  <c r="O1660" s="1"/>
  <c r="N1647"/>
  <c r="O1647" s="1"/>
  <c r="N1645"/>
  <c r="O1645" s="1"/>
  <c r="N1644"/>
  <c r="O1644" s="1"/>
  <c r="N1643"/>
  <c r="O1643" s="1"/>
  <c r="N1646"/>
  <c r="O1646" s="1"/>
  <c r="N1649"/>
  <c r="O1649" s="1"/>
  <c r="N1642"/>
  <c r="O1642" s="1"/>
  <c r="N1648"/>
  <c r="O1648" s="1"/>
  <c r="K1640"/>
  <c r="K1639"/>
  <c r="K1638"/>
  <c r="K1637"/>
  <c r="K1636"/>
  <c r="K1635"/>
  <c r="K1634"/>
  <c r="K1633"/>
  <c r="K1632"/>
  <c r="K1641" l="1"/>
  <c r="I1641"/>
  <c r="I834" i="1"/>
  <c r="I860"/>
  <c r="I861"/>
  <c r="I862"/>
  <c r="I859"/>
  <c r="I858"/>
  <c r="I857"/>
  <c r="I856"/>
  <c r="I855"/>
  <c r="I854"/>
  <c r="I853"/>
  <c r="I852"/>
  <c r="K1631" i="2"/>
  <c r="I1631"/>
  <c r="K1630"/>
  <c r="I1630"/>
  <c r="I1629"/>
  <c r="I1628"/>
  <c r="I1627"/>
  <c r="I1626"/>
  <c r="K1628"/>
  <c r="K1627"/>
  <c r="K1626"/>
  <c r="N1641" l="1"/>
  <c r="O1641" s="1"/>
  <c r="N1631"/>
  <c r="O1631" s="1"/>
  <c r="N1629"/>
  <c r="O1629" s="1"/>
  <c r="N1628"/>
  <c r="O1628" s="1"/>
  <c r="N1627"/>
  <c r="O1627" s="1"/>
  <c r="N1626"/>
  <c r="O1626" s="1"/>
  <c r="N1630"/>
  <c r="O1630" s="1"/>
  <c r="I851" i="1"/>
  <c r="I1637" i="2"/>
  <c r="O1637" s="1"/>
  <c r="I1638"/>
  <c r="O1638" s="1"/>
  <c r="I1639"/>
  <c r="O1639" s="1"/>
  <c r="I1640"/>
  <c r="O1640" s="1"/>
  <c r="I850" i="1"/>
  <c r="I849"/>
  <c r="I848"/>
  <c r="I847"/>
  <c r="I846"/>
  <c r="I845"/>
  <c r="I844"/>
  <c r="I843"/>
  <c r="I842"/>
  <c r="I841"/>
  <c r="I840"/>
  <c r="K1623" i="2" l="1"/>
  <c r="K1621"/>
  <c r="K1622"/>
  <c r="I1621"/>
  <c r="I1622"/>
  <c r="I1623"/>
  <c r="K1620"/>
  <c r="I1620"/>
  <c r="K1619"/>
  <c r="I1619"/>
  <c r="N1619" l="1"/>
  <c r="O1619" s="1"/>
  <c r="N1622"/>
  <c r="O1622" s="1"/>
  <c r="N1623"/>
  <c r="O1623" s="1"/>
  <c r="N1620"/>
  <c r="O1620" s="1"/>
  <c r="N1621"/>
  <c r="O1621" s="1"/>
  <c r="K1616"/>
  <c r="I1616"/>
  <c r="O1616" s="1"/>
  <c r="K1197"/>
  <c r="K1196"/>
  <c r="K1195"/>
  <c r="K1613"/>
  <c r="K1612"/>
  <c r="K1611"/>
  <c r="K1609"/>
  <c r="K1610"/>
  <c r="I836" i="1"/>
  <c r="I837"/>
  <c r="I838"/>
  <c r="I839"/>
  <c r="K1615" i="2"/>
  <c r="K1614"/>
  <c r="I1613"/>
  <c r="I1614"/>
  <c r="I1615"/>
  <c r="I1612"/>
  <c r="I835" i="1"/>
  <c r="K1194" i="2"/>
  <c r="K1193"/>
  <c r="K1192"/>
  <c r="K1191"/>
  <c r="K1190"/>
  <c r="K1189"/>
  <c r="K1188"/>
  <c r="C170" i="7"/>
  <c r="K1608" i="2"/>
  <c r="I1608"/>
  <c r="N1615" l="1"/>
  <c r="O1615" s="1"/>
  <c r="N1613"/>
  <c r="O1613" s="1"/>
  <c r="N1614"/>
  <c r="O1614" s="1"/>
  <c r="N1612"/>
  <c r="O1612" s="1"/>
  <c r="N1608"/>
  <c r="O1608" s="1"/>
  <c r="I833" i="1"/>
  <c r="K1607" i="2"/>
  <c r="K1606"/>
  <c r="K1605"/>
  <c r="K1604"/>
  <c r="I1607"/>
  <c r="I1606"/>
  <c r="I1605"/>
  <c r="I1604"/>
  <c r="I1611"/>
  <c r="I1610"/>
  <c r="I1609"/>
  <c r="N1605" l="1"/>
  <c r="O1605" s="1"/>
  <c r="N1604"/>
  <c r="O1604" s="1"/>
  <c r="N1607"/>
  <c r="O1607" s="1"/>
  <c r="N1606"/>
  <c r="O1606" s="1"/>
  <c r="N1609"/>
  <c r="O1609" s="1"/>
  <c r="N1611"/>
  <c r="O1611" s="1"/>
  <c r="N1610"/>
  <c r="O1610" s="1"/>
  <c r="K1618"/>
  <c r="K1570"/>
  <c r="K1454"/>
  <c r="K1319"/>
  <c r="K577"/>
  <c r="I1618"/>
  <c r="N1618" l="1"/>
  <c r="O1618" s="1"/>
  <c r="K1617"/>
  <c r="I1617"/>
  <c r="C71" i="7"/>
  <c r="N1617" i="2" l="1"/>
  <c r="O1617" s="1"/>
  <c r="K1601"/>
  <c r="K1602" l="1"/>
  <c r="K1603"/>
  <c r="I1603" l="1"/>
  <c r="I1602"/>
  <c r="I1601"/>
  <c r="I832" i="1"/>
  <c r="K1586" i="2"/>
  <c r="I1586"/>
  <c r="I831" i="1"/>
  <c r="N1601" i="2" l="1"/>
  <c r="O1601" s="1"/>
  <c r="N1586"/>
  <c r="O1586" s="1"/>
  <c r="N1603"/>
  <c r="O1603" s="1"/>
  <c r="N1602"/>
  <c r="O1602" s="1"/>
  <c r="K1593"/>
  <c r="K1584"/>
  <c r="K1583"/>
  <c r="K1585"/>
  <c r="I1585"/>
  <c r="I1584"/>
  <c r="I1583"/>
  <c r="K1582"/>
  <c r="I1582"/>
  <c r="I830" i="1"/>
  <c r="I829"/>
  <c r="I828"/>
  <c r="I827"/>
  <c r="K1592" i="2"/>
  <c r="K1589"/>
  <c r="K1588"/>
  <c r="K1587"/>
  <c r="K1581"/>
  <c r="K1598"/>
  <c r="I1598"/>
  <c r="O1598" s="1"/>
  <c r="N1582" l="1"/>
  <c r="O1582" s="1"/>
  <c r="N1585"/>
  <c r="O1585" s="1"/>
  <c r="N1584"/>
  <c r="O1584" s="1"/>
  <c r="N1583"/>
  <c r="O1583" s="1"/>
  <c r="I1632"/>
  <c r="I1633"/>
  <c r="I1634"/>
  <c r="I1635"/>
  <c r="I1636"/>
  <c r="I826" i="1"/>
  <c r="I825"/>
  <c r="K1577" i="2"/>
  <c r="I1577"/>
  <c r="N1636" l="1"/>
  <c r="O1636" s="1"/>
  <c r="N1632"/>
  <c r="O1632" s="1"/>
  <c r="N1633"/>
  <c r="O1633" s="1"/>
  <c r="N1634"/>
  <c r="O1634" s="1"/>
  <c r="N1635"/>
  <c r="O1635" s="1"/>
  <c r="N1577"/>
  <c r="O1577" s="1"/>
  <c r="K1579"/>
  <c r="K1578"/>
  <c r="K1580"/>
  <c r="I1580"/>
  <c r="I1579"/>
  <c r="I1578"/>
  <c r="K1596"/>
  <c r="I1596"/>
  <c r="N1578" l="1"/>
  <c r="O1578" s="1"/>
  <c r="N1580"/>
  <c r="O1580" s="1"/>
  <c r="N1579"/>
  <c r="O1579" s="1"/>
  <c r="N1596"/>
  <c r="O1596" s="1"/>
  <c r="K1625"/>
  <c r="K1624"/>
  <c r="I823" i="1"/>
  <c r="I822"/>
  <c r="I821"/>
  <c r="I824"/>
  <c r="I820"/>
  <c r="K1597" i="2" l="1"/>
  <c r="K1576"/>
  <c r="I1576"/>
  <c r="K1575"/>
  <c r="K1574"/>
  <c r="K1573"/>
  <c r="I1574"/>
  <c r="I1575"/>
  <c r="I1573"/>
  <c r="K1572"/>
  <c r="I1572"/>
  <c r="I819" i="1"/>
  <c r="I817"/>
  <c r="I818"/>
  <c r="N1573" i="2" l="1"/>
  <c r="O1573" s="1"/>
  <c r="N1574"/>
  <c r="O1574" s="1"/>
  <c r="N1575"/>
  <c r="O1575" s="1"/>
  <c r="N1576"/>
  <c r="O1576" s="1"/>
  <c r="N1572"/>
  <c r="O1572" s="1"/>
  <c r="I1593"/>
  <c r="O1593" s="1"/>
  <c r="I1592"/>
  <c r="O1592" s="1"/>
  <c r="I1591"/>
  <c r="O1591" s="1"/>
  <c r="I1590"/>
  <c r="O1590" s="1"/>
  <c r="I1589"/>
  <c r="O1589" s="1"/>
  <c r="I1588"/>
  <c r="O1588" s="1"/>
  <c r="I1587"/>
  <c r="O1587" s="1"/>
  <c r="I816" i="1"/>
  <c r="I815"/>
  <c r="K1600" i="2"/>
  <c r="K1599"/>
  <c r="I814" i="1"/>
  <c r="I813"/>
  <c r="I812"/>
  <c r="I811"/>
  <c r="I810"/>
  <c r="E31" i="8" l="1"/>
  <c r="E18"/>
  <c r="E11"/>
  <c r="K1569" i="2"/>
  <c r="I809" i="1"/>
  <c r="I1571" i="2"/>
  <c r="I1600"/>
  <c r="I1599"/>
  <c r="I1597"/>
  <c r="I1625"/>
  <c r="I1624"/>
  <c r="N1625" l="1"/>
  <c r="O1625" s="1"/>
  <c r="N1624"/>
  <c r="O1624" s="1"/>
  <c r="N1599"/>
  <c r="O1599" s="1"/>
  <c r="N1571"/>
  <c r="O1571" s="1"/>
  <c r="N1600"/>
  <c r="O1600" s="1"/>
  <c r="N1597"/>
  <c r="O1597" s="1"/>
  <c r="K1562"/>
  <c r="K1561"/>
  <c r="I1562"/>
  <c r="I1561"/>
  <c r="K1563"/>
  <c r="K1564"/>
  <c r="K1567"/>
  <c r="K1566"/>
  <c r="K1565"/>
  <c r="K1559"/>
  <c r="C41" i="7"/>
  <c r="I1559" i="2"/>
  <c r="I1567"/>
  <c r="I1566"/>
  <c r="I1565"/>
  <c r="I1564"/>
  <c r="I1563"/>
  <c r="K1560"/>
  <c r="I1560"/>
  <c r="N1560" l="1"/>
  <c r="O1560" s="1"/>
  <c r="N1562"/>
  <c r="O1562" s="1"/>
  <c r="N1564"/>
  <c r="O1564" s="1"/>
  <c r="N1561"/>
  <c r="O1561" s="1"/>
  <c r="N1566"/>
  <c r="O1566" s="1"/>
  <c r="N1565"/>
  <c r="O1565" s="1"/>
  <c r="N1559"/>
  <c r="O1559" s="1"/>
  <c r="N1563"/>
  <c r="O1563" s="1"/>
  <c r="N1567"/>
  <c r="O1567" s="1"/>
  <c r="K1523"/>
  <c r="I808" i="1"/>
  <c r="I807"/>
  <c r="K1595" i="2"/>
  <c r="K1594"/>
  <c r="I1595"/>
  <c r="I1594"/>
  <c r="N1595" l="1"/>
  <c r="O1595" s="1"/>
  <c r="N1594"/>
  <c r="O1594" s="1"/>
  <c r="K1555"/>
  <c r="I1555"/>
  <c r="I1554"/>
  <c r="K1554"/>
  <c r="K1556"/>
  <c r="I1556"/>
  <c r="K1553"/>
  <c r="K1551"/>
  <c r="K1552"/>
  <c r="K1550"/>
  <c r="I1553"/>
  <c r="I1552"/>
  <c r="I1551"/>
  <c r="I1550"/>
  <c r="N1554" l="1"/>
  <c r="O1554" s="1"/>
  <c r="N1556"/>
  <c r="O1556" s="1"/>
  <c r="N1555"/>
  <c r="O1555" s="1"/>
  <c r="N1553"/>
  <c r="O1553" s="1"/>
  <c r="N1552"/>
  <c r="O1552" s="1"/>
  <c r="N1551"/>
  <c r="O1551" s="1"/>
  <c r="N1550"/>
  <c r="O1550" s="1"/>
  <c r="K1558"/>
  <c r="I1558"/>
  <c r="I806" i="1"/>
  <c r="N1558" i="2" l="1"/>
  <c r="O1558" s="1"/>
  <c r="K1557"/>
  <c r="I790" i="1"/>
  <c r="K1548" i="2" l="1"/>
  <c r="I1548"/>
  <c r="K1547"/>
  <c r="I1547"/>
  <c r="I1546"/>
  <c r="O1546" s="1"/>
  <c r="K1546"/>
  <c r="I805" i="1"/>
  <c r="N1548" i="2" l="1"/>
  <c r="O1548" s="1"/>
  <c r="N1547"/>
  <c r="O1547" s="1"/>
  <c r="I804" i="1"/>
  <c r="K1545" i="2"/>
  <c r="K1544"/>
  <c r="I1545"/>
  <c r="I1544"/>
  <c r="K1549"/>
  <c r="I802" i="1"/>
  <c r="I803"/>
  <c r="K1543" i="2"/>
  <c r="I1543"/>
  <c r="I1549"/>
  <c r="N1545" l="1"/>
  <c r="O1545" s="1"/>
  <c r="N1544"/>
  <c r="O1544" s="1"/>
  <c r="N1549"/>
  <c r="O1549" s="1"/>
  <c r="N1543"/>
  <c r="O1543" s="1"/>
  <c r="K1538" l="1"/>
  <c r="K1537"/>
  <c r="K1542"/>
  <c r="K1541"/>
  <c r="K1540"/>
  <c r="K1539"/>
  <c r="I1541"/>
  <c r="I1542"/>
  <c r="I1540"/>
  <c r="I1539"/>
  <c r="I800" i="1"/>
  <c r="I801"/>
  <c r="K1519" i="2"/>
  <c r="I799" i="1"/>
  <c r="I1538" i="2"/>
  <c r="N1540" l="1"/>
  <c r="O1540" s="1"/>
  <c r="N1539"/>
  <c r="O1539" s="1"/>
  <c r="N1541"/>
  <c r="O1541" s="1"/>
  <c r="N1542"/>
  <c r="O1542" s="1"/>
  <c r="N1538"/>
  <c r="O1538" s="1"/>
  <c r="K1532"/>
  <c r="K1531"/>
  <c r="K1530"/>
  <c r="K1529"/>
  <c r="K1568"/>
  <c r="I1570"/>
  <c r="I1569"/>
  <c r="I1568"/>
  <c r="N1569" l="1"/>
  <c r="O1569" s="1"/>
  <c r="N1568"/>
  <c r="O1568" s="1"/>
  <c r="N1570"/>
  <c r="O1570" s="1"/>
  <c r="K1526"/>
  <c r="K1527"/>
  <c r="I1527"/>
  <c r="I1526"/>
  <c r="K1521"/>
  <c r="K1520"/>
  <c r="I1521"/>
  <c r="I1520"/>
  <c r="K1528"/>
  <c r="K1515"/>
  <c r="I1515"/>
  <c r="N1515" s="1"/>
  <c r="I798" i="1"/>
  <c r="I1514" i="2"/>
  <c r="I797" i="1"/>
  <c r="I796"/>
  <c r="I795"/>
  <c r="I794"/>
  <c r="K1534" i="2"/>
  <c r="K1518"/>
  <c r="K1517"/>
  <c r="K1516"/>
  <c r="I793" i="1"/>
  <c r="I792"/>
  <c r="I1504" i="2"/>
  <c r="K1525"/>
  <c r="K1513"/>
  <c r="I1513"/>
  <c r="K1522"/>
  <c r="I791" i="1"/>
  <c r="I1519" i="2"/>
  <c r="I1518"/>
  <c r="I1517"/>
  <c r="I1516"/>
  <c r="I1537"/>
  <c r="I1522"/>
  <c r="K1506"/>
  <c r="I1506"/>
  <c r="K1482"/>
  <c r="K1512"/>
  <c r="K1510"/>
  <c r="K1509"/>
  <c r="K1508"/>
  <c r="K1507"/>
  <c r="K1505"/>
  <c r="I1505"/>
  <c r="K1504"/>
  <c r="N1518" l="1"/>
  <c r="O1518" s="1"/>
  <c r="N1514"/>
  <c r="O1514" s="1"/>
  <c r="N1506"/>
  <c r="O1506" s="1"/>
  <c r="N1517"/>
  <c r="O1517" s="1"/>
  <c r="N1516"/>
  <c r="O1516" s="1"/>
  <c r="N1537"/>
  <c r="O1537" s="1"/>
  <c r="N1527"/>
  <c r="O1527" s="1"/>
  <c r="N1504"/>
  <c r="O1504" s="1"/>
  <c r="N1505"/>
  <c r="O1505" s="1"/>
  <c r="N1520"/>
  <c r="O1520" s="1"/>
  <c r="N1519"/>
  <c r="O1519" s="1"/>
  <c r="N1521"/>
  <c r="O1521" s="1"/>
  <c r="N1513"/>
  <c r="O1513" s="1"/>
  <c r="O1515"/>
  <c r="N1522"/>
  <c r="O1522" s="1"/>
  <c r="N1526"/>
  <c r="O1526" s="1"/>
  <c r="K1503"/>
  <c r="K1502"/>
  <c r="K1501"/>
  <c r="K1488"/>
  <c r="K1500"/>
  <c r="K1499"/>
  <c r="I1503"/>
  <c r="I1502"/>
  <c r="I1501"/>
  <c r="I1500"/>
  <c r="I1499"/>
  <c r="K1498"/>
  <c r="I1498"/>
  <c r="N1500" l="1"/>
  <c r="O1500" s="1"/>
  <c r="N1503"/>
  <c r="O1503" s="1"/>
  <c r="N1499"/>
  <c r="O1499" s="1"/>
  <c r="N1502"/>
  <c r="O1502" s="1"/>
  <c r="N1498"/>
  <c r="O1498" s="1"/>
  <c r="N1501"/>
  <c r="O1501" s="1"/>
  <c r="I1512"/>
  <c r="K1511"/>
  <c r="I1511"/>
  <c r="I1510"/>
  <c r="I1509"/>
  <c r="I1508"/>
  <c r="I1507"/>
  <c r="K1536"/>
  <c r="I1536"/>
  <c r="I787" i="1"/>
  <c r="I788"/>
  <c r="I789"/>
  <c r="N1509" i="2" l="1"/>
  <c r="O1509" s="1"/>
  <c r="N1508"/>
  <c r="O1508" s="1"/>
  <c r="N1507"/>
  <c r="O1507" s="1"/>
  <c r="N1536"/>
  <c r="O1536" s="1"/>
  <c r="N1512"/>
  <c r="O1512" s="1"/>
  <c r="N1511"/>
  <c r="O1511" s="1"/>
  <c r="N1510"/>
  <c r="O1510" s="1"/>
  <c r="K1496"/>
  <c r="K1495"/>
  <c r="K1497"/>
  <c r="I1497"/>
  <c r="I1496"/>
  <c r="I1495"/>
  <c r="I786" i="1"/>
  <c r="I785"/>
  <c r="I784"/>
  <c r="E145" i="7"/>
  <c r="E144"/>
  <c r="N1497" i="2" l="1"/>
  <c r="O1497" s="1"/>
  <c r="N1496"/>
  <c r="O1496" s="1"/>
  <c r="N1495"/>
  <c r="O1495" s="1"/>
  <c r="K1524"/>
  <c r="K1535"/>
  <c r="K1533"/>
  <c r="K1494"/>
  <c r="K1493"/>
  <c r="I1493"/>
  <c r="K1492"/>
  <c r="K1491"/>
  <c r="I1492"/>
  <c r="I1491"/>
  <c r="K1490"/>
  <c r="I1490"/>
  <c r="I783" i="1"/>
  <c r="I782"/>
  <c r="I781"/>
  <c r="K1473" i="2"/>
  <c r="I764" i="1"/>
  <c r="K1485" i="2"/>
  <c r="I780" i="1"/>
  <c r="N1490" i="2" l="1"/>
  <c r="O1490" s="1"/>
  <c r="N1492"/>
  <c r="O1492" s="1"/>
  <c r="N1491"/>
  <c r="O1491" s="1"/>
  <c r="N1493"/>
  <c r="O1493" s="1"/>
  <c r="K1487"/>
  <c r="K1486"/>
  <c r="K1484"/>
  <c r="K1489"/>
  <c r="I779" i="1"/>
  <c r="I778"/>
  <c r="I777"/>
  <c r="I776"/>
  <c r="K1483" i="2"/>
  <c r="I1483"/>
  <c r="C63" i="7"/>
  <c r="N1483" i="2" l="1"/>
  <c r="O1483" s="1"/>
  <c r="E169" i="7"/>
  <c r="I1525" i="2"/>
  <c r="O1525" s="1"/>
  <c r="I1524"/>
  <c r="O1524" s="1"/>
  <c r="I1523"/>
  <c r="O1523" s="1"/>
  <c r="I1482"/>
  <c r="K1480"/>
  <c r="K1481"/>
  <c r="I1535"/>
  <c r="I1481"/>
  <c r="I1480"/>
  <c r="I762" i="1"/>
  <c r="I761"/>
  <c r="I760"/>
  <c r="I759"/>
  <c r="K1479" i="2"/>
  <c r="I1479"/>
  <c r="K1478"/>
  <c r="I1478"/>
  <c r="N1481" l="1"/>
  <c r="O1481" s="1"/>
  <c r="N1482"/>
  <c r="O1482" s="1"/>
  <c r="N1478"/>
  <c r="O1478" s="1"/>
  <c r="N1480"/>
  <c r="O1480" s="1"/>
  <c r="N1479"/>
  <c r="O1479" s="1"/>
  <c r="N1535"/>
  <c r="O1535" s="1"/>
  <c r="I1494"/>
  <c r="I1528"/>
  <c r="K1475"/>
  <c r="K1477"/>
  <c r="K1476"/>
  <c r="K1474"/>
  <c r="I1477"/>
  <c r="I1476"/>
  <c r="I1475"/>
  <c r="I1474"/>
  <c r="N1494" l="1"/>
  <c r="O1494" s="1"/>
  <c r="N1475"/>
  <c r="O1475" s="1"/>
  <c r="N1476"/>
  <c r="O1476" s="1"/>
  <c r="N1528"/>
  <c r="O1528" s="1"/>
  <c r="N1474"/>
  <c r="O1474" s="1"/>
  <c r="N1477"/>
  <c r="O1477" s="1"/>
  <c r="I1473"/>
  <c r="N1473" s="1"/>
  <c r="K1472"/>
  <c r="I1472"/>
  <c r="N1472" s="1"/>
  <c r="I1466"/>
  <c r="I775" i="1"/>
  <c r="I774"/>
  <c r="K1471" i="2"/>
  <c r="K1470"/>
  <c r="I1471"/>
  <c r="I1470"/>
  <c r="I773" i="1"/>
  <c r="I772"/>
  <c r="I1557" i="2"/>
  <c r="I1489"/>
  <c r="I1488"/>
  <c r="I1487"/>
  <c r="I1486"/>
  <c r="I1485"/>
  <c r="I1484"/>
  <c r="I770" i="1"/>
  <c r="I771"/>
  <c r="I769"/>
  <c r="I768"/>
  <c r="I767"/>
  <c r="I766"/>
  <c r="K1469" i="2"/>
  <c r="K1468"/>
  <c r="N1486" l="1"/>
  <c r="O1486" s="1"/>
  <c r="N1484"/>
  <c r="O1484" s="1"/>
  <c r="N1488"/>
  <c r="O1488" s="1"/>
  <c r="N1487"/>
  <c r="O1487" s="1"/>
  <c r="N1485"/>
  <c r="O1485" s="1"/>
  <c r="N1489"/>
  <c r="O1489" s="1"/>
  <c r="N1466"/>
  <c r="O1466" s="1"/>
  <c r="O1473"/>
  <c r="N1471"/>
  <c r="O1471" s="1"/>
  <c r="N1470"/>
  <c r="O1470" s="1"/>
  <c r="O1472"/>
  <c r="N1557"/>
  <c r="O1557" s="1"/>
  <c r="E5" i="8"/>
  <c r="E4"/>
  <c r="E2"/>
  <c r="I1534" i="2"/>
  <c r="O1534" s="1"/>
  <c r="I1533"/>
  <c r="O1533" s="1"/>
  <c r="I1532"/>
  <c r="O1532" s="1"/>
  <c r="I1531"/>
  <c r="O1531" s="1"/>
  <c r="I1530"/>
  <c r="I1529"/>
  <c r="K1467"/>
  <c r="N1529" l="1"/>
  <c r="O1529" s="1"/>
  <c r="N1530"/>
  <c r="O1530" s="1"/>
  <c r="K1465"/>
  <c r="K1466"/>
  <c r="I1465"/>
  <c r="N1465" l="1"/>
  <c r="O1465" s="1"/>
  <c r="I765" i="1"/>
  <c r="I1468" i="2"/>
  <c r="I1469"/>
  <c r="I763" i="1"/>
  <c r="C83" i="7"/>
  <c r="C82"/>
  <c r="K1462" i="2"/>
  <c r="I1467"/>
  <c r="K1464"/>
  <c r="K1463"/>
  <c r="I1464"/>
  <c r="I1463"/>
  <c r="I754" i="1"/>
  <c r="I753"/>
  <c r="K1461" i="2"/>
  <c r="K1460"/>
  <c r="I1461"/>
  <c r="O1461" s="1"/>
  <c r="I1460"/>
  <c r="O1460" s="1"/>
  <c r="I756" i="1"/>
  <c r="I757"/>
  <c r="I758"/>
  <c r="K1459" i="2"/>
  <c r="K1458"/>
  <c r="K1456"/>
  <c r="K1453"/>
  <c r="K1452"/>
  <c r="K1457"/>
  <c r="I1459"/>
  <c r="I1458"/>
  <c r="I1457"/>
  <c r="I1456"/>
  <c r="I1455"/>
  <c r="I1454"/>
  <c r="I1453"/>
  <c r="I1452"/>
  <c r="K1455"/>
  <c r="E165" i="7"/>
  <c r="C165"/>
  <c r="K1389" i="2"/>
  <c r="K1388"/>
  <c r="K1387"/>
  <c r="K1450"/>
  <c r="K1449"/>
  <c r="K1448"/>
  <c r="I1448"/>
  <c r="I1449"/>
  <c r="I1450"/>
  <c r="I755" i="1"/>
  <c r="K1447" i="2"/>
  <c r="I1447"/>
  <c r="K1437"/>
  <c r="K1436"/>
  <c r="I1437"/>
  <c r="I1436"/>
  <c r="K1444"/>
  <c r="K1443"/>
  <c r="K1442"/>
  <c r="K1440"/>
  <c r="K1439"/>
  <c r="K1438"/>
  <c r="E104" i="7"/>
  <c r="C104"/>
  <c r="K1445" i="2"/>
  <c r="I749" i="1"/>
  <c r="I750"/>
  <c r="I751"/>
  <c r="I752"/>
  <c r="K1446" i="2"/>
  <c r="K1435"/>
  <c r="I1435"/>
  <c r="I1439"/>
  <c r="I1440"/>
  <c r="I1438"/>
  <c r="I1442"/>
  <c r="I1443"/>
  <c r="I1444"/>
  <c r="I1462"/>
  <c r="I1446"/>
  <c r="I1445"/>
  <c r="C101" i="7"/>
  <c r="K1407" i="2"/>
  <c r="K1406"/>
  <c r="I1407"/>
  <c r="I1406"/>
  <c r="K1451"/>
  <c r="I1441"/>
  <c r="K1441"/>
  <c r="K1428"/>
  <c r="K1427"/>
  <c r="K1426"/>
  <c r="I1424"/>
  <c r="I1423"/>
  <c r="I1422"/>
  <c r="I1421"/>
  <c r="K1421"/>
  <c r="K1422"/>
  <c r="K1424"/>
  <c r="K1423"/>
  <c r="K1429"/>
  <c r="I1429"/>
  <c r="I1428"/>
  <c r="I1427"/>
  <c r="I1426"/>
  <c r="I748" i="1"/>
  <c r="I747"/>
  <c r="I746"/>
  <c r="I745"/>
  <c r="I744"/>
  <c r="K1420" i="2"/>
  <c r="I1420"/>
  <c r="I743" i="1"/>
  <c r="I742"/>
  <c r="C60" i="7"/>
  <c r="E60"/>
  <c r="K1434" i="2"/>
  <c r="I1434"/>
  <c r="O1434" s="1"/>
  <c r="K1432"/>
  <c r="I733" i="1"/>
  <c r="K1431" i="2"/>
  <c r="K1430"/>
  <c r="I1430"/>
  <c r="I1432"/>
  <c r="I1431"/>
  <c r="I1451"/>
  <c r="K1417"/>
  <c r="I1417"/>
  <c r="K1433"/>
  <c r="I1433"/>
  <c r="I1373"/>
  <c r="K1419"/>
  <c r="K1418"/>
  <c r="K1413"/>
  <c r="K1412"/>
  <c r="I1418"/>
  <c r="I1419"/>
  <c r="I1416"/>
  <c r="I1415"/>
  <c r="I1414"/>
  <c r="I741" i="1"/>
  <c r="I740"/>
  <c r="I739"/>
  <c r="I1413" i="2"/>
  <c r="I1412"/>
  <c r="K1411"/>
  <c r="K1410"/>
  <c r="K1409"/>
  <c r="I1411"/>
  <c r="I1410"/>
  <c r="I1409"/>
  <c r="K1408"/>
  <c r="I1408"/>
  <c r="I738" i="1"/>
  <c r="I737"/>
  <c r="I736"/>
  <c r="I1387" i="2"/>
  <c r="I1388"/>
  <c r="I1389"/>
  <c r="I732" i="1"/>
  <c r="K1425" i="2"/>
  <c r="I1425"/>
  <c r="K1369"/>
  <c r="K1405"/>
  <c r="K1404"/>
  <c r="K1403"/>
  <c r="I735" i="1"/>
  <c r="I734"/>
  <c r="I1403" i="2"/>
  <c r="I1404"/>
  <c r="I1405"/>
  <c r="N1463" l="1"/>
  <c r="O1463" s="1"/>
  <c r="N1464"/>
  <c r="O1464" s="1"/>
  <c r="N1454"/>
  <c r="O1454" s="1"/>
  <c r="N1453"/>
  <c r="O1453" s="1"/>
  <c r="N1452"/>
  <c r="O1452" s="1"/>
  <c r="N1456"/>
  <c r="O1456" s="1"/>
  <c r="N1458"/>
  <c r="O1458" s="1"/>
  <c r="N1457"/>
  <c r="O1457" s="1"/>
  <c r="N1455"/>
  <c r="O1455" s="1"/>
  <c r="N1459"/>
  <c r="O1459" s="1"/>
  <c r="N1413"/>
  <c r="O1413" s="1"/>
  <c r="N1414"/>
  <c r="O1414" s="1"/>
  <c r="N1418"/>
  <c r="O1418" s="1"/>
  <c r="N1417"/>
  <c r="O1417" s="1"/>
  <c r="N1432"/>
  <c r="O1432" s="1"/>
  <c r="N1429"/>
  <c r="O1429" s="1"/>
  <c r="N1422"/>
  <c r="O1422" s="1"/>
  <c r="N1462"/>
  <c r="O1462" s="1"/>
  <c r="N1438"/>
  <c r="O1438" s="1"/>
  <c r="N1437"/>
  <c r="O1437" s="1"/>
  <c r="N1448"/>
  <c r="O1448" s="1"/>
  <c r="N1387"/>
  <c r="O1387" s="1"/>
  <c r="N1408"/>
  <c r="O1408" s="1"/>
  <c r="N1411"/>
  <c r="O1411" s="1"/>
  <c r="N1412"/>
  <c r="O1412" s="1"/>
  <c r="N1419"/>
  <c r="O1419" s="1"/>
  <c r="N1431"/>
  <c r="O1431" s="1"/>
  <c r="N1428"/>
  <c r="O1428" s="1"/>
  <c r="N1421"/>
  <c r="O1421" s="1"/>
  <c r="N1441"/>
  <c r="O1441" s="1"/>
  <c r="N1446"/>
  <c r="O1446" s="1"/>
  <c r="N1442"/>
  <c r="O1442" s="1"/>
  <c r="N1435"/>
  <c r="O1435" s="1"/>
  <c r="N1436"/>
  <c r="O1436" s="1"/>
  <c r="N1447"/>
  <c r="O1447" s="1"/>
  <c r="N1449"/>
  <c r="O1449" s="1"/>
  <c r="N1468"/>
  <c r="O1468" s="1"/>
  <c r="N1404"/>
  <c r="O1404" s="1"/>
  <c r="N1425"/>
  <c r="O1425" s="1"/>
  <c r="N1410"/>
  <c r="O1410" s="1"/>
  <c r="N1433"/>
  <c r="O1433" s="1"/>
  <c r="N1420"/>
  <c r="O1420" s="1"/>
  <c r="N1427"/>
  <c r="O1427" s="1"/>
  <c r="N1424"/>
  <c r="O1424" s="1"/>
  <c r="N1407"/>
  <c r="O1407" s="1"/>
  <c r="N1445"/>
  <c r="O1445" s="1"/>
  <c r="N1443"/>
  <c r="O1443" s="1"/>
  <c r="N1439"/>
  <c r="O1439" s="1"/>
  <c r="N1450"/>
  <c r="O1450" s="1"/>
  <c r="N1469"/>
  <c r="O1469" s="1"/>
  <c r="N1403"/>
  <c r="O1403" s="1"/>
  <c r="N1388"/>
  <c r="O1388" s="1"/>
  <c r="N1416"/>
  <c r="O1416" s="1"/>
  <c r="N1451"/>
  <c r="O1451" s="1"/>
  <c r="N1405"/>
  <c r="O1405" s="1"/>
  <c r="N1389"/>
  <c r="O1389" s="1"/>
  <c r="N1409"/>
  <c r="O1409" s="1"/>
  <c r="N1415"/>
  <c r="O1415" s="1"/>
  <c r="N1373"/>
  <c r="O1373" s="1"/>
  <c r="N1430"/>
  <c r="O1430" s="1"/>
  <c r="N1426"/>
  <c r="O1426" s="1"/>
  <c r="N1423"/>
  <c r="O1423" s="1"/>
  <c r="N1406"/>
  <c r="O1406" s="1"/>
  <c r="N1444"/>
  <c r="O1444" s="1"/>
  <c r="N1440"/>
  <c r="O1440" s="1"/>
  <c r="N1467"/>
  <c r="O1467" s="1"/>
  <c r="K1397"/>
  <c r="I1397"/>
  <c r="K1398"/>
  <c r="N1397" l="1"/>
  <c r="O1397" s="1"/>
  <c r="I730" i="1"/>
  <c r="I729"/>
  <c r="I728"/>
  <c r="I727"/>
  <c r="I731"/>
  <c r="K1392" i="2" l="1"/>
  <c r="K1393"/>
  <c r="K1391"/>
  <c r="K1390"/>
  <c r="I1392"/>
  <c r="I1393"/>
  <c r="I1391"/>
  <c r="I1390"/>
  <c r="N1392" l="1"/>
  <c r="O1392" s="1"/>
  <c r="N1393"/>
  <c r="O1393" s="1"/>
  <c r="N1391"/>
  <c r="O1391" s="1"/>
  <c r="N1390"/>
  <c r="O1390" s="1"/>
  <c r="I726" i="1"/>
  <c r="E11" i="7"/>
  <c r="D7" i="3" l="1"/>
  <c r="E39" i="8"/>
  <c r="E28"/>
  <c r="C171" i="7" l="1"/>
  <c r="E171" s="1"/>
  <c r="E170" l="1"/>
  <c r="E166"/>
  <c r="C162"/>
  <c r="E148" l="1"/>
  <c r="C148"/>
  <c r="E140"/>
  <c r="C140"/>
  <c r="C133" l="1"/>
  <c r="C108" l="1"/>
  <c r="E98" l="1"/>
  <c r="E97" l="1"/>
  <c r="C93"/>
  <c r="E63" l="1"/>
  <c r="E59" l="1"/>
  <c r="E41" l="1"/>
  <c r="C24" l="1"/>
  <c r="E19"/>
  <c r="E17"/>
  <c r="E12" l="1"/>
  <c r="E172" s="1"/>
  <c r="K1396" i="2" l="1"/>
  <c r="I1396"/>
  <c r="K1395"/>
  <c r="I1395"/>
  <c r="K1394"/>
  <c r="I1394"/>
  <c r="N1394" l="1"/>
  <c r="O1394" s="1"/>
  <c r="N1396"/>
  <c r="O1396" s="1"/>
  <c r="N1395"/>
  <c r="O1395" s="1"/>
  <c r="K1402"/>
  <c r="I1402"/>
  <c r="K1401"/>
  <c r="I1401"/>
  <c r="K1400"/>
  <c r="I1400"/>
  <c r="K1399"/>
  <c r="I1399"/>
  <c r="I1398"/>
  <c r="N1398" s="1"/>
  <c r="O1398" s="1"/>
  <c r="K1386"/>
  <c r="I1386"/>
  <c r="K1385"/>
  <c r="I1385"/>
  <c r="K1384"/>
  <c r="I1384"/>
  <c r="K1383"/>
  <c r="I1383"/>
  <c r="K1382"/>
  <c r="I1382"/>
  <c r="K1381"/>
  <c r="I1381"/>
  <c r="K1380"/>
  <c r="I1380"/>
  <c r="K1379"/>
  <c r="I1379"/>
  <c r="K1378"/>
  <c r="I1378"/>
  <c r="K1377"/>
  <c r="I1377"/>
  <c r="K1376"/>
  <c r="I1376"/>
  <c r="K1375"/>
  <c r="I1375"/>
  <c r="K1374"/>
  <c r="I1374"/>
  <c r="I1372"/>
  <c r="K1371"/>
  <c r="I1371"/>
  <c r="K1370"/>
  <c r="I1370"/>
  <c r="I1369"/>
  <c r="K1368"/>
  <c r="I1368"/>
  <c r="K1367"/>
  <c r="I1367"/>
  <c r="N1380" l="1"/>
  <c r="O1380" s="1"/>
  <c r="N1378"/>
  <c r="O1378" s="1"/>
  <c r="N1384"/>
  <c r="O1384" s="1"/>
  <c r="N1370"/>
  <c r="O1370" s="1"/>
  <c r="N1399"/>
  <c r="O1399" s="1"/>
  <c r="N1401"/>
  <c r="O1401" s="1"/>
  <c r="N1374"/>
  <c r="O1374" s="1"/>
  <c r="N1382"/>
  <c r="O1382" s="1"/>
  <c r="N1367"/>
  <c r="O1367" s="1"/>
  <c r="N1379"/>
  <c r="O1379" s="1"/>
  <c r="N1385"/>
  <c r="O1385" s="1"/>
  <c r="N1368"/>
  <c r="O1368" s="1"/>
  <c r="N1376"/>
  <c r="O1376" s="1"/>
  <c r="N1386"/>
  <c r="O1386" s="1"/>
  <c r="N1372"/>
  <c r="O1372" s="1"/>
  <c r="N1369"/>
  <c r="O1369" s="1"/>
  <c r="N1375"/>
  <c r="O1375" s="1"/>
  <c r="N1377"/>
  <c r="O1377" s="1"/>
  <c r="N1381"/>
  <c r="O1381" s="1"/>
  <c r="N1383"/>
  <c r="O1383" s="1"/>
  <c r="N1371"/>
  <c r="O1371" s="1"/>
  <c r="N1400"/>
  <c r="O1400" s="1"/>
  <c r="N1402"/>
  <c r="O1402" s="1"/>
  <c r="K1366"/>
  <c r="I1366"/>
  <c r="K1365"/>
  <c r="I1365"/>
  <c r="K1364"/>
  <c r="I1364"/>
  <c r="K1363"/>
  <c r="I1363"/>
  <c r="K1362"/>
  <c r="I1362"/>
  <c r="K1361"/>
  <c r="I1361"/>
  <c r="K1360"/>
  <c r="I1360"/>
  <c r="I1359"/>
  <c r="K1358"/>
  <c r="I1358"/>
  <c r="K1357"/>
  <c r="I1357"/>
  <c r="K1356"/>
  <c r="I1356"/>
  <c r="K1355"/>
  <c r="I1355"/>
  <c r="K1354"/>
  <c r="I1354"/>
  <c r="K1353"/>
  <c r="I1353"/>
  <c r="K1352"/>
  <c r="I1352"/>
  <c r="K1351"/>
  <c r="I1351"/>
  <c r="K1350"/>
  <c r="I1350"/>
  <c r="O1350" s="1"/>
  <c r="K1349"/>
  <c r="I1349"/>
  <c r="O1349" s="1"/>
  <c r="K1348"/>
  <c r="I1348"/>
  <c r="O1348" s="1"/>
  <c r="K1347"/>
  <c r="I1347"/>
  <c r="O1347" s="1"/>
  <c r="K1346"/>
  <c r="I1346"/>
  <c r="O1346" s="1"/>
  <c r="K1345"/>
  <c r="I1345"/>
  <c r="K1344"/>
  <c r="N1359" l="1"/>
  <c r="O1359" s="1"/>
  <c r="N1345"/>
  <c r="O1345" s="1"/>
  <c r="N1351"/>
  <c r="O1351" s="1"/>
  <c r="N1355"/>
  <c r="O1355" s="1"/>
  <c r="N1361"/>
  <c r="O1361" s="1"/>
  <c r="N1363"/>
  <c r="O1363" s="1"/>
  <c r="N1365"/>
  <c r="O1365" s="1"/>
  <c r="N1357"/>
  <c r="O1357" s="1"/>
  <c r="N1354"/>
  <c r="O1354" s="1"/>
  <c r="N1358"/>
  <c r="O1358" s="1"/>
  <c r="N1353"/>
  <c r="O1353" s="1"/>
  <c r="N1352"/>
  <c r="O1352" s="1"/>
  <c r="N1356"/>
  <c r="O1356" s="1"/>
  <c r="N1360"/>
  <c r="O1360" s="1"/>
  <c r="N1362"/>
  <c r="O1362" s="1"/>
  <c r="N1364"/>
  <c r="O1364" s="1"/>
  <c r="N1366"/>
  <c r="O1366" s="1"/>
  <c r="I1344"/>
  <c r="K1343"/>
  <c r="I1343"/>
  <c r="K1342"/>
  <c r="I1342"/>
  <c r="K1341"/>
  <c r="I1341"/>
  <c r="K1340"/>
  <c r="I1340"/>
  <c r="K1339"/>
  <c r="I1339"/>
  <c r="K1338"/>
  <c r="I1338"/>
  <c r="O1338" s="1"/>
  <c r="K1337"/>
  <c r="I1337"/>
  <c r="O1337" s="1"/>
  <c r="K1336"/>
  <c r="I1336"/>
  <c r="O1336" s="1"/>
  <c r="K1335"/>
  <c r="I1335"/>
  <c r="O1335" s="1"/>
  <c r="K1334"/>
  <c r="I1334"/>
  <c r="O1334" s="1"/>
  <c r="N1343" l="1"/>
  <c r="O1343" s="1"/>
  <c r="N1339"/>
  <c r="O1339" s="1"/>
  <c r="N1342"/>
  <c r="O1342" s="1"/>
  <c r="N1341"/>
  <c r="O1341" s="1"/>
  <c r="N1340"/>
  <c r="O1340" s="1"/>
  <c r="N1344"/>
  <c r="O1344" s="1"/>
  <c r="K1333"/>
  <c r="I1333"/>
  <c r="O1333" s="1"/>
  <c r="K1332"/>
  <c r="I1332"/>
  <c r="K1331"/>
  <c r="I1331"/>
  <c r="K1330"/>
  <c r="I1330"/>
  <c r="K1329"/>
  <c r="I1329"/>
  <c r="K1328"/>
  <c r="I1328"/>
  <c r="K1327"/>
  <c r="I1327"/>
  <c r="K1326"/>
  <c r="I1326"/>
  <c r="N1329" l="1"/>
  <c r="O1329" s="1"/>
  <c r="N1327"/>
  <c r="O1327" s="1"/>
  <c r="N1331"/>
  <c r="O1331" s="1"/>
  <c r="N1326"/>
  <c r="O1326" s="1"/>
  <c r="N1328"/>
  <c r="O1328" s="1"/>
  <c r="N1330"/>
  <c r="O1330" s="1"/>
  <c r="N1332"/>
  <c r="O1332" s="1"/>
  <c r="K1325"/>
  <c r="I1325"/>
  <c r="K1324"/>
  <c r="I1324"/>
  <c r="K1323"/>
  <c r="I1323"/>
  <c r="K1322"/>
  <c r="I1322"/>
  <c r="I1321"/>
  <c r="K1320"/>
  <c r="I1320"/>
  <c r="I1319"/>
  <c r="K1318"/>
  <c r="I1318"/>
  <c r="K1317"/>
  <c r="I1317"/>
  <c r="K1316"/>
  <c r="I1316"/>
  <c r="K1315"/>
  <c r="I1315"/>
  <c r="K1314"/>
  <c r="I1314"/>
  <c r="K1313"/>
  <c r="I1313"/>
  <c r="K1312"/>
  <c r="I1312"/>
  <c r="I1311"/>
  <c r="I1310"/>
  <c r="K1309"/>
  <c r="I1309"/>
  <c r="K1308"/>
  <c r="I1308"/>
  <c r="K1307"/>
  <c r="I1307"/>
  <c r="K1306"/>
  <c r="I1306"/>
  <c r="K1305"/>
  <c r="I1305"/>
  <c r="K1304"/>
  <c r="I1304"/>
  <c r="N1311" l="1"/>
  <c r="O1311" s="1"/>
  <c r="N1308"/>
  <c r="O1308" s="1"/>
  <c r="N1317"/>
  <c r="O1317" s="1"/>
  <c r="N1324"/>
  <c r="O1324" s="1"/>
  <c r="N1320"/>
  <c r="O1320" s="1"/>
  <c r="N1304"/>
  <c r="O1304" s="1"/>
  <c r="N1310"/>
  <c r="O1310" s="1"/>
  <c r="N1315"/>
  <c r="O1315" s="1"/>
  <c r="N1322"/>
  <c r="O1322" s="1"/>
  <c r="N1321"/>
  <c r="O1321" s="1"/>
  <c r="N1306"/>
  <c r="O1306" s="1"/>
  <c r="N1313"/>
  <c r="O1313" s="1"/>
  <c r="N1319"/>
  <c r="O1319" s="1"/>
  <c r="N1305"/>
  <c r="O1305" s="1"/>
  <c r="N1307"/>
  <c r="O1307" s="1"/>
  <c r="N1309"/>
  <c r="O1309" s="1"/>
  <c r="N1312"/>
  <c r="O1312" s="1"/>
  <c r="N1314"/>
  <c r="O1314" s="1"/>
  <c r="N1316"/>
  <c r="O1316" s="1"/>
  <c r="N1318"/>
  <c r="O1318" s="1"/>
  <c r="N1323"/>
  <c r="O1323" s="1"/>
  <c r="N1325"/>
  <c r="O1325" s="1"/>
  <c r="K1303"/>
  <c r="I1303" l="1"/>
  <c r="K1302"/>
  <c r="I1302"/>
  <c r="K1301"/>
  <c r="I1301"/>
  <c r="K1300"/>
  <c r="I1300"/>
  <c r="K1299"/>
  <c r="K1298"/>
  <c r="I1298"/>
  <c r="N1301" l="1"/>
  <c r="O1301" s="1"/>
  <c r="N1303"/>
  <c r="O1303" s="1"/>
  <c r="N1298"/>
  <c r="O1298" s="1"/>
  <c r="N1300"/>
  <c r="O1300" s="1"/>
  <c r="N1302"/>
  <c r="O1302" s="1"/>
  <c r="K1297"/>
  <c r="I1297"/>
  <c r="O1297" s="1"/>
  <c r="K1296"/>
  <c r="I1296"/>
  <c r="O1296" s="1"/>
  <c r="K1295"/>
  <c r="I1295"/>
  <c r="O1295" s="1"/>
  <c r="K1294"/>
  <c r="I1294"/>
  <c r="K1293"/>
  <c r="N1294" l="1"/>
  <c r="O1294" s="1"/>
  <c r="I1293"/>
  <c r="K1292"/>
  <c r="I1292"/>
  <c r="K1291"/>
  <c r="I1291"/>
  <c r="K1290"/>
  <c r="I1290"/>
  <c r="I1289"/>
  <c r="I1288"/>
  <c r="K1287"/>
  <c r="I1287"/>
  <c r="K1286"/>
  <c r="I1286"/>
  <c r="K1285"/>
  <c r="I1285"/>
  <c r="K1284"/>
  <c r="I1284"/>
  <c r="K1283"/>
  <c r="I1283"/>
  <c r="K1282"/>
  <c r="I1282"/>
  <c r="K1281"/>
  <c r="I1281"/>
  <c r="N1293" l="1"/>
  <c r="O1293" s="1"/>
  <c r="N1288"/>
  <c r="O1288" s="1"/>
  <c r="N1282"/>
  <c r="O1282" s="1"/>
  <c r="N1286"/>
  <c r="O1286" s="1"/>
  <c r="N1291"/>
  <c r="O1291" s="1"/>
  <c r="N1285"/>
  <c r="O1285" s="1"/>
  <c r="N1284"/>
  <c r="O1284" s="1"/>
  <c r="N1281"/>
  <c r="O1281" s="1"/>
  <c r="N1283"/>
  <c r="O1283" s="1"/>
  <c r="N1287"/>
  <c r="O1287" s="1"/>
  <c r="N1290"/>
  <c r="O1290" s="1"/>
  <c r="N1292"/>
  <c r="O1292" s="1"/>
  <c r="N1289"/>
  <c r="O1289" s="1"/>
  <c r="K1280"/>
  <c r="I1280"/>
  <c r="K1279"/>
  <c r="I1279"/>
  <c r="K1278"/>
  <c r="I1278"/>
  <c r="K1277"/>
  <c r="I1277"/>
  <c r="K1276"/>
  <c r="I1276"/>
  <c r="K1275"/>
  <c r="I1275"/>
  <c r="K1274"/>
  <c r="I1274"/>
  <c r="K1273"/>
  <c r="I1273"/>
  <c r="K1272"/>
  <c r="I1272"/>
  <c r="K1271"/>
  <c r="I1271"/>
  <c r="K1270"/>
  <c r="I1270"/>
  <c r="K1269"/>
  <c r="I1269"/>
  <c r="K1268"/>
  <c r="I1268"/>
  <c r="K1267"/>
  <c r="I1267"/>
  <c r="K1266"/>
  <c r="I1266"/>
  <c r="K1265"/>
  <c r="I1265"/>
  <c r="K1264"/>
  <c r="I1264"/>
  <c r="K1263"/>
  <c r="I1263"/>
  <c r="K1262"/>
  <c r="I1262"/>
  <c r="K1261"/>
  <c r="I1261"/>
  <c r="K1260"/>
  <c r="I1260"/>
  <c r="K1259"/>
  <c r="I1259"/>
  <c r="K1258"/>
  <c r="I1258"/>
  <c r="K1257"/>
  <c r="I1257"/>
  <c r="K1256"/>
  <c r="I1256"/>
  <c r="K1255"/>
  <c r="I1255"/>
  <c r="N1268" l="1"/>
  <c r="O1268" s="1"/>
  <c r="N1265"/>
  <c r="O1265" s="1"/>
  <c r="N1266"/>
  <c r="O1266" s="1"/>
  <c r="N1267"/>
  <c r="O1267" s="1"/>
  <c r="N1260"/>
  <c r="O1260" s="1"/>
  <c r="N1256"/>
  <c r="O1256" s="1"/>
  <c r="N1270"/>
  <c r="O1270" s="1"/>
  <c r="N1272"/>
  <c r="O1272" s="1"/>
  <c r="N1276"/>
  <c r="O1276" s="1"/>
  <c r="N1280"/>
  <c r="O1280" s="1"/>
  <c r="N1262"/>
  <c r="O1262" s="1"/>
  <c r="N1274"/>
  <c r="O1274" s="1"/>
  <c r="N1278"/>
  <c r="O1278" s="1"/>
  <c r="N1258"/>
  <c r="O1258" s="1"/>
  <c r="N1264"/>
  <c r="O1264" s="1"/>
  <c r="N1255"/>
  <c r="O1255" s="1"/>
  <c r="N1257"/>
  <c r="O1257" s="1"/>
  <c r="N1259"/>
  <c r="O1259" s="1"/>
  <c r="N1261"/>
  <c r="O1261" s="1"/>
  <c r="N1263"/>
  <c r="O1263" s="1"/>
  <c r="N1269"/>
  <c r="O1269" s="1"/>
  <c r="N1271"/>
  <c r="O1271" s="1"/>
  <c r="N1273"/>
  <c r="O1273" s="1"/>
  <c r="N1275"/>
  <c r="O1275" s="1"/>
  <c r="N1277"/>
  <c r="O1277" s="1"/>
  <c r="N1279"/>
  <c r="O1279" s="1"/>
  <c r="K1254"/>
  <c r="I1254"/>
  <c r="K1253"/>
  <c r="I1253"/>
  <c r="K1252"/>
  <c r="I1252"/>
  <c r="K1251"/>
  <c r="I1251"/>
  <c r="K1250"/>
  <c r="I1250"/>
  <c r="K1249"/>
  <c r="I1249"/>
  <c r="K1248"/>
  <c r="I1248"/>
  <c r="K1247"/>
  <c r="I1247"/>
  <c r="K1246"/>
  <c r="I1246"/>
  <c r="K1245"/>
  <c r="I1245"/>
  <c r="K1244"/>
  <c r="I1244"/>
  <c r="I1243"/>
  <c r="K1242"/>
  <c r="I1242"/>
  <c r="K1241"/>
  <c r="N1248" l="1"/>
  <c r="O1248" s="1"/>
  <c r="N1254"/>
  <c r="O1254" s="1"/>
  <c r="N1242"/>
  <c r="O1242" s="1"/>
  <c r="N1244"/>
  <c r="O1244" s="1"/>
  <c r="N1250"/>
  <c r="O1250" s="1"/>
  <c r="N1246"/>
  <c r="O1246" s="1"/>
  <c r="N1252"/>
  <c r="O1252" s="1"/>
  <c r="N1243"/>
  <c r="O1243" s="1"/>
  <c r="N1245"/>
  <c r="O1245" s="1"/>
  <c r="N1247"/>
  <c r="O1247" s="1"/>
  <c r="N1249"/>
  <c r="O1249" s="1"/>
  <c r="N1251"/>
  <c r="O1251" s="1"/>
  <c r="N1253"/>
  <c r="O1253" s="1"/>
  <c r="I1241"/>
  <c r="K1240"/>
  <c r="I1240"/>
  <c r="K1239"/>
  <c r="I1239"/>
  <c r="K1238"/>
  <c r="I1238"/>
  <c r="N1238" l="1"/>
  <c r="O1238" s="1"/>
  <c r="N1239"/>
  <c r="O1239" s="1"/>
  <c r="N1240"/>
  <c r="O1240" s="1"/>
  <c r="N1241"/>
  <c r="O1241" s="1"/>
  <c r="K1237"/>
  <c r="I1237"/>
  <c r="K1236"/>
  <c r="I1236"/>
  <c r="K1235"/>
  <c r="I1235"/>
  <c r="K1234"/>
  <c r="I1234"/>
  <c r="K1233"/>
  <c r="I1233"/>
  <c r="K1232"/>
  <c r="I1232"/>
  <c r="K1231"/>
  <c r="I1231"/>
  <c r="N1233" l="1"/>
  <c r="O1233" s="1"/>
  <c r="N1231"/>
  <c r="O1231" s="1"/>
  <c r="N1235"/>
  <c r="O1235" s="1"/>
  <c r="N1237"/>
  <c r="O1237" s="1"/>
  <c r="N1232"/>
  <c r="O1232" s="1"/>
  <c r="N1234"/>
  <c r="O1234" s="1"/>
  <c r="N1236"/>
  <c r="O1236" s="1"/>
  <c r="K1230"/>
  <c r="I1230"/>
  <c r="K1229"/>
  <c r="I1229"/>
  <c r="K1228"/>
  <c r="I1228"/>
  <c r="K1227"/>
  <c r="I1227"/>
  <c r="N1227" l="1"/>
  <c r="O1227" s="1"/>
  <c r="N1229"/>
  <c r="O1229" s="1"/>
  <c r="N1228"/>
  <c r="O1228" s="1"/>
  <c r="N1230"/>
  <c r="O1230" s="1"/>
  <c r="K1226"/>
  <c r="I1226"/>
  <c r="K1225"/>
  <c r="I1225"/>
  <c r="K1224"/>
  <c r="I1224"/>
  <c r="K1223"/>
  <c r="I1223"/>
  <c r="K1222"/>
  <c r="I1222"/>
  <c r="K1221"/>
  <c r="I1221"/>
  <c r="O1221" s="1"/>
  <c r="K1220"/>
  <c r="I1220"/>
  <c r="O1220" s="1"/>
  <c r="K1219"/>
  <c r="N1226" l="1"/>
  <c r="O1226" s="1"/>
  <c r="N1222"/>
  <c r="O1222" s="1"/>
  <c r="N1224"/>
  <c r="O1224" s="1"/>
  <c r="N1223"/>
  <c r="O1223" s="1"/>
  <c r="N1225"/>
  <c r="O1225" s="1"/>
  <c r="I1219"/>
  <c r="K1218"/>
  <c r="I1218"/>
  <c r="K1217"/>
  <c r="I1217"/>
  <c r="K1216"/>
  <c r="I1216"/>
  <c r="K1215"/>
  <c r="I1215"/>
  <c r="K1214"/>
  <c r="I1214"/>
  <c r="K1213"/>
  <c r="I1213"/>
  <c r="K1212"/>
  <c r="I1212"/>
  <c r="K1211"/>
  <c r="I1211"/>
  <c r="N1216" l="1"/>
  <c r="O1216" s="1"/>
  <c r="N1214"/>
  <c r="O1214" s="1"/>
  <c r="N1215"/>
  <c r="O1215" s="1"/>
  <c r="N1212"/>
  <c r="O1212" s="1"/>
  <c r="N1218"/>
  <c r="O1218" s="1"/>
  <c r="N1211"/>
  <c r="O1211" s="1"/>
  <c r="N1213"/>
  <c r="O1213" s="1"/>
  <c r="N1217"/>
  <c r="O1217" s="1"/>
  <c r="N1219"/>
  <c r="O1219" s="1"/>
  <c r="K1210"/>
  <c r="I1210"/>
  <c r="K1209"/>
  <c r="I1209"/>
  <c r="K1208"/>
  <c r="I1208"/>
  <c r="K1207"/>
  <c r="I1207"/>
  <c r="K1206"/>
  <c r="I1206"/>
  <c r="K1205"/>
  <c r="I1205"/>
  <c r="K1204"/>
  <c r="I1204"/>
  <c r="K1203"/>
  <c r="I1203"/>
  <c r="K1202"/>
  <c r="I1202"/>
  <c r="K1201"/>
  <c r="I1201"/>
  <c r="K1200"/>
  <c r="I1200"/>
  <c r="K1199"/>
  <c r="I1199"/>
  <c r="K1198"/>
  <c r="I1198"/>
  <c r="I1197"/>
  <c r="I1196"/>
  <c r="I1195"/>
  <c r="I1194"/>
  <c r="I1193"/>
  <c r="I1192"/>
  <c r="I1191"/>
  <c r="I1190"/>
  <c r="I1189"/>
  <c r="I1188"/>
  <c r="K1187"/>
  <c r="I1187"/>
  <c r="N1193" l="1"/>
  <c r="O1193" s="1"/>
  <c r="N1194"/>
  <c r="O1194" s="1"/>
  <c r="N1188"/>
  <c r="O1188" s="1"/>
  <c r="N1201"/>
  <c r="O1201" s="1"/>
  <c r="N1205"/>
  <c r="O1205" s="1"/>
  <c r="N1207"/>
  <c r="O1207" s="1"/>
  <c r="N1209"/>
  <c r="O1209" s="1"/>
  <c r="N1189"/>
  <c r="O1189" s="1"/>
  <c r="N1192"/>
  <c r="O1192" s="1"/>
  <c r="N1199"/>
  <c r="O1199" s="1"/>
  <c r="N1191"/>
  <c r="O1191" s="1"/>
  <c r="N1196"/>
  <c r="O1196" s="1"/>
  <c r="N1197"/>
  <c r="O1197" s="1"/>
  <c r="N1203"/>
  <c r="O1203" s="1"/>
  <c r="N1187"/>
  <c r="O1187" s="1"/>
  <c r="N1190"/>
  <c r="O1190" s="1"/>
  <c r="N1195"/>
  <c r="O1195" s="1"/>
  <c r="N1198"/>
  <c r="O1198" s="1"/>
  <c r="N1200"/>
  <c r="O1200" s="1"/>
  <c r="N1202"/>
  <c r="O1202" s="1"/>
  <c r="N1204"/>
  <c r="O1204" s="1"/>
  <c r="N1206"/>
  <c r="O1206" s="1"/>
  <c r="N1208"/>
  <c r="O1208" s="1"/>
  <c r="N1210"/>
  <c r="O1210" s="1"/>
  <c r="K1186"/>
  <c r="I1186"/>
  <c r="K1185"/>
  <c r="I1185"/>
  <c r="I1184"/>
  <c r="I1183"/>
  <c r="K1182"/>
  <c r="I1182"/>
  <c r="K1181"/>
  <c r="I1181"/>
  <c r="N1184" l="1"/>
  <c r="O1184" s="1"/>
  <c r="N1183"/>
  <c r="O1183" s="1"/>
  <c r="N1181"/>
  <c r="O1181" s="1"/>
  <c r="N1186"/>
  <c r="O1186" s="1"/>
  <c r="N1182"/>
  <c r="O1182" s="1"/>
  <c r="N1185"/>
  <c r="O1185" s="1"/>
  <c r="K1180"/>
  <c r="I1180"/>
  <c r="O1180" s="1"/>
  <c r="K1179"/>
  <c r="I1179"/>
  <c r="O1179" s="1"/>
  <c r="K1178"/>
  <c r="I1178"/>
  <c r="O1178" s="1"/>
  <c r="K1177"/>
  <c r="I1177"/>
  <c r="K1176"/>
  <c r="I1176"/>
  <c r="K1175"/>
  <c r="I1175"/>
  <c r="K1174"/>
  <c r="I1174"/>
  <c r="K1173"/>
  <c r="I1173"/>
  <c r="K1172"/>
  <c r="I1172"/>
  <c r="K1171"/>
  <c r="I1171"/>
  <c r="K1170"/>
  <c r="I1170"/>
  <c r="K1169"/>
  <c r="I1169"/>
  <c r="K1168"/>
  <c r="I1168"/>
  <c r="K1167"/>
  <c r="I1167"/>
  <c r="K1166"/>
  <c r="I1166"/>
  <c r="K1165"/>
  <c r="I1165"/>
  <c r="K1164"/>
  <c r="I1164"/>
  <c r="K1163"/>
  <c r="I1163"/>
  <c r="K1162"/>
  <c r="I1162"/>
  <c r="K1161"/>
  <c r="I1161"/>
  <c r="K1160"/>
  <c r="I1160"/>
  <c r="K1159"/>
  <c r="I1159"/>
  <c r="K1158"/>
  <c r="I1158"/>
  <c r="K1157"/>
  <c r="I1157"/>
  <c r="K1156"/>
  <c r="I1156"/>
  <c r="K1155"/>
  <c r="I1155"/>
  <c r="K1154"/>
  <c r="I1154"/>
  <c r="K1153"/>
  <c r="I1153"/>
  <c r="K1152"/>
  <c r="I1152"/>
  <c r="K1151"/>
  <c r="I1151"/>
  <c r="K1150"/>
  <c r="I1150"/>
  <c r="K1149"/>
  <c r="I1149"/>
  <c r="N1154" l="1"/>
  <c r="O1154" s="1"/>
  <c r="N1160"/>
  <c r="O1160" s="1"/>
  <c r="N1166"/>
  <c r="O1166" s="1"/>
  <c r="N1170"/>
  <c r="O1170" s="1"/>
  <c r="N1174"/>
  <c r="O1174" s="1"/>
  <c r="N1152"/>
  <c r="O1152" s="1"/>
  <c r="N1158"/>
  <c r="O1158" s="1"/>
  <c r="N1164"/>
  <c r="O1164" s="1"/>
  <c r="N1172"/>
  <c r="O1172" s="1"/>
  <c r="N1176"/>
  <c r="O1176" s="1"/>
  <c r="N1150"/>
  <c r="O1150" s="1"/>
  <c r="N1156"/>
  <c r="O1156" s="1"/>
  <c r="N1162"/>
  <c r="O1162" s="1"/>
  <c r="N1168"/>
  <c r="O1168" s="1"/>
  <c r="N1149"/>
  <c r="O1149" s="1"/>
  <c r="N1151"/>
  <c r="O1151" s="1"/>
  <c r="N1153"/>
  <c r="O1153" s="1"/>
  <c r="N1155"/>
  <c r="O1155" s="1"/>
  <c r="N1157"/>
  <c r="O1157" s="1"/>
  <c r="N1159"/>
  <c r="O1159" s="1"/>
  <c r="N1161"/>
  <c r="O1161" s="1"/>
  <c r="N1163"/>
  <c r="O1163" s="1"/>
  <c r="N1165"/>
  <c r="O1165" s="1"/>
  <c r="N1167"/>
  <c r="O1167" s="1"/>
  <c r="N1169"/>
  <c r="O1169" s="1"/>
  <c r="N1171"/>
  <c r="O1171" s="1"/>
  <c r="N1173"/>
  <c r="O1173" s="1"/>
  <c r="N1175"/>
  <c r="O1175" s="1"/>
  <c r="N1177"/>
  <c r="O1177" s="1"/>
  <c r="K1148"/>
  <c r="I1148"/>
  <c r="K1147"/>
  <c r="I1147"/>
  <c r="K1146"/>
  <c r="I1146"/>
  <c r="K1145"/>
  <c r="I1145"/>
  <c r="K1144"/>
  <c r="I1144"/>
  <c r="K1143"/>
  <c r="I1143"/>
  <c r="K1142"/>
  <c r="N1143" l="1"/>
  <c r="O1143" s="1"/>
  <c r="N1147"/>
  <c r="O1147" s="1"/>
  <c r="N1145"/>
  <c r="O1145" s="1"/>
  <c r="N1144"/>
  <c r="O1144" s="1"/>
  <c r="N1146"/>
  <c r="O1146" s="1"/>
  <c r="N1148"/>
  <c r="O1148" s="1"/>
  <c r="I1142"/>
  <c r="K1141"/>
  <c r="I1141"/>
  <c r="K1140"/>
  <c r="I1140"/>
  <c r="K1139"/>
  <c r="I1139"/>
  <c r="K1138"/>
  <c r="I1138"/>
  <c r="K1137"/>
  <c r="I1137"/>
  <c r="N1138" l="1"/>
  <c r="O1138" s="1"/>
  <c r="N1140"/>
  <c r="O1140" s="1"/>
  <c r="N1139"/>
  <c r="O1139" s="1"/>
  <c r="N1142"/>
  <c r="O1142" s="1"/>
  <c r="N1137"/>
  <c r="O1137" s="1"/>
  <c r="N1141"/>
  <c r="O1141" s="1"/>
  <c r="K1136"/>
  <c r="I1136"/>
  <c r="K1135"/>
  <c r="I1135"/>
  <c r="N1136" l="1"/>
  <c r="O1136" s="1"/>
  <c r="N1135"/>
  <c r="O1135" s="1"/>
  <c r="K1134"/>
  <c r="I1134"/>
  <c r="N1134" l="1"/>
  <c r="O1134" s="1"/>
  <c r="K1133"/>
  <c r="I1133"/>
  <c r="K1132"/>
  <c r="I1132"/>
  <c r="K1131"/>
  <c r="I1131"/>
  <c r="K1130"/>
  <c r="I1130"/>
  <c r="K1129"/>
  <c r="I1129"/>
  <c r="K1128"/>
  <c r="I1128"/>
  <c r="K1127"/>
  <c r="I1127"/>
  <c r="K1126"/>
  <c r="I1126"/>
  <c r="K1125"/>
  <c r="I1125"/>
  <c r="K1124"/>
  <c r="I1124"/>
  <c r="K1123"/>
  <c r="I1123"/>
  <c r="K1122"/>
  <c r="I1122"/>
  <c r="K1121"/>
  <c r="I1121"/>
  <c r="K1120"/>
  <c r="I1120"/>
  <c r="K1119"/>
  <c r="I1119"/>
  <c r="N1120" l="1"/>
  <c r="O1120" s="1"/>
  <c r="N1126"/>
  <c r="O1126" s="1"/>
  <c r="N1124"/>
  <c r="O1124" s="1"/>
  <c r="N1130"/>
  <c r="O1130" s="1"/>
  <c r="N1122"/>
  <c r="O1122" s="1"/>
  <c r="N1128"/>
  <c r="O1128" s="1"/>
  <c r="N1132"/>
  <c r="O1132" s="1"/>
  <c r="N1119"/>
  <c r="O1119" s="1"/>
  <c r="N1121"/>
  <c r="O1121" s="1"/>
  <c r="N1123"/>
  <c r="O1123" s="1"/>
  <c r="N1125"/>
  <c r="O1125" s="1"/>
  <c r="N1127"/>
  <c r="O1127" s="1"/>
  <c r="N1129"/>
  <c r="O1129" s="1"/>
  <c r="N1131"/>
  <c r="O1131" s="1"/>
  <c r="N1133"/>
  <c r="O1133" s="1"/>
  <c r="K1118"/>
  <c r="I1118"/>
  <c r="K1117"/>
  <c r="I1117"/>
  <c r="K1116"/>
  <c r="I1116"/>
  <c r="K1115"/>
  <c r="I1115"/>
  <c r="K1114"/>
  <c r="N1115" l="1"/>
  <c r="O1115" s="1"/>
  <c r="N1117"/>
  <c r="O1117" s="1"/>
  <c r="N1116"/>
  <c r="O1116" s="1"/>
  <c r="N1118"/>
  <c r="O1118" s="1"/>
  <c r="I1114"/>
  <c r="K1113"/>
  <c r="I1113"/>
  <c r="K1112"/>
  <c r="I1112"/>
  <c r="K1111"/>
  <c r="I1111"/>
  <c r="N1114" l="1"/>
  <c r="O1114" s="1"/>
  <c r="N1112"/>
  <c r="O1112" s="1"/>
  <c r="N1111"/>
  <c r="O1111" s="1"/>
  <c r="N1113"/>
  <c r="O1113" s="1"/>
  <c r="K1110"/>
  <c r="I1110"/>
  <c r="O1110" s="1"/>
  <c r="K1109" l="1"/>
  <c r="I1109"/>
  <c r="K1108"/>
  <c r="I1108"/>
  <c r="K1107"/>
  <c r="I1107"/>
  <c r="K1106"/>
  <c r="I1106"/>
  <c r="K1105"/>
  <c r="I1105"/>
  <c r="K1104"/>
  <c r="I1104"/>
  <c r="K1103"/>
  <c r="I1103"/>
  <c r="K1102"/>
  <c r="I1102"/>
  <c r="N1103" l="1"/>
  <c r="O1103" s="1"/>
  <c r="N1107"/>
  <c r="O1107" s="1"/>
  <c r="N1105"/>
  <c r="O1105" s="1"/>
  <c r="N1109"/>
  <c r="O1109" s="1"/>
  <c r="N1102"/>
  <c r="O1102" s="1"/>
  <c r="N1104"/>
  <c r="O1104" s="1"/>
  <c r="N1106"/>
  <c r="O1106" s="1"/>
  <c r="N1108"/>
  <c r="O1108" s="1"/>
  <c r="K1101"/>
  <c r="I1101"/>
  <c r="K1100"/>
  <c r="I1100"/>
  <c r="K1099"/>
  <c r="I1099"/>
  <c r="N1099" l="1"/>
  <c r="O1099" s="1"/>
  <c r="N1101"/>
  <c r="O1101" s="1"/>
  <c r="N1100"/>
  <c r="O1100" s="1"/>
  <c r="K1098"/>
  <c r="I1098"/>
  <c r="K1097"/>
  <c r="I1097"/>
  <c r="K1096"/>
  <c r="I1096"/>
  <c r="K1095"/>
  <c r="I1095"/>
  <c r="K1094"/>
  <c r="I1094"/>
  <c r="K1093"/>
  <c r="I1093"/>
  <c r="K1092"/>
  <c r="I1092"/>
  <c r="K1091"/>
  <c r="I1091"/>
  <c r="N1091" l="1"/>
  <c r="O1091" s="1"/>
  <c r="N1093"/>
  <c r="O1093" s="1"/>
  <c r="N1095"/>
  <c r="O1095" s="1"/>
  <c r="N1097"/>
  <c r="O1097" s="1"/>
  <c r="N1092"/>
  <c r="O1092" s="1"/>
  <c r="N1094"/>
  <c r="O1094" s="1"/>
  <c r="N1096"/>
  <c r="O1096" s="1"/>
  <c r="N1098"/>
  <c r="O1098" s="1"/>
  <c r="K1090"/>
  <c r="I1090"/>
  <c r="K1089"/>
  <c r="I1089"/>
  <c r="K1088"/>
  <c r="I1088"/>
  <c r="K1087"/>
  <c r="I1087"/>
  <c r="K1086"/>
  <c r="I1086"/>
  <c r="K1085"/>
  <c r="I1085"/>
  <c r="K1084"/>
  <c r="I1084"/>
  <c r="K1083"/>
  <c r="I1083"/>
  <c r="K1082"/>
  <c r="I1082"/>
  <c r="K1081"/>
  <c r="I1081"/>
  <c r="K1080"/>
  <c r="I1080"/>
  <c r="K1079"/>
  <c r="I1079"/>
  <c r="K1078"/>
  <c r="I1078"/>
  <c r="K1077"/>
  <c r="I1077"/>
  <c r="N1080" l="1"/>
  <c r="O1080" s="1"/>
  <c r="N1086"/>
  <c r="O1086" s="1"/>
  <c r="N1084"/>
  <c r="O1084" s="1"/>
  <c r="N1090"/>
  <c r="O1090" s="1"/>
  <c r="N1078"/>
  <c r="O1078" s="1"/>
  <c r="N1082"/>
  <c r="O1082" s="1"/>
  <c r="N1088"/>
  <c r="O1088" s="1"/>
  <c r="N1077"/>
  <c r="O1077" s="1"/>
  <c r="N1079"/>
  <c r="O1079" s="1"/>
  <c r="N1081"/>
  <c r="O1081" s="1"/>
  <c r="N1083"/>
  <c r="O1083" s="1"/>
  <c r="N1085"/>
  <c r="O1085" s="1"/>
  <c r="N1087"/>
  <c r="O1087" s="1"/>
  <c r="N1089"/>
  <c r="O1089" s="1"/>
  <c r="K1076"/>
  <c r="I1076"/>
  <c r="K1075"/>
  <c r="I1075"/>
  <c r="O1075" s="1"/>
  <c r="K1074"/>
  <c r="I1074"/>
  <c r="O1074" s="1"/>
  <c r="K1073"/>
  <c r="I1073"/>
  <c r="K1072"/>
  <c r="I1072"/>
  <c r="K1071"/>
  <c r="I1071"/>
  <c r="K1070"/>
  <c r="I1070"/>
  <c r="K1069"/>
  <c r="I1069"/>
  <c r="K1068"/>
  <c r="I1068"/>
  <c r="K1067"/>
  <c r="I1067"/>
  <c r="K1066"/>
  <c r="I1066"/>
  <c r="K1065"/>
  <c r="I1065"/>
  <c r="K1064"/>
  <c r="I1064"/>
  <c r="O1064" s="1"/>
  <c r="K1063"/>
  <c r="I1063"/>
  <c r="O1063" s="1"/>
  <c r="K1062"/>
  <c r="I1062"/>
  <c r="O1062" s="1"/>
  <c r="K1061"/>
  <c r="I1061"/>
  <c r="O1061" s="1"/>
  <c r="K1060"/>
  <c r="I1060"/>
  <c r="K1059"/>
  <c r="I1059"/>
  <c r="N1070" l="1"/>
  <c r="O1070" s="1"/>
  <c r="N1060"/>
  <c r="O1060" s="1"/>
  <c r="N1066"/>
  <c r="O1066" s="1"/>
  <c r="N1072"/>
  <c r="O1072" s="1"/>
  <c r="N1076"/>
  <c r="O1076" s="1"/>
  <c r="N1068"/>
  <c r="O1068" s="1"/>
  <c r="N1059"/>
  <c r="O1059" s="1"/>
  <c r="N1065"/>
  <c r="O1065" s="1"/>
  <c r="N1067"/>
  <c r="O1067" s="1"/>
  <c r="N1069"/>
  <c r="O1069" s="1"/>
  <c r="N1071"/>
  <c r="O1071" s="1"/>
  <c r="N1073"/>
  <c r="O1073" s="1"/>
  <c r="K1058"/>
  <c r="I1058"/>
  <c r="K1057"/>
  <c r="I1057"/>
  <c r="K1056"/>
  <c r="N1058" l="1"/>
  <c r="O1058" s="1"/>
  <c r="N1057"/>
  <c r="O1057" s="1"/>
  <c r="I1056"/>
  <c r="K1055"/>
  <c r="I1055"/>
  <c r="K1054"/>
  <c r="I1054"/>
  <c r="K1053"/>
  <c r="I1053"/>
  <c r="K1052"/>
  <c r="I1052"/>
  <c r="N1052" l="1"/>
  <c r="O1052" s="1"/>
  <c r="N1054"/>
  <c r="O1054" s="1"/>
  <c r="N1056"/>
  <c r="O1056" s="1"/>
  <c r="N1053"/>
  <c r="O1053" s="1"/>
  <c r="N1055"/>
  <c r="O1055" s="1"/>
  <c r="K1051"/>
  <c r="I1051"/>
  <c r="N1051" l="1"/>
  <c r="O1051" s="1"/>
  <c r="K1050"/>
  <c r="I1050"/>
  <c r="N1050" l="1"/>
  <c r="O1050" s="1"/>
  <c r="K1049"/>
  <c r="I1049"/>
  <c r="N1049" l="1"/>
  <c r="O1049" s="1"/>
  <c r="K1048"/>
  <c r="I1048"/>
  <c r="K1047"/>
  <c r="I1047"/>
  <c r="K1046"/>
  <c r="I1046"/>
  <c r="K1045"/>
  <c r="I1045"/>
  <c r="K1044"/>
  <c r="I1044"/>
  <c r="O1044" s="1"/>
  <c r="N1045" l="1"/>
  <c r="O1045" s="1"/>
  <c r="N1047"/>
  <c r="O1047" s="1"/>
  <c r="N1046"/>
  <c r="O1046" s="1"/>
  <c r="N1048"/>
  <c r="O1048" s="1"/>
  <c r="K1043"/>
  <c r="I1043"/>
  <c r="N1043" l="1"/>
  <c r="O1043" s="1"/>
  <c r="K1042"/>
  <c r="I1042"/>
  <c r="K1041"/>
  <c r="I1041"/>
  <c r="N1041" s="1"/>
  <c r="I1040"/>
  <c r="N1040" s="1"/>
  <c r="K1039"/>
  <c r="I1039"/>
  <c r="K1038"/>
  <c r="I1038"/>
  <c r="K1037"/>
  <c r="I1037"/>
  <c r="O1037" s="1"/>
  <c r="K1036"/>
  <c r="I1036"/>
  <c r="O1036" s="1"/>
  <c r="K1035"/>
  <c r="I1035"/>
  <c r="O1035" s="1"/>
  <c r="K1034"/>
  <c r="I1034"/>
  <c r="O1034" s="1"/>
  <c r="N1042" l="1"/>
  <c r="O1042" s="1"/>
  <c r="O1041"/>
  <c r="N1039"/>
  <c r="O1039" s="1"/>
  <c r="N1038"/>
  <c r="O1038" s="1"/>
  <c r="O1040"/>
  <c r="K1033"/>
  <c r="I1033"/>
  <c r="O1033" s="1"/>
  <c r="K1032"/>
  <c r="I1032"/>
  <c r="O1032" s="1"/>
  <c r="K1031"/>
  <c r="I1031"/>
  <c r="O1031" s="1"/>
  <c r="K1030"/>
  <c r="I1030"/>
  <c r="K1029"/>
  <c r="I1029"/>
  <c r="K1028"/>
  <c r="I1028"/>
  <c r="K1027"/>
  <c r="I1027"/>
  <c r="K1026"/>
  <c r="I1026"/>
  <c r="K1025"/>
  <c r="I1025"/>
  <c r="K1024"/>
  <c r="I1024"/>
  <c r="K1023"/>
  <c r="I1023"/>
  <c r="K1022"/>
  <c r="I1022"/>
  <c r="K1021"/>
  <c r="I1021"/>
  <c r="K1020"/>
  <c r="I1020"/>
  <c r="K1019"/>
  <c r="I1019"/>
  <c r="K1018"/>
  <c r="I1018"/>
  <c r="K1017"/>
  <c r="I1017"/>
  <c r="O1017" s="1"/>
  <c r="K1016"/>
  <c r="I1016"/>
  <c r="O1016" s="1"/>
  <c r="K1015"/>
  <c r="I1015"/>
  <c r="O1015" s="1"/>
  <c r="N1025" l="1"/>
  <c r="O1025" s="1"/>
  <c r="N1026"/>
  <c r="O1026" s="1"/>
  <c r="N1019"/>
  <c r="O1019" s="1"/>
  <c r="N1029"/>
  <c r="O1029" s="1"/>
  <c r="N1023"/>
  <c r="O1023" s="1"/>
  <c r="N1021"/>
  <c r="O1021" s="1"/>
  <c r="N1027"/>
  <c r="O1027" s="1"/>
  <c r="N1018"/>
  <c r="O1018" s="1"/>
  <c r="N1020"/>
  <c r="O1020" s="1"/>
  <c r="N1022"/>
  <c r="O1022" s="1"/>
  <c r="N1024"/>
  <c r="O1024" s="1"/>
  <c r="N1028"/>
  <c r="O1028" s="1"/>
  <c r="N1030"/>
  <c r="O1030" s="1"/>
  <c r="K1014"/>
  <c r="I1014"/>
  <c r="O1014" s="1"/>
  <c r="K1013"/>
  <c r="I1013"/>
  <c r="K1012"/>
  <c r="I1012"/>
  <c r="N1012" l="1"/>
  <c r="O1012" s="1"/>
  <c r="N1013"/>
  <c r="O1013" s="1"/>
  <c r="K1011"/>
  <c r="I1011"/>
  <c r="K1010"/>
  <c r="I1010"/>
  <c r="K1009"/>
  <c r="I1009"/>
  <c r="K1008"/>
  <c r="I1008"/>
  <c r="K1007"/>
  <c r="I1007"/>
  <c r="K1006"/>
  <c r="I1006"/>
  <c r="N1011" l="1"/>
  <c r="O1011" s="1"/>
  <c r="N1007"/>
  <c r="O1007" s="1"/>
  <c r="N1009"/>
  <c r="O1009" s="1"/>
  <c r="N1006"/>
  <c r="O1006" s="1"/>
  <c r="N1008"/>
  <c r="O1008" s="1"/>
  <c r="N1010"/>
  <c r="O1010" s="1"/>
  <c r="K1005"/>
  <c r="I1005"/>
  <c r="K1004"/>
  <c r="I1004"/>
  <c r="K1003"/>
  <c r="I1003"/>
  <c r="K1002"/>
  <c r="I1002"/>
  <c r="K1001"/>
  <c r="I1001"/>
  <c r="K1000"/>
  <c r="I1000"/>
  <c r="K999"/>
  <c r="I999"/>
  <c r="K998"/>
  <c r="I998"/>
  <c r="K997"/>
  <c r="I997"/>
  <c r="N1004" l="1"/>
  <c r="O1004" s="1"/>
  <c r="N1005"/>
  <c r="O1005" s="1"/>
  <c r="N997"/>
  <c r="O997" s="1"/>
  <c r="N1003"/>
  <c r="O1003" s="1"/>
  <c r="N1001"/>
  <c r="O1001" s="1"/>
  <c r="N999"/>
  <c r="O999" s="1"/>
  <c r="N998"/>
  <c r="O998" s="1"/>
  <c r="N1000"/>
  <c r="O1000" s="1"/>
  <c r="N1002"/>
  <c r="O1002" s="1"/>
  <c r="K996"/>
  <c r="I996"/>
  <c r="K995"/>
  <c r="I995"/>
  <c r="K994"/>
  <c r="I994"/>
  <c r="K993"/>
  <c r="I993"/>
  <c r="I992"/>
  <c r="K991"/>
  <c r="I991"/>
  <c r="K990"/>
  <c r="I990"/>
  <c r="K989"/>
  <c r="I989"/>
  <c r="K988"/>
  <c r="I988"/>
  <c r="K987"/>
  <c r="I987"/>
  <c r="K986"/>
  <c r="I986"/>
  <c r="K985"/>
  <c r="I985"/>
  <c r="K984"/>
  <c r="I984"/>
  <c r="K983"/>
  <c r="I983"/>
  <c r="K982"/>
  <c r="I982"/>
  <c r="K981"/>
  <c r="I981"/>
  <c r="K980"/>
  <c r="N987" l="1"/>
  <c r="O987" s="1"/>
  <c r="N991"/>
  <c r="O991" s="1"/>
  <c r="N995"/>
  <c r="O995" s="1"/>
  <c r="N983"/>
  <c r="O983" s="1"/>
  <c r="N981"/>
  <c r="O981" s="1"/>
  <c r="N985"/>
  <c r="O985" s="1"/>
  <c r="N989"/>
  <c r="O989" s="1"/>
  <c r="N993"/>
  <c r="O993" s="1"/>
  <c r="N982"/>
  <c r="O982" s="1"/>
  <c r="N984"/>
  <c r="O984" s="1"/>
  <c r="N986"/>
  <c r="O986" s="1"/>
  <c r="N988"/>
  <c r="O988" s="1"/>
  <c r="N990"/>
  <c r="O990" s="1"/>
  <c r="N992"/>
  <c r="O992" s="1"/>
  <c r="N994"/>
  <c r="O994" s="1"/>
  <c r="N996"/>
  <c r="O996" s="1"/>
  <c r="I980"/>
  <c r="K979"/>
  <c r="I979"/>
  <c r="K978"/>
  <c r="I978"/>
  <c r="K977"/>
  <c r="I977"/>
  <c r="K976"/>
  <c r="I976"/>
  <c r="K975"/>
  <c r="K974"/>
  <c r="I974"/>
  <c r="K973"/>
  <c r="I973"/>
  <c r="K972"/>
  <c r="I972"/>
  <c r="N978" l="1"/>
  <c r="O978" s="1"/>
  <c r="N973"/>
  <c r="O973" s="1"/>
  <c r="N980"/>
  <c r="O980" s="1"/>
  <c r="N979"/>
  <c r="O979" s="1"/>
  <c r="N976"/>
  <c r="O976" s="1"/>
  <c r="N977"/>
  <c r="O977" s="1"/>
  <c r="N972"/>
  <c r="O972" s="1"/>
  <c r="N974"/>
  <c r="O974" s="1"/>
  <c r="K971"/>
  <c r="I971"/>
  <c r="K970"/>
  <c r="I970"/>
  <c r="K969"/>
  <c r="I969"/>
  <c r="K968"/>
  <c r="I968"/>
  <c r="K967"/>
  <c r="I967"/>
  <c r="K966"/>
  <c r="I966"/>
  <c r="K965"/>
  <c r="I965"/>
  <c r="K964"/>
  <c r="I964"/>
  <c r="K963"/>
  <c r="I963"/>
  <c r="K962"/>
  <c r="I962"/>
  <c r="K961"/>
  <c r="I961"/>
  <c r="K960"/>
  <c r="I960"/>
  <c r="K959"/>
  <c r="I959"/>
  <c r="K958"/>
  <c r="I958"/>
  <c r="K957"/>
  <c r="I957"/>
  <c r="K956"/>
  <c r="I956"/>
  <c r="K955"/>
  <c r="I955"/>
  <c r="N955" l="1"/>
  <c r="O955" s="1"/>
  <c r="N961"/>
  <c r="O961" s="1"/>
  <c r="N965"/>
  <c r="O965" s="1"/>
  <c r="N971"/>
  <c r="O971" s="1"/>
  <c r="N959"/>
  <c r="O959" s="1"/>
  <c r="N967"/>
  <c r="O967" s="1"/>
  <c r="N957"/>
  <c r="O957" s="1"/>
  <c r="N963"/>
  <c r="O963" s="1"/>
  <c r="N969"/>
  <c r="O969" s="1"/>
  <c r="N956"/>
  <c r="O956" s="1"/>
  <c r="N958"/>
  <c r="O958" s="1"/>
  <c r="N960"/>
  <c r="O960" s="1"/>
  <c r="N962"/>
  <c r="O962" s="1"/>
  <c r="N964"/>
  <c r="O964" s="1"/>
  <c r="N966"/>
  <c r="O966" s="1"/>
  <c r="N968"/>
  <c r="O968" s="1"/>
  <c r="N970"/>
  <c r="O970" s="1"/>
  <c r="K954"/>
  <c r="I954" l="1"/>
  <c r="K953"/>
  <c r="I953"/>
  <c r="K952"/>
  <c r="I952"/>
  <c r="K951"/>
  <c r="I951"/>
  <c r="K950"/>
  <c r="I950"/>
  <c r="K949"/>
  <c r="I949"/>
  <c r="K948"/>
  <c r="I948"/>
  <c r="K947"/>
  <c r="I947"/>
  <c r="K946"/>
  <c r="I946"/>
  <c r="K945"/>
  <c r="I945"/>
  <c r="K944"/>
  <c r="N946" l="1"/>
  <c r="O946" s="1"/>
  <c r="N950"/>
  <c r="O950" s="1"/>
  <c r="N947"/>
  <c r="O947" s="1"/>
  <c r="N948"/>
  <c r="O948" s="1"/>
  <c r="N952"/>
  <c r="O952" s="1"/>
  <c r="N954"/>
  <c r="O954" s="1"/>
  <c r="N945"/>
  <c r="O945" s="1"/>
  <c r="N949"/>
  <c r="O949" s="1"/>
  <c r="N951"/>
  <c r="O951" s="1"/>
  <c r="N953"/>
  <c r="O953" s="1"/>
  <c r="I944"/>
  <c r="K943"/>
  <c r="I943"/>
  <c r="K942"/>
  <c r="I942"/>
  <c r="K941"/>
  <c r="I941"/>
  <c r="K940"/>
  <c r="I940"/>
  <c r="K939"/>
  <c r="I939"/>
  <c r="K938"/>
  <c r="I938"/>
  <c r="K937"/>
  <c r="I937"/>
  <c r="K936"/>
  <c r="I936"/>
  <c r="O936" s="1"/>
  <c r="K935"/>
  <c r="I935"/>
  <c r="O935" s="1"/>
  <c r="K934"/>
  <c r="I934"/>
  <c r="N940" l="1"/>
  <c r="O940" s="1"/>
  <c r="N942"/>
  <c r="O942" s="1"/>
  <c r="N938"/>
  <c r="O938" s="1"/>
  <c r="N939"/>
  <c r="O939" s="1"/>
  <c r="N934"/>
  <c r="O934" s="1"/>
  <c r="N944"/>
  <c r="O944" s="1"/>
  <c r="N937"/>
  <c r="O937" s="1"/>
  <c r="N941"/>
  <c r="O941" s="1"/>
  <c r="N943"/>
  <c r="O943" s="1"/>
  <c r="K933"/>
  <c r="I933"/>
  <c r="K932"/>
  <c r="I932"/>
  <c r="K931"/>
  <c r="I931"/>
  <c r="K930"/>
  <c r="I930"/>
  <c r="I929"/>
  <c r="I928"/>
  <c r="K927"/>
  <c r="I927"/>
  <c r="K926"/>
  <c r="I926"/>
  <c r="K925"/>
  <c r="I925"/>
  <c r="K924"/>
  <c r="I924"/>
  <c r="K923"/>
  <c r="I923"/>
  <c r="K922"/>
  <c r="I922"/>
  <c r="K921"/>
  <c r="I921"/>
  <c r="K920"/>
  <c r="I920"/>
  <c r="K919"/>
  <c r="I919"/>
  <c r="K918"/>
  <c r="I918"/>
  <c r="K917"/>
  <c r="I917"/>
  <c r="O917" s="1"/>
  <c r="K916"/>
  <c r="I916"/>
  <c r="O916" s="1"/>
  <c r="K915"/>
  <c r="I915"/>
  <c r="O915" s="1"/>
  <c r="K914"/>
  <c r="I914"/>
  <c r="K913"/>
  <c r="I913"/>
  <c r="K912"/>
  <c r="I912"/>
  <c r="K911"/>
  <c r="I911"/>
  <c r="K910"/>
  <c r="I910"/>
  <c r="K909"/>
  <c r="I909"/>
  <c r="K908"/>
  <c r="I908"/>
  <c r="K907"/>
  <c r="I907"/>
  <c r="K906"/>
  <c r="I906"/>
  <c r="K905"/>
  <c r="I905"/>
  <c r="K904"/>
  <c r="I904"/>
  <c r="K903"/>
  <c r="I903"/>
  <c r="K902"/>
  <c r="I902"/>
  <c r="K901"/>
  <c r="I901"/>
  <c r="K900"/>
  <c r="I900"/>
  <c r="N929" l="1"/>
  <c r="O929" s="1"/>
  <c r="N902"/>
  <c r="O902" s="1"/>
  <c r="N908"/>
  <c r="O908" s="1"/>
  <c r="N920"/>
  <c r="O920" s="1"/>
  <c r="N922"/>
  <c r="O922" s="1"/>
  <c r="N926"/>
  <c r="O926" s="1"/>
  <c r="N928"/>
  <c r="O928" s="1"/>
  <c r="N931"/>
  <c r="O931" s="1"/>
  <c r="N933"/>
  <c r="O933" s="1"/>
  <c r="N904"/>
  <c r="O904" s="1"/>
  <c r="N910"/>
  <c r="O910" s="1"/>
  <c r="N914"/>
  <c r="O914" s="1"/>
  <c r="N918"/>
  <c r="O918" s="1"/>
  <c r="N924"/>
  <c r="O924" s="1"/>
  <c r="N900"/>
  <c r="O900" s="1"/>
  <c r="N906"/>
  <c r="O906" s="1"/>
  <c r="N912"/>
  <c r="O912" s="1"/>
  <c r="N901"/>
  <c r="O901" s="1"/>
  <c r="N903"/>
  <c r="O903" s="1"/>
  <c r="N905"/>
  <c r="O905" s="1"/>
  <c r="N907"/>
  <c r="O907" s="1"/>
  <c r="N909"/>
  <c r="O909" s="1"/>
  <c r="N911"/>
  <c r="O911" s="1"/>
  <c r="N913"/>
  <c r="O913" s="1"/>
  <c r="N919"/>
  <c r="O919" s="1"/>
  <c r="N921"/>
  <c r="O921" s="1"/>
  <c r="N923"/>
  <c r="O923" s="1"/>
  <c r="N925"/>
  <c r="O925" s="1"/>
  <c r="N927"/>
  <c r="O927" s="1"/>
  <c r="N930"/>
  <c r="O930" s="1"/>
  <c r="N932"/>
  <c r="O932" s="1"/>
  <c r="K899"/>
  <c r="I899"/>
  <c r="K898"/>
  <c r="I898"/>
  <c r="K897"/>
  <c r="I897"/>
  <c r="I896"/>
  <c r="K895"/>
  <c r="I895"/>
  <c r="K894"/>
  <c r="I894"/>
  <c r="K893"/>
  <c r="I893"/>
  <c r="N896" l="1"/>
  <c r="O896" s="1"/>
  <c r="N894"/>
  <c r="O894" s="1"/>
  <c r="N898"/>
  <c r="O898" s="1"/>
  <c r="N893"/>
  <c r="O893" s="1"/>
  <c r="N895"/>
  <c r="O895" s="1"/>
  <c r="N897"/>
  <c r="O897" s="1"/>
  <c r="N899"/>
  <c r="O899" s="1"/>
  <c r="K892"/>
  <c r="I892"/>
  <c r="K891"/>
  <c r="I891"/>
  <c r="K890"/>
  <c r="I890"/>
  <c r="K889"/>
  <c r="I889"/>
  <c r="K888"/>
  <c r="I888"/>
  <c r="K887"/>
  <c r="I887"/>
  <c r="N889" l="1"/>
  <c r="O889" s="1"/>
  <c r="N887"/>
  <c r="O887" s="1"/>
  <c r="N891"/>
  <c r="O891" s="1"/>
  <c r="N888"/>
  <c r="O888" s="1"/>
  <c r="N890"/>
  <c r="O890" s="1"/>
  <c r="N892"/>
  <c r="O892" s="1"/>
  <c r="K886"/>
  <c r="I886"/>
  <c r="K885"/>
  <c r="I885"/>
  <c r="K884"/>
  <c r="I884"/>
  <c r="O884" s="1"/>
  <c r="K883"/>
  <c r="I883"/>
  <c r="K882"/>
  <c r="I882"/>
  <c r="K881"/>
  <c r="I881"/>
  <c r="K880"/>
  <c r="I880"/>
  <c r="K879"/>
  <c r="I879"/>
  <c r="N886" l="1"/>
  <c r="O886" s="1"/>
  <c r="N882"/>
  <c r="O882" s="1"/>
  <c r="N880"/>
  <c r="O880" s="1"/>
  <c r="N879"/>
  <c r="O879" s="1"/>
  <c r="N881"/>
  <c r="O881" s="1"/>
  <c r="N883"/>
  <c r="O883" s="1"/>
  <c r="N885"/>
  <c r="O885" s="1"/>
  <c r="K878"/>
  <c r="I878"/>
  <c r="K877"/>
  <c r="I877"/>
  <c r="K876"/>
  <c r="I876"/>
  <c r="K875"/>
  <c r="I875"/>
  <c r="K874"/>
  <c r="I874"/>
  <c r="K873"/>
  <c r="I873"/>
  <c r="K872"/>
  <c r="I872"/>
  <c r="K871"/>
  <c r="I871"/>
  <c r="K870"/>
  <c r="I870"/>
  <c r="K869"/>
  <c r="I869"/>
  <c r="K868"/>
  <c r="I868"/>
  <c r="K867"/>
  <c r="I867"/>
  <c r="K866"/>
  <c r="I866"/>
  <c r="K865"/>
  <c r="I865"/>
  <c r="K864"/>
  <c r="I864"/>
  <c r="K863"/>
  <c r="I863"/>
  <c r="K862"/>
  <c r="I862"/>
  <c r="K861"/>
  <c r="I861"/>
  <c r="K860"/>
  <c r="I860"/>
  <c r="O860" s="1"/>
  <c r="K859"/>
  <c r="I859"/>
  <c r="K858"/>
  <c r="I858"/>
  <c r="K857"/>
  <c r="N859" l="1"/>
  <c r="O859" s="1"/>
  <c r="N865"/>
  <c r="O865" s="1"/>
  <c r="N869"/>
  <c r="O869" s="1"/>
  <c r="N875"/>
  <c r="O875" s="1"/>
  <c r="N863"/>
  <c r="O863" s="1"/>
  <c r="N871"/>
  <c r="O871" s="1"/>
  <c r="N873"/>
  <c r="O873" s="1"/>
  <c r="N861"/>
  <c r="O861" s="1"/>
  <c r="N867"/>
  <c r="O867" s="1"/>
  <c r="N877"/>
  <c r="O877" s="1"/>
  <c r="N858"/>
  <c r="O858" s="1"/>
  <c r="N862"/>
  <c r="O862" s="1"/>
  <c r="N864"/>
  <c r="O864" s="1"/>
  <c r="N866"/>
  <c r="O866" s="1"/>
  <c r="N868"/>
  <c r="O868" s="1"/>
  <c r="N870"/>
  <c r="O870" s="1"/>
  <c r="N872"/>
  <c r="O872" s="1"/>
  <c r="N874"/>
  <c r="O874" s="1"/>
  <c r="N876"/>
  <c r="O876" s="1"/>
  <c r="N878"/>
  <c r="O878" s="1"/>
  <c r="I857"/>
  <c r="K856"/>
  <c r="I856"/>
  <c r="K855"/>
  <c r="I855"/>
  <c r="O855" s="1"/>
  <c r="K854"/>
  <c r="I854"/>
  <c r="O854" s="1"/>
  <c r="K853"/>
  <c r="I853"/>
  <c r="O853" s="1"/>
  <c r="K852"/>
  <c r="I852"/>
  <c r="O852" s="1"/>
  <c r="K851"/>
  <c r="I851"/>
  <c r="K850"/>
  <c r="I850"/>
  <c r="K849"/>
  <c r="I849"/>
  <c r="K848"/>
  <c r="I848"/>
  <c r="K847"/>
  <c r="I847"/>
  <c r="K846"/>
  <c r="I846"/>
  <c r="K845"/>
  <c r="I845"/>
  <c r="N851" l="1"/>
  <c r="O851" s="1"/>
  <c r="N845"/>
  <c r="O845" s="1"/>
  <c r="N849"/>
  <c r="O849" s="1"/>
  <c r="N857"/>
  <c r="O857" s="1"/>
  <c r="N846"/>
  <c r="O846" s="1"/>
  <c r="N847"/>
  <c r="O847" s="1"/>
  <c r="N848"/>
  <c r="O848" s="1"/>
  <c r="N850"/>
  <c r="O850" s="1"/>
  <c r="N856"/>
  <c r="O856" s="1"/>
  <c r="K844"/>
  <c r="I844"/>
  <c r="O844" s="1"/>
  <c r="K843"/>
  <c r="I843"/>
  <c r="K842"/>
  <c r="I842"/>
  <c r="K841"/>
  <c r="I841"/>
  <c r="K840"/>
  <c r="I840"/>
  <c r="K839"/>
  <c r="I839"/>
  <c r="K838"/>
  <c r="I838"/>
  <c r="N843" l="1"/>
  <c r="O843" s="1"/>
  <c r="N839"/>
  <c r="O839" s="1"/>
  <c r="N841"/>
  <c r="O841" s="1"/>
  <c r="N838"/>
  <c r="O838" s="1"/>
  <c r="N840"/>
  <c r="O840" s="1"/>
  <c r="N842"/>
  <c r="O842" s="1"/>
  <c r="K837"/>
  <c r="I837"/>
  <c r="N837" l="1"/>
  <c r="O837" s="1"/>
  <c r="K836"/>
  <c r="I836"/>
  <c r="K835"/>
  <c r="I835"/>
  <c r="O835" s="1"/>
  <c r="K834"/>
  <c r="I834"/>
  <c r="K833"/>
  <c r="I833"/>
  <c r="K832"/>
  <c r="I832"/>
  <c r="K831"/>
  <c r="I831"/>
  <c r="K830"/>
  <c r="I830"/>
  <c r="K829"/>
  <c r="I829"/>
  <c r="K828"/>
  <c r="I828"/>
  <c r="K827"/>
  <c r="I827"/>
  <c r="K826"/>
  <c r="I826"/>
  <c r="K825"/>
  <c r="I825"/>
  <c r="K824"/>
  <c r="I824"/>
  <c r="K823"/>
  <c r="I823"/>
  <c r="K822"/>
  <c r="I822"/>
  <c r="K821"/>
  <c r="I821"/>
  <c r="K820"/>
  <c r="I820"/>
  <c r="N831" l="1"/>
  <c r="O831" s="1"/>
  <c r="N821"/>
  <c r="O821" s="1"/>
  <c r="N827"/>
  <c r="O827" s="1"/>
  <c r="N833"/>
  <c r="O833" s="1"/>
  <c r="N823"/>
  <c r="O823" s="1"/>
  <c r="N825"/>
  <c r="O825" s="1"/>
  <c r="N829"/>
  <c r="O829" s="1"/>
  <c r="N820"/>
  <c r="O820" s="1"/>
  <c r="N822"/>
  <c r="O822" s="1"/>
  <c r="N824"/>
  <c r="O824" s="1"/>
  <c r="N826"/>
  <c r="O826" s="1"/>
  <c r="N828"/>
  <c r="O828" s="1"/>
  <c r="N830"/>
  <c r="O830" s="1"/>
  <c r="N832"/>
  <c r="O832" s="1"/>
  <c r="N834"/>
  <c r="O834" s="1"/>
  <c r="N836"/>
  <c r="O836" s="1"/>
  <c r="K819"/>
  <c r="I819"/>
  <c r="K818"/>
  <c r="I818"/>
  <c r="K817"/>
  <c r="I817"/>
  <c r="K816"/>
  <c r="I816"/>
  <c r="K815"/>
  <c r="I815"/>
  <c r="K814"/>
  <c r="I814"/>
  <c r="K813"/>
  <c r="I813"/>
  <c r="K812"/>
  <c r="I812"/>
  <c r="K811"/>
  <c r="I811"/>
  <c r="N811" l="1"/>
  <c r="O811" s="1"/>
  <c r="N815"/>
  <c r="O815" s="1"/>
  <c r="N817"/>
  <c r="O817" s="1"/>
  <c r="N813"/>
  <c r="O813" s="1"/>
  <c r="N819"/>
  <c r="O819" s="1"/>
  <c r="N812"/>
  <c r="O812" s="1"/>
  <c r="N814"/>
  <c r="O814" s="1"/>
  <c r="N816"/>
  <c r="O816" s="1"/>
  <c r="N818"/>
  <c r="O818" s="1"/>
  <c r="K810"/>
  <c r="I810"/>
  <c r="K809"/>
  <c r="I809"/>
  <c r="N809" l="1"/>
  <c r="O809" s="1"/>
  <c r="N810"/>
  <c r="O810" s="1"/>
  <c r="K808"/>
  <c r="I808"/>
  <c r="K807"/>
  <c r="I807"/>
  <c r="N808" l="1"/>
  <c r="O808" s="1"/>
  <c r="N807"/>
  <c r="O807" s="1"/>
  <c r="K806"/>
  <c r="I806"/>
  <c r="K805"/>
  <c r="I805"/>
  <c r="K804"/>
  <c r="I804"/>
  <c r="K803"/>
  <c r="I803"/>
  <c r="K802"/>
  <c r="I802"/>
  <c r="I801"/>
  <c r="N804" l="1"/>
  <c r="O804" s="1"/>
  <c r="N802"/>
  <c r="O802" s="1"/>
  <c r="N806"/>
  <c r="O806" s="1"/>
  <c r="N801"/>
  <c r="O801" s="1"/>
  <c r="N803"/>
  <c r="O803" s="1"/>
  <c r="N805"/>
  <c r="O805" s="1"/>
  <c r="K800"/>
  <c r="I800"/>
  <c r="K799"/>
  <c r="I799"/>
  <c r="K798"/>
  <c r="I798"/>
  <c r="K797"/>
  <c r="I797"/>
  <c r="K796"/>
  <c r="I796"/>
  <c r="K795"/>
  <c r="I795"/>
  <c r="K794"/>
  <c r="I794"/>
  <c r="K793"/>
  <c r="I793"/>
  <c r="K792"/>
  <c r="I792"/>
  <c r="N792" l="1"/>
  <c r="O792" s="1"/>
  <c r="N800"/>
  <c r="O800" s="1"/>
  <c r="N798"/>
  <c r="O798" s="1"/>
  <c r="N794"/>
  <c r="O794" s="1"/>
  <c r="N796"/>
  <c r="O796" s="1"/>
  <c r="N793"/>
  <c r="O793" s="1"/>
  <c r="N795"/>
  <c r="O795" s="1"/>
  <c r="N797"/>
  <c r="O797" s="1"/>
  <c r="N799"/>
  <c r="O799" s="1"/>
  <c r="K791"/>
  <c r="I791"/>
  <c r="K790"/>
  <c r="I790"/>
  <c r="K789"/>
  <c r="I789"/>
  <c r="K788"/>
  <c r="I788"/>
  <c r="K787"/>
  <c r="I787"/>
  <c r="K786"/>
  <c r="I786"/>
  <c r="K785"/>
  <c r="I785"/>
  <c r="K784"/>
  <c r="I784"/>
  <c r="K783"/>
  <c r="I783"/>
  <c r="K782"/>
  <c r="I782"/>
  <c r="N782" l="1"/>
  <c r="O782" s="1"/>
  <c r="N786"/>
  <c r="O786" s="1"/>
  <c r="N788"/>
  <c r="O788" s="1"/>
  <c r="N784"/>
  <c r="O784" s="1"/>
  <c r="N790"/>
  <c r="O790" s="1"/>
  <c r="N783"/>
  <c r="O783" s="1"/>
  <c r="N785"/>
  <c r="O785" s="1"/>
  <c r="N787"/>
  <c r="O787" s="1"/>
  <c r="N789"/>
  <c r="O789" s="1"/>
  <c r="N791"/>
  <c r="O791" s="1"/>
  <c r="K781"/>
  <c r="I781"/>
  <c r="K780"/>
  <c r="I780"/>
  <c r="K779"/>
  <c r="I779"/>
  <c r="K778"/>
  <c r="I778"/>
  <c r="K777"/>
  <c r="I777"/>
  <c r="K776"/>
  <c r="I776"/>
  <c r="N779" l="1"/>
  <c r="O779" s="1"/>
  <c r="N777"/>
  <c r="O777" s="1"/>
  <c r="N781"/>
  <c r="O781" s="1"/>
  <c r="N776"/>
  <c r="O776" s="1"/>
  <c r="N778"/>
  <c r="O778" s="1"/>
  <c r="N780"/>
  <c r="O780" s="1"/>
  <c r="K775"/>
  <c r="I775"/>
  <c r="K774"/>
  <c r="I774"/>
  <c r="K773"/>
  <c r="I773"/>
  <c r="N773" l="1"/>
  <c r="O773" s="1"/>
  <c r="N775"/>
  <c r="O775" s="1"/>
  <c r="N774"/>
  <c r="O774" s="1"/>
  <c r="K772"/>
  <c r="I772"/>
  <c r="K771"/>
  <c r="I771"/>
  <c r="K770"/>
  <c r="I770"/>
  <c r="K769"/>
  <c r="I769"/>
  <c r="K768"/>
  <c r="I768"/>
  <c r="K767"/>
  <c r="I767"/>
  <c r="N771" l="1"/>
  <c r="O771" s="1"/>
  <c r="N767"/>
  <c r="O767" s="1"/>
  <c r="N769"/>
  <c r="O769" s="1"/>
  <c r="N768"/>
  <c r="O768" s="1"/>
  <c r="N770"/>
  <c r="O770" s="1"/>
  <c r="N772"/>
  <c r="O772" s="1"/>
  <c r="K766"/>
  <c r="I766"/>
  <c r="K765"/>
  <c r="I765"/>
  <c r="K764"/>
  <c r="I764"/>
  <c r="K763"/>
  <c r="I763"/>
  <c r="K762"/>
  <c r="I762"/>
  <c r="K761"/>
  <c r="I761"/>
  <c r="N764" l="1"/>
  <c r="O764" s="1"/>
  <c r="N762"/>
  <c r="O762" s="1"/>
  <c r="N766"/>
  <c r="O766" s="1"/>
  <c r="N761"/>
  <c r="O761" s="1"/>
  <c r="N763"/>
  <c r="O763" s="1"/>
  <c r="N765"/>
  <c r="O765" s="1"/>
  <c r="K760"/>
  <c r="I760"/>
  <c r="K759"/>
  <c r="I759"/>
  <c r="K758"/>
  <c r="I758"/>
  <c r="K757"/>
  <c r="I757"/>
  <c r="K756"/>
  <c r="I756"/>
  <c r="K755"/>
  <c r="I755"/>
  <c r="K754"/>
  <c r="I754"/>
  <c r="K753"/>
  <c r="I753"/>
  <c r="K752"/>
  <c r="I752"/>
  <c r="K751"/>
  <c r="N758" l="1"/>
  <c r="O758" s="1"/>
  <c r="N754"/>
  <c r="O754" s="1"/>
  <c r="N752"/>
  <c r="O752" s="1"/>
  <c r="N756"/>
  <c r="O756" s="1"/>
  <c r="N760"/>
  <c r="O760" s="1"/>
  <c r="N753"/>
  <c r="O753" s="1"/>
  <c r="N755"/>
  <c r="O755" s="1"/>
  <c r="N757"/>
  <c r="O757" s="1"/>
  <c r="N759"/>
  <c r="O759" s="1"/>
  <c r="I751"/>
  <c r="K750"/>
  <c r="I750"/>
  <c r="K749"/>
  <c r="I749"/>
  <c r="K748"/>
  <c r="I748"/>
  <c r="K747"/>
  <c r="I747"/>
  <c r="K746"/>
  <c r="I746"/>
  <c r="K745"/>
  <c r="I745"/>
  <c r="N750" l="1"/>
  <c r="O750" s="1"/>
  <c r="N748"/>
  <c r="O748" s="1"/>
  <c r="N751"/>
  <c r="O751" s="1"/>
  <c r="N746"/>
  <c r="O746" s="1"/>
  <c r="N745"/>
  <c r="O745" s="1"/>
  <c r="N747"/>
  <c r="O747" s="1"/>
  <c r="N749"/>
  <c r="O749" s="1"/>
  <c r="K744"/>
  <c r="I744"/>
  <c r="N744" l="1"/>
  <c r="O744" s="1"/>
  <c r="K743"/>
  <c r="I743"/>
  <c r="K742"/>
  <c r="I742"/>
  <c r="K741"/>
  <c r="I741"/>
  <c r="K740"/>
  <c r="I740"/>
  <c r="K739"/>
  <c r="I739"/>
  <c r="K738"/>
  <c r="I738"/>
  <c r="K737"/>
  <c r="I737"/>
  <c r="K736"/>
  <c r="I736"/>
  <c r="K735"/>
  <c r="I735"/>
  <c r="K734"/>
  <c r="I734"/>
  <c r="K733"/>
  <c r="I733"/>
  <c r="N740" l="1"/>
  <c r="O740" s="1"/>
  <c r="N736"/>
  <c r="O736" s="1"/>
  <c r="N742"/>
  <c r="O742" s="1"/>
  <c r="N734"/>
  <c r="O734" s="1"/>
  <c r="N738"/>
  <c r="O738" s="1"/>
  <c r="N733"/>
  <c r="O733" s="1"/>
  <c r="N735"/>
  <c r="O735" s="1"/>
  <c r="N737"/>
  <c r="O737" s="1"/>
  <c r="N739"/>
  <c r="O739" s="1"/>
  <c r="N741"/>
  <c r="O741" s="1"/>
  <c r="N743"/>
  <c r="O743" s="1"/>
  <c r="K732"/>
  <c r="I732"/>
  <c r="K731"/>
  <c r="I731"/>
  <c r="K730"/>
  <c r="I730"/>
  <c r="K729"/>
  <c r="I729"/>
  <c r="K728"/>
  <c r="I728"/>
  <c r="K727"/>
  <c r="I727"/>
  <c r="K726"/>
  <c r="I726"/>
  <c r="K725"/>
  <c r="I725"/>
  <c r="K724"/>
  <c r="I724"/>
  <c r="K723"/>
  <c r="I723"/>
  <c r="K722"/>
  <c r="I722"/>
  <c r="K721"/>
  <c r="I721"/>
  <c r="K720"/>
  <c r="I720"/>
  <c r="K719"/>
  <c r="I719"/>
  <c r="K718"/>
  <c r="I718"/>
  <c r="K717"/>
  <c r="I717"/>
  <c r="K716"/>
  <c r="I716"/>
  <c r="K715"/>
  <c r="I715"/>
  <c r="K714"/>
  <c r="I714"/>
  <c r="K713"/>
  <c r="I713"/>
  <c r="K712"/>
  <c r="I712"/>
  <c r="K711"/>
  <c r="I711"/>
  <c r="K710"/>
  <c r="I710"/>
  <c r="K709"/>
  <c r="I709"/>
  <c r="K708"/>
  <c r="I708"/>
  <c r="K707"/>
  <c r="I707"/>
  <c r="K706"/>
  <c r="I706"/>
  <c r="K705"/>
  <c r="I705"/>
  <c r="K704"/>
  <c r="I704"/>
  <c r="K703"/>
  <c r="I703"/>
  <c r="K702"/>
  <c r="I702"/>
  <c r="K701"/>
  <c r="I701"/>
  <c r="K700"/>
  <c r="N703" l="1"/>
  <c r="O703" s="1"/>
  <c r="N709"/>
  <c r="O709" s="1"/>
  <c r="N713"/>
  <c r="O713" s="1"/>
  <c r="N715"/>
  <c r="O715" s="1"/>
  <c r="N717"/>
  <c r="O717" s="1"/>
  <c r="N719"/>
  <c r="O719" s="1"/>
  <c r="N721"/>
  <c r="O721" s="1"/>
  <c r="N723"/>
  <c r="O723" s="1"/>
  <c r="N725"/>
  <c r="O725" s="1"/>
  <c r="N727"/>
  <c r="O727" s="1"/>
  <c r="N729"/>
  <c r="O729" s="1"/>
  <c r="N731"/>
  <c r="O731" s="1"/>
  <c r="N705"/>
  <c r="O705" s="1"/>
  <c r="N711"/>
  <c r="O711" s="1"/>
  <c r="N701"/>
  <c r="O701" s="1"/>
  <c r="N707"/>
  <c r="O707" s="1"/>
  <c r="N702"/>
  <c r="O702" s="1"/>
  <c r="N704"/>
  <c r="O704" s="1"/>
  <c r="N706"/>
  <c r="O706" s="1"/>
  <c r="N708"/>
  <c r="O708" s="1"/>
  <c r="N710"/>
  <c r="O710" s="1"/>
  <c r="N712"/>
  <c r="O712" s="1"/>
  <c r="N714"/>
  <c r="O714" s="1"/>
  <c r="N716"/>
  <c r="O716" s="1"/>
  <c r="N718"/>
  <c r="O718" s="1"/>
  <c r="N720"/>
  <c r="O720" s="1"/>
  <c r="N722"/>
  <c r="O722" s="1"/>
  <c r="N724"/>
  <c r="O724" s="1"/>
  <c r="N726"/>
  <c r="O726" s="1"/>
  <c r="N728"/>
  <c r="O728" s="1"/>
  <c r="N730"/>
  <c r="O730" s="1"/>
  <c r="N732"/>
  <c r="O732" s="1"/>
  <c r="I700"/>
  <c r="K699"/>
  <c r="I699"/>
  <c r="K698"/>
  <c r="I698"/>
  <c r="K697"/>
  <c r="I697"/>
  <c r="K696"/>
  <c r="I696"/>
  <c r="K695"/>
  <c r="I695"/>
  <c r="K694"/>
  <c r="I694"/>
  <c r="K693"/>
  <c r="I693"/>
  <c r="K692"/>
  <c r="I692"/>
  <c r="K691"/>
  <c r="I691"/>
  <c r="N694" l="1"/>
  <c r="O694" s="1"/>
  <c r="N696"/>
  <c r="O696" s="1"/>
  <c r="N692"/>
  <c r="O692" s="1"/>
  <c r="N700"/>
  <c r="O700" s="1"/>
  <c r="N693"/>
  <c r="O693" s="1"/>
  <c r="N699"/>
  <c r="O699" s="1"/>
  <c r="N698"/>
  <c r="O698" s="1"/>
  <c r="N691"/>
  <c r="O691" s="1"/>
  <c r="N695"/>
  <c r="O695" s="1"/>
  <c r="N697"/>
  <c r="O697" s="1"/>
  <c r="K690"/>
  <c r="I690"/>
  <c r="K689"/>
  <c r="I689"/>
  <c r="K688"/>
  <c r="I688"/>
  <c r="K687"/>
  <c r="I687"/>
  <c r="K686"/>
  <c r="I686"/>
  <c r="N686" l="1"/>
  <c r="O686" s="1"/>
  <c r="N690"/>
  <c r="O690" s="1"/>
  <c r="N688"/>
  <c r="O688" s="1"/>
  <c r="N687"/>
  <c r="O687" s="1"/>
  <c r="N689"/>
  <c r="O689" s="1"/>
  <c r="K685"/>
  <c r="I685"/>
  <c r="K684"/>
  <c r="I684"/>
  <c r="K683"/>
  <c r="I683"/>
  <c r="N684" l="1"/>
  <c r="O684" s="1"/>
  <c r="N683"/>
  <c r="O683" s="1"/>
  <c r="N685"/>
  <c r="O685" s="1"/>
  <c r="K682"/>
  <c r="I682"/>
  <c r="K681"/>
  <c r="I681"/>
  <c r="K680"/>
  <c r="I680"/>
  <c r="K679"/>
  <c r="I679"/>
  <c r="K678"/>
  <c r="I678"/>
  <c r="K677"/>
  <c r="I677"/>
  <c r="K676"/>
  <c r="I676"/>
  <c r="K675"/>
  <c r="I675"/>
  <c r="K674"/>
  <c r="I674"/>
  <c r="K673"/>
  <c r="I673"/>
  <c r="N681" l="1"/>
  <c r="O681" s="1"/>
  <c r="N673"/>
  <c r="O673" s="1"/>
  <c r="N679"/>
  <c r="O679" s="1"/>
  <c r="N675"/>
  <c r="O675" s="1"/>
  <c r="N677"/>
  <c r="O677" s="1"/>
  <c r="N674"/>
  <c r="O674" s="1"/>
  <c r="N676"/>
  <c r="O676" s="1"/>
  <c r="N678"/>
  <c r="O678" s="1"/>
  <c r="N680"/>
  <c r="O680" s="1"/>
  <c r="N682"/>
  <c r="O682" s="1"/>
  <c r="K672"/>
  <c r="I672"/>
  <c r="K671"/>
  <c r="I671"/>
  <c r="K670"/>
  <c r="I670"/>
  <c r="K669"/>
  <c r="I669"/>
  <c r="K668"/>
  <c r="I668"/>
  <c r="K667"/>
  <c r="I667"/>
  <c r="I666"/>
  <c r="K665"/>
  <c r="I665"/>
  <c r="K664"/>
  <c r="I664"/>
  <c r="K663"/>
  <c r="I663"/>
  <c r="K662"/>
  <c r="I662"/>
  <c r="K661"/>
  <c r="I661"/>
  <c r="K660"/>
  <c r="I660"/>
  <c r="K659"/>
  <c r="I659"/>
  <c r="K658"/>
  <c r="I658"/>
  <c r="K657"/>
  <c r="I657"/>
  <c r="K656"/>
  <c r="I656"/>
  <c r="K655"/>
  <c r="I655"/>
  <c r="K654"/>
  <c r="I654"/>
  <c r="K653"/>
  <c r="I653"/>
  <c r="K652"/>
  <c r="I652"/>
  <c r="K651"/>
  <c r="I651"/>
  <c r="K650"/>
  <c r="I650"/>
  <c r="K649"/>
  <c r="I649"/>
  <c r="K648"/>
  <c r="I648"/>
  <c r="K647"/>
  <c r="I647"/>
  <c r="K646"/>
  <c r="I646"/>
  <c r="K645"/>
  <c r="I645"/>
  <c r="K644"/>
  <c r="I644"/>
  <c r="K643"/>
  <c r="I643"/>
  <c r="K642"/>
  <c r="I642"/>
  <c r="K641"/>
  <c r="I641"/>
  <c r="K640"/>
  <c r="I640"/>
  <c r="K639"/>
  <c r="I639"/>
  <c r="K638"/>
  <c r="I638"/>
  <c r="K637"/>
  <c r="I637"/>
  <c r="K636"/>
  <c r="I636"/>
  <c r="K635"/>
  <c r="I635"/>
  <c r="K634"/>
  <c r="I634"/>
  <c r="K633"/>
  <c r="I633"/>
  <c r="K632"/>
  <c r="I632"/>
  <c r="K631"/>
  <c r="I631"/>
  <c r="K630"/>
  <c r="I630"/>
  <c r="K629"/>
  <c r="I629"/>
  <c r="K628"/>
  <c r="I628"/>
  <c r="K627"/>
  <c r="I627"/>
  <c r="K626"/>
  <c r="I626"/>
  <c r="K625"/>
  <c r="I625"/>
  <c r="K624"/>
  <c r="I624"/>
  <c r="K623"/>
  <c r="I623"/>
  <c r="K622"/>
  <c r="I622"/>
  <c r="K621"/>
  <c r="I621"/>
  <c r="K620"/>
  <c r="I620"/>
  <c r="K619"/>
  <c r="I619"/>
  <c r="K618"/>
  <c r="I618"/>
  <c r="K617"/>
  <c r="I617"/>
  <c r="K616"/>
  <c r="I616"/>
  <c r="K615"/>
  <c r="I615"/>
  <c r="K614"/>
  <c r="I614"/>
  <c r="K613"/>
  <c r="I613"/>
  <c r="K612"/>
  <c r="I612"/>
  <c r="K611"/>
  <c r="I611"/>
  <c r="K610"/>
  <c r="I610"/>
  <c r="K609"/>
  <c r="I609"/>
  <c r="K608"/>
  <c r="I608"/>
  <c r="K607"/>
  <c r="I607"/>
  <c r="K606"/>
  <c r="I606"/>
  <c r="K605"/>
  <c r="I605"/>
  <c r="K604"/>
  <c r="I604"/>
  <c r="K603"/>
  <c r="I603"/>
  <c r="K602"/>
  <c r="I602"/>
  <c r="K601"/>
  <c r="I601"/>
  <c r="K600"/>
  <c r="I600"/>
  <c r="K599"/>
  <c r="I599"/>
  <c r="K598"/>
  <c r="I598"/>
  <c r="K597"/>
  <c r="I597"/>
  <c r="K596"/>
  <c r="I596"/>
  <c r="K595"/>
  <c r="I595"/>
  <c r="K594"/>
  <c r="I594"/>
  <c r="K593"/>
  <c r="I593"/>
  <c r="K592"/>
  <c r="I592"/>
  <c r="K591"/>
  <c r="I591"/>
  <c r="K590"/>
  <c r="I590"/>
  <c r="K589"/>
  <c r="I589"/>
  <c r="K588"/>
  <c r="I588"/>
  <c r="K587"/>
  <c r="I587"/>
  <c r="K586"/>
  <c r="I586"/>
  <c r="K585"/>
  <c r="I585"/>
  <c r="K584"/>
  <c r="I584"/>
  <c r="K583"/>
  <c r="I583"/>
  <c r="K582"/>
  <c r="I582"/>
  <c r="K581"/>
  <c r="I581"/>
  <c r="K580"/>
  <c r="I580"/>
  <c r="K579"/>
  <c r="I579"/>
  <c r="K578"/>
  <c r="I578"/>
  <c r="I577"/>
  <c r="K576"/>
  <c r="I576"/>
  <c r="K575"/>
  <c r="I575"/>
  <c r="K574"/>
  <c r="I574"/>
  <c r="K573"/>
  <c r="I573"/>
  <c r="K572"/>
  <c r="I572"/>
  <c r="K571"/>
  <c r="I571"/>
  <c r="K570"/>
  <c r="I570"/>
  <c r="K569"/>
  <c r="I569"/>
  <c r="K568"/>
  <c r="I568"/>
  <c r="K567"/>
  <c r="I567"/>
  <c r="K566"/>
  <c r="I566"/>
  <c r="K565"/>
  <c r="I565"/>
  <c r="K564"/>
  <c r="I564"/>
  <c r="K563"/>
  <c r="I563"/>
  <c r="K562"/>
  <c r="I562"/>
  <c r="K561"/>
  <c r="I561"/>
  <c r="K560"/>
  <c r="I560"/>
  <c r="K559"/>
  <c r="I559"/>
  <c r="K558"/>
  <c r="I558"/>
  <c r="K557"/>
  <c r="I557"/>
  <c r="K556"/>
  <c r="I556"/>
  <c r="K555"/>
  <c r="I555"/>
  <c r="K554"/>
  <c r="I554"/>
  <c r="K553"/>
  <c r="I553"/>
  <c r="K552"/>
  <c r="I552"/>
  <c r="K551"/>
  <c r="I551"/>
  <c r="K550"/>
  <c r="I550"/>
  <c r="K549"/>
  <c r="I549"/>
  <c r="K548"/>
  <c r="I548"/>
  <c r="K547"/>
  <c r="I547"/>
  <c r="K546"/>
  <c r="I546"/>
  <c r="K545"/>
  <c r="I545"/>
  <c r="K544"/>
  <c r="I544"/>
  <c r="K543"/>
  <c r="I543"/>
  <c r="K542"/>
  <c r="I542"/>
  <c r="K541"/>
  <c r="I541"/>
  <c r="K540"/>
  <c r="N542" l="1"/>
  <c r="O542" s="1"/>
  <c r="N550"/>
  <c r="O550" s="1"/>
  <c r="N552"/>
  <c r="O552" s="1"/>
  <c r="N554"/>
  <c r="O554" s="1"/>
  <c r="N556"/>
  <c r="O556" s="1"/>
  <c r="N558"/>
  <c r="O558" s="1"/>
  <c r="N560"/>
  <c r="O560" s="1"/>
  <c r="N562"/>
  <c r="O562" s="1"/>
  <c r="N564"/>
  <c r="O564" s="1"/>
  <c r="N566"/>
  <c r="O566" s="1"/>
  <c r="N568"/>
  <c r="O568" s="1"/>
  <c r="N570"/>
  <c r="O570" s="1"/>
  <c r="N572"/>
  <c r="O572" s="1"/>
  <c r="N574"/>
  <c r="O574" s="1"/>
  <c r="N576"/>
  <c r="O576" s="1"/>
  <c r="N548"/>
  <c r="O548" s="1"/>
  <c r="N578"/>
  <c r="O578" s="1"/>
  <c r="N580"/>
  <c r="O580" s="1"/>
  <c r="N582"/>
  <c r="O582" s="1"/>
  <c r="N584"/>
  <c r="O584" s="1"/>
  <c r="N586"/>
  <c r="O586" s="1"/>
  <c r="N588"/>
  <c r="O588" s="1"/>
  <c r="N590"/>
  <c r="O590" s="1"/>
  <c r="N592"/>
  <c r="O592" s="1"/>
  <c r="N594"/>
  <c r="O594" s="1"/>
  <c r="N596"/>
  <c r="O596" s="1"/>
  <c r="N598"/>
  <c r="O598" s="1"/>
  <c r="N600"/>
  <c r="O600" s="1"/>
  <c r="N602"/>
  <c r="O602" s="1"/>
  <c r="N604"/>
  <c r="O604" s="1"/>
  <c r="N606"/>
  <c r="O606" s="1"/>
  <c r="N608"/>
  <c r="O608" s="1"/>
  <c r="N610"/>
  <c r="O610" s="1"/>
  <c r="N612"/>
  <c r="O612" s="1"/>
  <c r="N614"/>
  <c r="O614" s="1"/>
  <c r="N616"/>
  <c r="O616" s="1"/>
  <c r="N618"/>
  <c r="O618" s="1"/>
  <c r="N620"/>
  <c r="O620" s="1"/>
  <c r="N622"/>
  <c r="O622" s="1"/>
  <c r="N624"/>
  <c r="O624" s="1"/>
  <c r="N626"/>
  <c r="O626" s="1"/>
  <c r="N628"/>
  <c r="O628" s="1"/>
  <c r="N630"/>
  <c r="O630" s="1"/>
  <c r="N632"/>
  <c r="O632" s="1"/>
  <c r="N634"/>
  <c r="O634" s="1"/>
  <c r="N636"/>
  <c r="O636" s="1"/>
  <c r="N638"/>
  <c r="O638" s="1"/>
  <c r="N640"/>
  <c r="O640" s="1"/>
  <c r="N642"/>
  <c r="O642" s="1"/>
  <c r="N644"/>
  <c r="O644" s="1"/>
  <c r="N646"/>
  <c r="O646" s="1"/>
  <c r="N648"/>
  <c r="O648" s="1"/>
  <c r="N650"/>
  <c r="O650" s="1"/>
  <c r="N652"/>
  <c r="O652" s="1"/>
  <c r="N654"/>
  <c r="O654" s="1"/>
  <c r="N656"/>
  <c r="O656" s="1"/>
  <c r="N658"/>
  <c r="O658" s="1"/>
  <c r="N660"/>
  <c r="O660" s="1"/>
  <c r="N662"/>
  <c r="O662" s="1"/>
  <c r="N664"/>
  <c r="O664" s="1"/>
  <c r="N666"/>
  <c r="O666" s="1"/>
  <c r="N668"/>
  <c r="O668" s="1"/>
  <c r="N670"/>
  <c r="O670" s="1"/>
  <c r="N672"/>
  <c r="O672" s="1"/>
  <c r="N544"/>
  <c r="O544" s="1"/>
  <c r="N543"/>
  <c r="O543" s="1"/>
  <c r="N545"/>
  <c r="O545" s="1"/>
  <c r="N547"/>
  <c r="O547" s="1"/>
  <c r="N549"/>
  <c r="O549" s="1"/>
  <c r="N551"/>
  <c r="O551" s="1"/>
  <c r="N553"/>
  <c r="O553" s="1"/>
  <c r="N555"/>
  <c r="O555" s="1"/>
  <c r="N557"/>
  <c r="O557" s="1"/>
  <c r="N559"/>
  <c r="O559" s="1"/>
  <c r="N561"/>
  <c r="O561" s="1"/>
  <c r="N563"/>
  <c r="O563" s="1"/>
  <c r="N565"/>
  <c r="O565" s="1"/>
  <c r="N567"/>
  <c r="O567" s="1"/>
  <c r="N569"/>
  <c r="O569" s="1"/>
  <c r="N571"/>
  <c r="O571" s="1"/>
  <c r="N573"/>
  <c r="O573" s="1"/>
  <c r="N575"/>
  <c r="O575" s="1"/>
  <c r="N577"/>
  <c r="O577" s="1"/>
  <c r="N546"/>
  <c r="O546" s="1"/>
  <c r="N541"/>
  <c r="O541" s="1"/>
  <c r="N579"/>
  <c r="O579" s="1"/>
  <c r="N581"/>
  <c r="O581" s="1"/>
  <c r="N583"/>
  <c r="O583" s="1"/>
  <c r="N585"/>
  <c r="O585" s="1"/>
  <c r="N587"/>
  <c r="O587" s="1"/>
  <c r="N589"/>
  <c r="O589" s="1"/>
  <c r="N591"/>
  <c r="O591" s="1"/>
  <c r="N593"/>
  <c r="O593" s="1"/>
  <c r="N595"/>
  <c r="O595" s="1"/>
  <c r="N597"/>
  <c r="O597" s="1"/>
  <c r="N599"/>
  <c r="O599" s="1"/>
  <c r="N601"/>
  <c r="O601" s="1"/>
  <c r="N603"/>
  <c r="O603" s="1"/>
  <c r="N605"/>
  <c r="O605" s="1"/>
  <c r="N607"/>
  <c r="O607" s="1"/>
  <c r="N609"/>
  <c r="O609" s="1"/>
  <c r="N611"/>
  <c r="O611" s="1"/>
  <c r="N613"/>
  <c r="O613" s="1"/>
  <c r="N615"/>
  <c r="O615" s="1"/>
  <c r="N617"/>
  <c r="O617" s="1"/>
  <c r="N619"/>
  <c r="O619" s="1"/>
  <c r="N621"/>
  <c r="O621" s="1"/>
  <c r="N623"/>
  <c r="O623" s="1"/>
  <c r="N625"/>
  <c r="O625" s="1"/>
  <c r="N627"/>
  <c r="O627" s="1"/>
  <c r="N629"/>
  <c r="O629" s="1"/>
  <c r="N631"/>
  <c r="O631" s="1"/>
  <c r="N633"/>
  <c r="O633" s="1"/>
  <c r="N635"/>
  <c r="O635" s="1"/>
  <c r="N637"/>
  <c r="O637" s="1"/>
  <c r="N639"/>
  <c r="O639" s="1"/>
  <c r="N641"/>
  <c r="O641" s="1"/>
  <c r="N643"/>
  <c r="O643" s="1"/>
  <c r="N645"/>
  <c r="O645" s="1"/>
  <c r="N647"/>
  <c r="O647" s="1"/>
  <c r="N649"/>
  <c r="O649" s="1"/>
  <c r="N651"/>
  <c r="O651" s="1"/>
  <c r="N653"/>
  <c r="O653" s="1"/>
  <c r="N655"/>
  <c r="O655" s="1"/>
  <c r="N657"/>
  <c r="O657" s="1"/>
  <c r="N659"/>
  <c r="O659" s="1"/>
  <c r="N661"/>
  <c r="O661" s="1"/>
  <c r="N663"/>
  <c r="O663" s="1"/>
  <c r="N665"/>
  <c r="O665" s="1"/>
  <c r="N667"/>
  <c r="O667" s="1"/>
  <c r="N669"/>
  <c r="O669" s="1"/>
  <c r="N671"/>
  <c r="O671" s="1"/>
  <c r="I540"/>
  <c r="K539"/>
  <c r="I539"/>
  <c r="K538"/>
  <c r="I538"/>
  <c r="K537"/>
  <c r="I537"/>
  <c r="K536"/>
  <c r="I536"/>
  <c r="K535"/>
  <c r="I535"/>
  <c r="K534"/>
  <c r="I534"/>
  <c r="K533"/>
  <c r="I533"/>
  <c r="K532"/>
  <c r="I532"/>
  <c r="K531"/>
  <c r="I531"/>
  <c r="K530"/>
  <c r="I530"/>
  <c r="K529"/>
  <c r="I529"/>
  <c r="K528"/>
  <c r="I528"/>
  <c r="K527"/>
  <c r="I527"/>
  <c r="K526"/>
  <c r="I526"/>
  <c r="K525"/>
  <c r="I525"/>
  <c r="K524"/>
  <c r="I524"/>
  <c r="K523"/>
  <c r="I523"/>
  <c r="K522"/>
  <c r="I522"/>
  <c r="K521"/>
  <c r="I521"/>
  <c r="K520"/>
  <c r="I520"/>
  <c r="K519"/>
  <c r="I519"/>
  <c r="K518"/>
  <c r="I518"/>
  <c r="K517"/>
  <c r="I517"/>
  <c r="K516"/>
  <c r="I516"/>
  <c r="K515"/>
  <c r="I515"/>
  <c r="K514"/>
  <c r="I514"/>
  <c r="K513"/>
  <c r="I513"/>
  <c r="K512"/>
  <c r="I512"/>
  <c r="K511"/>
  <c r="I511"/>
  <c r="K510"/>
  <c r="I510"/>
  <c r="K509"/>
  <c r="I509"/>
  <c r="I508"/>
  <c r="K507"/>
  <c r="I507"/>
  <c r="I506"/>
  <c r="K505"/>
  <c r="I505"/>
  <c r="K504"/>
  <c r="I504"/>
  <c r="K503"/>
  <c r="I503"/>
  <c r="K502"/>
  <c r="I502"/>
  <c r="K501"/>
  <c r="I501"/>
  <c r="K500"/>
  <c r="I500"/>
  <c r="K499"/>
  <c r="I499"/>
  <c r="K498"/>
  <c r="I498"/>
  <c r="K497"/>
  <c r="I497"/>
  <c r="K496"/>
  <c r="I496"/>
  <c r="K495"/>
  <c r="I495"/>
  <c r="K494"/>
  <c r="I494"/>
  <c r="K493"/>
  <c r="I493"/>
  <c r="K492"/>
  <c r="I492"/>
  <c r="K491"/>
  <c r="I491"/>
  <c r="K490"/>
  <c r="I490"/>
  <c r="K489"/>
  <c r="I489"/>
  <c r="K488"/>
  <c r="I488"/>
  <c r="K487"/>
  <c r="I487"/>
  <c r="K486"/>
  <c r="I486"/>
  <c r="K485"/>
  <c r="I485"/>
  <c r="K484"/>
  <c r="I484"/>
  <c r="K483"/>
  <c r="I483"/>
  <c r="K482"/>
  <c r="I482"/>
  <c r="K481"/>
  <c r="I481"/>
  <c r="K480"/>
  <c r="I480"/>
  <c r="K479"/>
  <c r="I479"/>
  <c r="K478"/>
  <c r="I478"/>
  <c r="K477"/>
  <c r="I477"/>
  <c r="K476"/>
  <c r="I476"/>
  <c r="K475"/>
  <c r="I475"/>
  <c r="K474"/>
  <c r="I474"/>
  <c r="K473"/>
  <c r="I473"/>
  <c r="K472"/>
  <c r="I472"/>
  <c r="K471"/>
  <c r="I471"/>
  <c r="K470"/>
  <c r="I470"/>
  <c r="K469"/>
  <c r="I469"/>
  <c r="K468"/>
  <c r="I468"/>
  <c r="K467"/>
  <c r="I467"/>
  <c r="K466"/>
  <c r="I466"/>
  <c r="K465"/>
  <c r="I465"/>
  <c r="K464"/>
  <c r="I464"/>
  <c r="K463"/>
  <c r="I463"/>
  <c r="K462"/>
  <c r="I462"/>
  <c r="K461"/>
  <c r="I461"/>
  <c r="K460"/>
  <c r="I460"/>
  <c r="K459"/>
  <c r="I459"/>
  <c r="K458"/>
  <c r="I458"/>
  <c r="K457"/>
  <c r="I457"/>
  <c r="K456"/>
  <c r="I456"/>
  <c r="K455"/>
  <c r="I455"/>
  <c r="K454"/>
  <c r="I454"/>
  <c r="K453"/>
  <c r="I453"/>
  <c r="K452"/>
  <c r="I452"/>
  <c r="K451"/>
  <c r="I451"/>
  <c r="K450"/>
  <c r="I450"/>
  <c r="K449"/>
  <c r="I449"/>
  <c r="K448"/>
  <c r="I448"/>
  <c r="K447"/>
  <c r="I447"/>
  <c r="K446"/>
  <c r="K445"/>
  <c r="I445"/>
  <c r="K444"/>
  <c r="I444"/>
  <c r="K443"/>
  <c r="I443"/>
  <c r="K442"/>
  <c r="I442"/>
  <c r="K441"/>
  <c r="I441"/>
  <c r="K440"/>
  <c r="I440"/>
  <c r="K439"/>
  <c r="I439"/>
  <c r="K438"/>
  <c r="I438"/>
  <c r="K437"/>
  <c r="I437"/>
  <c r="K436"/>
  <c r="I436"/>
  <c r="K435"/>
  <c r="I435"/>
  <c r="K434"/>
  <c r="I434"/>
  <c r="K433"/>
  <c r="I433"/>
  <c r="K432"/>
  <c r="I432"/>
  <c r="K431"/>
  <c r="I431"/>
  <c r="K430"/>
  <c r="I430"/>
  <c r="K429"/>
  <c r="I429"/>
  <c r="I428"/>
  <c r="K427"/>
  <c r="I427"/>
  <c r="K426"/>
  <c r="I426"/>
  <c r="K425"/>
  <c r="I425"/>
  <c r="K424"/>
  <c r="I424"/>
  <c r="K423"/>
  <c r="I423"/>
  <c r="K421"/>
  <c r="I421"/>
  <c r="K420"/>
  <c r="I420"/>
  <c r="K419"/>
  <c r="I419"/>
  <c r="K418"/>
  <c r="I418"/>
  <c r="K417"/>
  <c r="I417"/>
  <c r="K416"/>
  <c r="I416"/>
  <c r="K415"/>
  <c r="I415"/>
  <c r="K414"/>
  <c r="I414"/>
  <c r="K413"/>
  <c r="I413"/>
  <c r="K412"/>
  <c r="I412"/>
  <c r="K411"/>
  <c r="I411"/>
  <c r="K410"/>
  <c r="I410"/>
  <c r="K409"/>
  <c r="I409"/>
  <c r="K408"/>
  <c r="I408"/>
  <c r="K407"/>
  <c r="I407"/>
  <c r="K406"/>
  <c r="I406"/>
  <c r="K405"/>
  <c r="I405"/>
  <c r="K404"/>
  <c r="I404"/>
  <c r="K403"/>
  <c r="I403"/>
  <c r="K402"/>
  <c r="I402"/>
  <c r="K401"/>
  <c r="I401"/>
  <c r="K400"/>
  <c r="I400"/>
  <c r="K399"/>
  <c r="I399"/>
  <c r="K398"/>
  <c r="I398"/>
  <c r="K397"/>
  <c r="I397"/>
  <c r="K396"/>
  <c r="I396"/>
  <c r="K395"/>
  <c r="I395"/>
  <c r="K394"/>
  <c r="I394"/>
  <c r="K393"/>
  <c r="I393"/>
  <c r="K392"/>
  <c r="I392"/>
  <c r="K391"/>
  <c r="I391"/>
  <c r="K390"/>
  <c r="I390"/>
  <c r="K389"/>
  <c r="I389"/>
  <c r="K388"/>
  <c r="I388"/>
  <c r="K387"/>
  <c r="I387"/>
  <c r="K386"/>
  <c r="I386"/>
  <c r="K385"/>
  <c r="I385"/>
  <c r="K384"/>
  <c r="I384"/>
  <c r="K383"/>
  <c r="I383"/>
  <c r="I382"/>
  <c r="K381"/>
  <c r="I381"/>
  <c r="K380"/>
  <c r="I380"/>
  <c r="K379"/>
  <c r="I379"/>
  <c r="K378"/>
  <c r="I378"/>
  <c r="K377"/>
  <c r="I377"/>
  <c r="K376"/>
  <c r="I376"/>
  <c r="K375"/>
  <c r="I375"/>
  <c r="K374"/>
  <c r="I374"/>
  <c r="K373"/>
  <c r="I373"/>
  <c r="K372"/>
  <c r="I372"/>
  <c r="K371"/>
  <c r="I371"/>
  <c r="K370"/>
  <c r="I370"/>
  <c r="K369"/>
  <c r="I369"/>
  <c r="I368"/>
  <c r="I367"/>
  <c r="K366"/>
  <c r="I366"/>
  <c r="K365"/>
  <c r="I365"/>
  <c r="K364"/>
  <c r="I364"/>
  <c r="K363"/>
  <c r="I363"/>
  <c r="K362"/>
  <c r="I362"/>
  <c r="K361"/>
  <c r="I361"/>
  <c r="K360"/>
  <c r="I360"/>
  <c r="K359"/>
  <c r="I359"/>
  <c r="K358"/>
  <c r="I358"/>
  <c r="K357"/>
  <c r="I357"/>
  <c r="K356"/>
  <c r="I356"/>
  <c r="K355"/>
  <c r="I355"/>
  <c r="K354"/>
  <c r="I354"/>
  <c r="K353"/>
  <c r="I353"/>
  <c r="K352"/>
  <c r="I352"/>
  <c r="K351"/>
  <c r="I351"/>
  <c r="K350"/>
  <c r="K349"/>
  <c r="I349"/>
  <c r="K348"/>
  <c r="K347"/>
  <c r="K346"/>
  <c r="K345"/>
  <c r="K344"/>
  <c r="K343"/>
  <c r="I343"/>
  <c r="K342"/>
  <c r="I342"/>
  <c r="K341"/>
  <c r="I341"/>
  <c r="K340"/>
  <c r="I340"/>
  <c r="K339"/>
  <c r="I339"/>
  <c r="K338"/>
  <c r="I338"/>
  <c r="K337"/>
  <c r="I337"/>
  <c r="K336"/>
  <c r="I336"/>
  <c r="K335"/>
  <c r="I335"/>
  <c r="K334"/>
  <c r="I334"/>
  <c r="K333"/>
  <c r="I333"/>
  <c r="K332"/>
  <c r="I332"/>
  <c r="K331"/>
  <c r="I331"/>
  <c r="K330"/>
  <c r="I330"/>
  <c r="K329"/>
  <c r="I329"/>
  <c r="I328"/>
  <c r="I327"/>
  <c r="I326"/>
  <c r="K325"/>
  <c r="I325"/>
  <c r="K324"/>
  <c r="I324"/>
  <c r="K323"/>
  <c r="I323"/>
  <c r="I322"/>
  <c r="K321"/>
  <c r="I321"/>
  <c r="K320"/>
  <c r="I320"/>
  <c r="K319"/>
  <c r="I319"/>
  <c r="K318"/>
  <c r="I318"/>
  <c r="K317"/>
  <c r="I317"/>
  <c r="K316"/>
  <c r="I316"/>
  <c r="K315"/>
  <c r="I315"/>
  <c r="K314"/>
  <c r="I314"/>
  <c r="K313"/>
  <c r="I313"/>
  <c r="K312"/>
  <c r="I312"/>
  <c r="K311"/>
  <c r="I311"/>
  <c r="K310"/>
  <c r="I310"/>
  <c r="K309"/>
  <c r="I309"/>
  <c r="K308"/>
  <c r="I308"/>
  <c r="K307"/>
  <c r="I307"/>
  <c r="K306"/>
  <c r="I306"/>
  <c r="K305"/>
  <c r="I305"/>
  <c r="K304"/>
  <c r="I304"/>
  <c r="K303"/>
  <c r="I303"/>
  <c r="K302"/>
  <c r="I302"/>
  <c r="K301"/>
  <c r="I301"/>
  <c r="K300"/>
  <c r="I300"/>
  <c r="K299"/>
  <c r="I299"/>
  <c r="K298"/>
  <c r="I298"/>
  <c r="K297"/>
  <c r="I297"/>
  <c r="K296"/>
  <c r="I296"/>
  <c r="K295"/>
  <c r="I295"/>
  <c r="K294"/>
  <c r="I294"/>
  <c r="I293"/>
  <c r="I292"/>
  <c r="K291"/>
  <c r="I291"/>
  <c r="K290"/>
  <c r="I290"/>
  <c r="K289"/>
  <c r="I289"/>
  <c r="K288"/>
  <c r="I288"/>
  <c r="K287"/>
  <c r="I287"/>
  <c r="K286"/>
  <c r="I286"/>
  <c r="I285"/>
  <c r="K284"/>
  <c r="I284"/>
  <c r="K283"/>
  <c r="I283"/>
  <c r="K282"/>
  <c r="I282"/>
  <c r="K281"/>
  <c r="I281"/>
  <c r="K280"/>
  <c r="I280"/>
  <c r="K279"/>
  <c r="I279"/>
  <c r="K278"/>
  <c r="K276"/>
  <c r="K275"/>
  <c r="K274"/>
  <c r="K272"/>
  <c r="K271"/>
  <c r="I271"/>
  <c r="K270"/>
  <c r="I270"/>
  <c r="K269"/>
  <c r="I269"/>
  <c r="K268"/>
  <c r="I268"/>
  <c r="K267"/>
  <c r="I267"/>
  <c r="K266"/>
  <c r="I266"/>
  <c r="K265"/>
  <c r="I265"/>
  <c r="K264"/>
  <c r="I264"/>
  <c r="K263"/>
  <c r="I263"/>
  <c r="K262"/>
  <c r="I262"/>
  <c r="K261"/>
  <c r="I261"/>
  <c r="K260"/>
  <c r="I260"/>
  <c r="K259"/>
  <c r="I259"/>
  <c r="K258"/>
  <c r="I258"/>
  <c r="K257"/>
  <c r="I257"/>
  <c r="K256"/>
  <c r="I256"/>
  <c r="K255"/>
  <c r="I255"/>
  <c r="K254"/>
  <c r="I254"/>
  <c r="K253"/>
  <c r="I253"/>
  <c r="K252"/>
  <c r="I252"/>
  <c r="K251"/>
  <c r="I251"/>
  <c r="K250"/>
  <c r="I250"/>
  <c r="K249"/>
  <c r="I249"/>
  <c r="K248"/>
  <c r="I248"/>
  <c r="I247"/>
  <c r="K246"/>
  <c r="I246"/>
  <c r="K245"/>
  <c r="I245"/>
  <c r="K244"/>
  <c r="I244"/>
  <c r="K243"/>
  <c r="I243"/>
  <c r="K242"/>
  <c r="I242"/>
  <c r="K241"/>
  <c r="I241"/>
  <c r="K240"/>
  <c r="I240"/>
  <c r="K239"/>
  <c r="I239"/>
  <c r="K238"/>
  <c r="I238"/>
  <c r="K237"/>
  <c r="I237"/>
  <c r="K236"/>
  <c r="I236"/>
  <c r="K235"/>
  <c r="I235"/>
  <c r="K234"/>
  <c r="I234"/>
  <c r="K233"/>
  <c r="I233"/>
  <c r="K232"/>
  <c r="I232"/>
  <c r="K231"/>
  <c r="I231"/>
  <c r="I230"/>
  <c r="K229"/>
  <c r="I229"/>
  <c r="K228"/>
  <c r="I228"/>
  <c r="K227"/>
  <c r="I227"/>
  <c r="K226"/>
  <c r="I226"/>
  <c r="I225"/>
  <c r="I224"/>
  <c r="K223"/>
  <c r="I223"/>
  <c r="K222"/>
  <c r="I222"/>
  <c r="K221"/>
  <c r="I221"/>
  <c r="K220"/>
  <c r="I220"/>
  <c r="K219"/>
  <c r="I219"/>
  <c r="K218"/>
  <c r="I218"/>
  <c r="K217"/>
  <c r="I217"/>
  <c r="K216"/>
  <c r="I216"/>
  <c r="K215"/>
  <c r="I215"/>
  <c r="K214"/>
  <c r="I214"/>
  <c r="K213"/>
  <c r="I213"/>
  <c r="K212"/>
  <c r="I212"/>
  <c r="K211"/>
  <c r="I211"/>
  <c r="K210"/>
  <c r="I210"/>
  <c r="K209"/>
  <c r="I209"/>
  <c r="I208"/>
  <c r="K207"/>
  <c r="I207"/>
  <c r="K206"/>
  <c r="I206"/>
  <c r="I205"/>
  <c r="K204"/>
  <c r="I204"/>
  <c r="K203"/>
  <c r="I203"/>
  <c r="K202"/>
  <c r="I202"/>
  <c r="K201"/>
  <c r="I201"/>
  <c r="K200"/>
  <c r="I200"/>
  <c r="I199"/>
  <c r="K198"/>
  <c r="I198"/>
  <c r="K197"/>
  <c r="I197"/>
  <c r="I196"/>
  <c r="K195"/>
  <c r="I195"/>
  <c r="K194"/>
  <c r="I194"/>
  <c r="K193"/>
  <c r="I193"/>
  <c r="I192"/>
  <c r="K191"/>
  <c r="I191"/>
  <c r="K190"/>
  <c r="I190"/>
  <c r="K189"/>
  <c r="I189"/>
  <c r="K188"/>
  <c r="I188"/>
  <c r="K187"/>
  <c r="I187"/>
  <c r="K186"/>
  <c r="I186"/>
  <c r="K185"/>
  <c r="I185"/>
  <c r="K184"/>
  <c r="I184"/>
  <c r="K183"/>
  <c r="I183"/>
  <c r="K182"/>
  <c r="I182"/>
  <c r="K181"/>
  <c r="I181"/>
  <c r="K180"/>
  <c r="I180"/>
  <c r="K179"/>
  <c r="I179"/>
  <c r="K178"/>
  <c r="I178"/>
  <c r="K177"/>
  <c r="I177"/>
  <c r="I176"/>
  <c r="K175"/>
  <c r="I175"/>
  <c r="K174"/>
  <c r="I174"/>
  <c r="K173"/>
  <c r="I173"/>
  <c r="K172"/>
  <c r="I172"/>
  <c r="K171"/>
  <c r="I171"/>
  <c r="K170"/>
  <c r="I170"/>
  <c r="K169"/>
  <c r="I169"/>
  <c r="K168"/>
  <c r="I168"/>
  <c r="I167"/>
  <c r="K166"/>
  <c r="I166"/>
  <c r="K165"/>
  <c r="I165"/>
  <c r="I164"/>
  <c r="K163"/>
  <c r="I163"/>
  <c r="K162"/>
  <c r="I162"/>
  <c r="K161"/>
  <c r="I161"/>
  <c r="K160"/>
  <c r="I160"/>
  <c r="I159"/>
  <c r="K158"/>
  <c r="I158"/>
  <c r="K157"/>
  <c r="I157"/>
  <c r="K156"/>
  <c r="I156"/>
  <c r="K155"/>
  <c r="I155"/>
  <c r="K154"/>
  <c r="I154"/>
  <c r="I153"/>
  <c r="K152"/>
  <c r="I152"/>
  <c r="K151"/>
  <c r="I151"/>
  <c r="K150"/>
  <c r="I150"/>
  <c r="K149"/>
  <c r="I149"/>
  <c r="I148"/>
  <c r="I147"/>
  <c r="K146"/>
  <c r="I146"/>
  <c r="K145"/>
  <c r="I145"/>
  <c r="K144"/>
  <c r="I144"/>
  <c r="I143"/>
  <c r="K142"/>
  <c r="I142"/>
  <c r="K141"/>
  <c r="I141"/>
  <c r="K140"/>
  <c r="I140"/>
  <c r="K139"/>
  <c r="I139"/>
  <c r="K138"/>
  <c r="I138"/>
  <c r="I137"/>
  <c r="I136"/>
  <c r="K135"/>
  <c r="I135"/>
  <c r="K134"/>
  <c r="I134"/>
  <c r="K133"/>
  <c r="I133"/>
  <c r="K132"/>
  <c r="I132"/>
  <c r="K131"/>
  <c r="I131"/>
  <c r="I130"/>
  <c r="K129"/>
  <c r="I129"/>
  <c r="K128"/>
  <c r="I128"/>
  <c r="K127"/>
  <c r="I127"/>
  <c r="K126"/>
  <c r="I126"/>
  <c r="K125"/>
  <c r="I125"/>
  <c r="K124"/>
  <c r="I124"/>
  <c r="I122"/>
  <c r="K121"/>
  <c r="I121"/>
  <c r="K120"/>
  <c r="I120"/>
  <c r="K119"/>
  <c r="I119"/>
  <c r="K118"/>
  <c r="I118"/>
  <c r="K117"/>
  <c r="I117"/>
  <c r="K116"/>
  <c r="I116"/>
  <c r="I115"/>
  <c r="K114"/>
  <c r="I114"/>
  <c r="K113"/>
  <c r="I113"/>
  <c r="I112"/>
  <c r="K111"/>
  <c r="I111"/>
  <c r="K110"/>
  <c r="I110"/>
  <c r="I109"/>
  <c r="I108"/>
  <c r="K107"/>
  <c r="I107"/>
  <c r="I106"/>
  <c r="I105"/>
  <c r="K104"/>
  <c r="I104"/>
  <c r="I103"/>
  <c r="I102"/>
  <c r="K101"/>
  <c r="I101"/>
  <c r="K100"/>
  <c r="I100"/>
  <c r="I99"/>
  <c r="K98"/>
  <c r="I98"/>
  <c r="I97"/>
  <c r="I96"/>
  <c r="K95"/>
  <c r="I95"/>
  <c r="K94"/>
  <c r="I94"/>
  <c r="K93"/>
  <c r="I93"/>
  <c r="I92"/>
  <c r="I91"/>
  <c r="I90"/>
  <c r="I89"/>
  <c r="I88"/>
  <c r="K87"/>
  <c r="I87"/>
  <c r="I86"/>
  <c r="K85"/>
  <c r="I85"/>
  <c r="K84"/>
  <c r="I84"/>
  <c r="K83"/>
  <c r="I83"/>
  <c r="K82"/>
  <c r="I82"/>
  <c r="K81"/>
  <c r="I81"/>
  <c r="K80"/>
  <c r="I80"/>
  <c r="I79"/>
  <c r="I78"/>
  <c r="I77"/>
  <c r="K76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K40"/>
  <c r="I40"/>
  <c r="I39"/>
  <c r="I38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N5" l="1"/>
  <c r="O5" s="1"/>
  <c r="N12"/>
  <c r="O12" s="1"/>
  <c r="N24"/>
  <c r="O24" s="1"/>
  <c r="N32"/>
  <c r="O32" s="1"/>
  <c r="N44"/>
  <c r="O44" s="1"/>
  <c r="N52"/>
  <c r="O52" s="1"/>
  <c r="N60"/>
  <c r="O60" s="1"/>
  <c r="N68"/>
  <c r="O68" s="1"/>
  <c r="N76"/>
  <c r="O76" s="1"/>
  <c r="N92"/>
  <c r="O92" s="1"/>
  <c r="N97"/>
  <c r="O97" s="1"/>
  <c r="N100"/>
  <c r="O100" s="1"/>
  <c r="N102"/>
  <c r="O102" s="1"/>
  <c r="N105"/>
  <c r="O105" s="1"/>
  <c r="N108"/>
  <c r="O108" s="1"/>
  <c r="N111"/>
  <c r="O111" s="1"/>
  <c r="N116"/>
  <c r="O116" s="1"/>
  <c r="N118"/>
  <c r="O118" s="1"/>
  <c r="N120"/>
  <c r="O120" s="1"/>
  <c r="N122"/>
  <c r="O122" s="1"/>
  <c r="N132"/>
  <c r="O132" s="1"/>
  <c r="N134"/>
  <c r="O134" s="1"/>
  <c r="N136"/>
  <c r="O136" s="1"/>
  <c r="N139"/>
  <c r="O139" s="1"/>
  <c r="N141"/>
  <c r="O141" s="1"/>
  <c r="N143"/>
  <c r="O143" s="1"/>
  <c r="N148"/>
  <c r="O148" s="1"/>
  <c r="N155"/>
  <c r="O155" s="1"/>
  <c r="N157"/>
  <c r="O157" s="1"/>
  <c r="N159"/>
  <c r="O159" s="1"/>
  <c r="N166"/>
  <c r="O166" s="1"/>
  <c r="N177"/>
  <c r="O177" s="1"/>
  <c r="N179"/>
  <c r="O179" s="1"/>
  <c r="N181"/>
  <c r="O181" s="1"/>
  <c r="N183"/>
  <c r="O183" s="1"/>
  <c r="N185"/>
  <c r="O185" s="1"/>
  <c r="N187"/>
  <c r="O187" s="1"/>
  <c r="N189"/>
  <c r="O189" s="1"/>
  <c r="N191"/>
  <c r="O191" s="1"/>
  <c r="N193"/>
  <c r="O193" s="1"/>
  <c r="N195"/>
  <c r="O195" s="1"/>
  <c r="N200"/>
  <c r="O200" s="1"/>
  <c r="N202"/>
  <c r="O202" s="1"/>
  <c r="N204"/>
  <c r="O204" s="1"/>
  <c r="N209"/>
  <c r="O209" s="1"/>
  <c r="N211"/>
  <c r="O211" s="1"/>
  <c r="N213"/>
  <c r="O213" s="1"/>
  <c r="N215"/>
  <c r="O215" s="1"/>
  <c r="N217"/>
  <c r="O217" s="1"/>
  <c r="N219"/>
  <c r="O219" s="1"/>
  <c r="N221"/>
  <c r="O221" s="1"/>
  <c r="N223"/>
  <c r="O223" s="1"/>
  <c r="N226"/>
  <c r="O226" s="1"/>
  <c r="N228"/>
  <c r="O228" s="1"/>
  <c r="N230"/>
  <c r="O230" s="1"/>
  <c r="N249"/>
  <c r="O249" s="1"/>
  <c r="N251"/>
  <c r="O251" s="1"/>
  <c r="N253"/>
  <c r="O253" s="1"/>
  <c r="N255"/>
  <c r="O255" s="1"/>
  <c r="N257"/>
  <c r="O257" s="1"/>
  <c r="N259"/>
  <c r="O259" s="1"/>
  <c r="N261"/>
  <c r="O261" s="1"/>
  <c r="N263"/>
  <c r="O263" s="1"/>
  <c r="N265"/>
  <c r="O265" s="1"/>
  <c r="N267"/>
  <c r="O267" s="1"/>
  <c r="N269"/>
  <c r="O269" s="1"/>
  <c r="N271"/>
  <c r="O271" s="1"/>
  <c r="N286"/>
  <c r="O286" s="1"/>
  <c r="N288"/>
  <c r="O288" s="1"/>
  <c r="N290"/>
  <c r="O290" s="1"/>
  <c r="N292"/>
  <c r="O292" s="1"/>
  <c r="N295"/>
  <c r="O295" s="1"/>
  <c r="N297"/>
  <c r="O297" s="1"/>
  <c r="N299"/>
  <c r="O299" s="1"/>
  <c r="N301"/>
  <c r="O301" s="1"/>
  <c r="N303"/>
  <c r="O303" s="1"/>
  <c r="N305"/>
  <c r="O305" s="1"/>
  <c r="N307"/>
  <c r="O307" s="1"/>
  <c r="N309"/>
  <c r="O309" s="1"/>
  <c r="N311"/>
  <c r="O311" s="1"/>
  <c r="N313"/>
  <c r="O313" s="1"/>
  <c r="N315"/>
  <c r="O315" s="1"/>
  <c r="N317"/>
  <c r="O317" s="1"/>
  <c r="N319"/>
  <c r="O319" s="1"/>
  <c r="N321"/>
  <c r="O321" s="1"/>
  <c r="N323"/>
  <c r="O323" s="1"/>
  <c r="N325"/>
  <c r="O325" s="1"/>
  <c r="N328"/>
  <c r="O328" s="1"/>
  <c r="N349"/>
  <c r="O349" s="1"/>
  <c r="N368"/>
  <c r="O368" s="1"/>
  <c r="N383"/>
  <c r="O383" s="1"/>
  <c r="N385"/>
  <c r="O385" s="1"/>
  <c r="N387"/>
  <c r="O387" s="1"/>
  <c r="N389"/>
  <c r="O389" s="1"/>
  <c r="N391"/>
  <c r="O391" s="1"/>
  <c r="N393"/>
  <c r="O393" s="1"/>
  <c r="N395"/>
  <c r="O395" s="1"/>
  <c r="N397"/>
  <c r="O397" s="1"/>
  <c r="N399"/>
  <c r="O399" s="1"/>
  <c r="N401"/>
  <c r="O401" s="1"/>
  <c r="N403"/>
  <c r="O403" s="1"/>
  <c r="N405"/>
  <c r="O405" s="1"/>
  <c r="N407"/>
  <c r="O407" s="1"/>
  <c r="N409"/>
  <c r="O409" s="1"/>
  <c r="N411"/>
  <c r="O411" s="1"/>
  <c r="N413"/>
  <c r="O413" s="1"/>
  <c r="N415"/>
  <c r="O415" s="1"/>
  <c r="N417"/>
  <c r="O417" s="1"/>
  <c r="N419"/>
  <c r="O419" s="1"/>
  <c r="N421"/>
  <c r="O421" s="1"/>
  <c r="N424"/>
  <c r="O424" s="1"/>
  <c r="N426"/>
  <c r="O426" s="1"/>
  <c r="N428"/>
  <c r="O428" s="1"/>
  <c r="N447"/>
  <c r="O447" s="1"/>
  <c r="N449"/>
  <c r="O449" s="1"/>
  <c r="N451"/>
  <c r="O451" s="1"/>
  <c r="N453"/>
  <c r="O453" s="1"/>
  <c r="N455"/>
  <c r="O455" s="1"/>
  <c r="N457"/>
  <c r="O457" s="1"/>
  <c r="N459"/>
  <c r="O459" s="1"/>
  <c r="N461"/>
  <c r="O461" s="1"/>
  <c r="N463"/>
  <c r="O463" s="1"/>
  <c r="N465"/>
  <c r="O465" s="1"/>
  <c r="N467"/>
  <c r="O467" s="1"/>
  <c r="N469"/>
  <c r="O469" s="1"/>
  <c r="N471"/>
  <c r="O471" s="1"/>
  <c r="N473"/>
  <c r="O473" s="1"/>
  <c r="N475"/>
  <c r="O475" s="1"/>
  <c r="N477"/>
  <c r="O477" s="1"/>
  <c r="N479"/>
  <c r="O479" s="1"/>
  <c r="N481"/>
  <c r="O481" s="1"/>
  <c r="N483"/>
  <c r="O483" s="1"/>
  <c r="N485"/>
  <c r="O485" s="1"/>
  <c r="N487"/>
  <c r="O487" s="1"/>
  <c r="N489"/>
  <c r="O489" s="1"/>
  <c r="N491"/>
  <c r="O491" s="1"/>
  <c r="N493"/>
  <c r="O493" s="1"/>
  <c r="N495"/>
  <c r="O495" s="1"/>
  <c r="N497"/>
  <c r="O497" s="1"/>
  <c r="N499"/>
  <c r="O499" s="1"/>
  <c r="N501"/>
  <c r="O501" s="1"/>
  <c r="N503"/>
  <c r="O503" s="1"/>
  <c r="N505"/>
  <c r="O505" s="1"/>
  <c r="N510"/>
  <c r="O510" s="1"/>
  <c r="N512"/>
  <c r="O512" s="1"/>
  <c r="N514"/>
  <c r="O514" s="1"/>
  <c r="N516"/>
  <c r="O516" s="1"/>
  <c r="N518"/>
  <c r="O518" s="1"/>
  <c r="N520"/>
  <c r="O520" s="1"/>
  <c r="N522"/>
  <c r="O522" s="1"/>
  <c r="N524"/>
  <c r="O524" s="1"/>
  <c r="N526"/>
  <c r="O526" s="1"/>
  <c r="N528"/>
  <c r="O528" s="1"/>
  <c r="N530"/>
  <c r="O530" s="1"/>
  <c r="N532"/>
  <c r="O532" s="1"/>
  <c r="N534"/>
  <c r="O534" s="1"/>
  <c r="N536"/>
  <c r="O536" s="1"/>
  <c r="N538"/>
  <c r="O538" s="1"/>
  <c r="N540"/>
  <c r="O540" s="1"/>
  <c r="N8"/>
  <c r="O8" s="1"/>
  <c r="N16"/>
  <c r="O16" s="1"/>
  <c r="N28"/>
  <c r="O28" s="1"/>
  <c r="N36"/>
  <c r="O36" s="1"/>
  <c r="N48"/>
  <c r="O48" s="1"/>
  <c r="N56"/>
  <c r="O56" s="1"/>
  <c r="N64"/>
  <c r="O64" s="1"/>
  <c r="N72"/>
  <c r="O72" s="1"/>
  <c r="N79"/>
  <c r="O79" s="1"/>
  <c r="N88"/>
  <c r="O88" s="1"/>
  <c r="N3"/>
  <c r="O3" s="1"/>
  <c r="N7"/>
  <c r="O7" s="1"/>
  <c r="N11"/>
  <c r="O11" s="1"/>
  <c r="N15"/>
  <c r="O15" s="1"/>
  <c r="N19"/>
  <c r="O19" s="1"/>
  <c r="N23"/>
  <c r="O23" s="1"/>
  <c r="N27"/>
  <c r="O27" s="1"/>
  <c r="N31"/>
  <c r="O31" s="1"/>
  <c r="N35"/>
  <c r="O35" s="1"/>
  <c r="N40"/>
  <c r="O40" s="1"/>
  <c r="N43"/>
  <c r="O43" s="1"/>
  <c r="N47"/>
  <c r="O47" s="1"/>
  <c r="N51"/>
  <c r="O51" s="1"/>
  <c r="N55"/>
  <c r="O55" s="1"/>
  <c r="N59"/>
  <c r="O59" s="1"/>
  <c r="N63"/>
  <c r="O63" s="1"/>
  <c r="N67"/>
  <c r="O67" s="1"/>
  <c r="N71"/>
  <c r="O71" s="1"/>
  <c r="N75"/>
  <c r="O75" s="1"/>
  <c r="N78"/>
  <c r="O78" s="1"/>
  <c r="N81"/>
  <c r="O81" s="1"/>
  <c r="N83"/>
  <c r="O83" s="1"/>
  <c r="N85"/>
  <c r="O85" s="1"/>
  <c r="N91"/>
  <c r="O91" s="1"/>
  <c r="N94"/>
  <c r="O94" s="1"/>
  <c r="N96"/>
  <c r="O96" s="1"/>
  <c r="N99"/>
  <c r="O99" s="1"/>
  <c r="N113"/>
  <c r="O113" s="1"/>
  <c r="N115"/>
  <c r="O115" s="1"/>
  <c r="N125"/>
  <c r="O125" s="1"/>
  <c r="N127"/>
  <c r="O127" s="1"/>
  <c r="N129"/>
  <c r="O129" s="1"/>
  <c r="N145"/>
  <c r="O145" s="1"/>
  <c r="N147"/>
  <c r="O147" s="1"/>
  <c r="N150"/>
  <c r="O150" s="1"/>
  <c r="N152"/>
  <c r="O152" s="1"/>
  <c r="N161"/>
  <c r="O161" s="1"/>
  <c r="N163"/>
  <c r="O163" s="1"/>
  <c r="N168"/>
  <c r="O168" s="1"/>
  <c r="N170"/>
  <c r="O170" s="1"/>
  <c r="N172"/>
  <c r="O172" s="1"/>
  <c r="N174"/>
  <c r="O174" s="1"/>
  <c r="N176"/>
  <c r="O176" s="1"/>
  <c r="N197"/>
  <c r="O197" s="1"/>
  <c r="N199"/>
  <c r="O199" s="1"/>
  <c r="N206"/>
  <c r="O206" s="1"/>
  <c r="N208"/>
  <c r="O208" s="1"/>
  <c r="N225"/>
  <c r="O225" s="1"/>
  <c r="N232"/>
  <c r="O232" s="1"/>
  <c r="N234"/>
  <c r="O234" s="1"/>
  <c r="N236"/>
  <c r="O236" s="1"/>
  <c r="N238"/>
  <c r="O238" s="1"/>
  <c r="N240"/>
  <c r="O240" s="1"/>
  <c r="N242"/>
  <c r="O242" s="1"/>
  <c r="N244"/>
  <c r="O244" s="1"/>
  <c r="N246"/>
  <c r="O246" s="1"/>
  <c r="N279"/>
  <c r="O279" s="1"/>
  <c r="N281"/>
  <c r="O281" s="1"/>
  <c r="N283"/>
  <c r="O283" s="1"/>
  <c r="N285"/>
  <c r="O285" s="1"/>
  <c r="N327"/>
  <c r="O327" s="1"/>
  <c r="N330"/>
  <c r="O330" s="1"/>
  <c r="N332"/>
  <c r="O332" s="1"/>
  <c r="N334"/>
  <c r="O334" s="1"/>
  <c r="N336"/>
  <c r="O336" s="1"/>
  <c r="N338"/>
  <c r="O338" s="1"/>
  <c r="N340"/>
  <c r="O340" s="1"/>
  <c r="N342"/>
  <c r="O342" s="1"/>
  <c r="N351"/>
  <c r="O351" s="1"/>
  <c r="N353"/>
  <c r="O353" s="1"/>
  <c r="N355"/>
  <c r="O355" s="1"/>
  <c r="N357"/>
  <c r="O357" s="1"/>
  <c r="N359"/>
  <c r="O359" s="1"/>
  <c r="N361"/>
  <c r="O361" s="1"/>
  <c r="N363"/>
  <c r="O363" s="1"/>
  <c r="N365"/>
  <c r="O365" s="1"/>
  <c r="N367"/>
  <c r="O367" s="1"/>
  <c r="N370"/>
  <c r="O370" s="1"/>
  <c r="N372"/>
  <c r="O372" s="1"/>
  <c r="N374"/>
  <c r="O374" s="1"/>
  <c r="N376"/>
  <c r="O376" s="1"/>
  <c r="N378"/>
  <c r="O378" s="1"/>
  <c r="N380"/>
  <c r="O380" s="1"/>
  <c r="N382"/>
  <c r="O382" s="1"/>
  <c r="N430"/>
  <c r="O430" s="1"/>
  <c r="N432"/>
  <c r="O432" s="1"/>
  <c r="N434"/>
  <c r="O434" s="1"/>
  <c r="N436"/>
  <c r="O436" s="1"/>
  <c r="N438"/>
  <c r="O438" s="1"/>
  <c r="N440"/>
  <c r="O440" s="1"/>
  <c r="N442"/>
  <c r="O442" s="1"/>
  <c r="N444"/>
  <c r="O444" s="1"/>
  <c r="N507"/>
  <c r="O507" s="1"/>
  <c r="N4"/>
  <c r="O4" s="1"/>
  <c r="N20"/>
  <c r="O20" s="1"/>
  <c r="N2"/>
  <c r="O2" s="1"/>
  <c r="N6"/>
  <c r="O6" s="1"/>
  <c r="N10"/>
  <c r="O10" s="1"/>
  <c r="N14"/>
  <c r="O14" s="1"/>
  <c r="N18"/>
  <c r="O18" s="1"/>
  <c r="N22"/>
  <c r="O22" s="1"/>
  <c r="N26"/>
  <c r="O26" s="1"/>
  <c r="N30"/>
  <c r="O30" s="1"/>
  <c r="N34"/>
  <c r="O34" s="1"/>
  <c r="N39"/>
  <c r="O39" s="1"/>
  <c r="N42"/>
  <c r="O42" s="1"/>
  <c r="N46"/>
  <c r="O46" s="1"/>
  <c r="N50"/>
  <c r="O50" s="1"/>
  <c r="N54"/>
  <c r="O54" s="1"/>
  <c r="N58"/>
  <c r="O58" s="1"/>
  <c r="N62"/>
  <c r="O62" s="1"/>
  <c r="N66"/>
  <c r="O66" s="1"/>
  <c r="N70"/>
  <c r="O70" s="1"/>
  <c r="N74"/>
  <c r="O74" s="1"/>
  <c r="N77"/>
  <c r="O77" s="1"/>
  <c r="N87"/>
  <c r="O87" s="1"/>
  <c r="N90"/>
  <c r="O90" s="1"/>
  <c r="N101"/>
  <c r="O101" s="1"/>
  <c r="N104"/>
  <c r="O104" s="1"/>
  <c r="N107"/>
  <c r="O107" s="1"/>
  <c r="N110"/>
  <c r="O110" s="1"/>
  <c r="N112"/>
  <c r="O112" s="1"/>
  <c r="N117"/>
  <c r="O117" s="1"/>
  <c r="N119"/>
  <c r="O119" s="1"/>
  <c r="N121"/>
  <c r="O121" s="1"/>
  <c r="N131"/>
  <c r="O131" s="1"/>
  <c r="N133"/>
  <c r="O133" s="1"/>
  <c r="N135"/>
  <c r="O135" s="1"/>
  <c r="N138"/>
  <c r="O138" s="1"/>
  <c r="N140"/>
  <c r="O140" s="1"/>
  <c r="N142"/>
  <c r="O142" s="1"/>
  <c r="N154"/>
  <c r="O154" s="1"/>
  <c r="N156"/>
  <c r="O156" s="1"/>
  <c r="N158"/>
  <c r="O158" s="1"/>
  <c r="N165"/>
  <c r="O165" s="1"/>
  <c r="N167"/>
  <c r="O167" s="1"/>
  <c r="N178"/>
  <c r="O178" s="1"/>
  <c r="N180"/>
  <c r="O180" s="1"/>
  <c r="N182"/>
  <c r="O182" s="1"/>
  <c r="N184"/>
  <c r="O184" s="1"/>
  <c r="N186"/>
  <c r="O186" s="1"/>
  <c r="N188"/>
  <c r="O188" s="1"/>
  <c r="N190"/>
  <c r="O190" s="1"/>
  <c r="N192"/>
  <c r="O192" s="1"/>
  <c r="N194"/>
  <c r="O194" s="1"/>
  <c r="N196"/>
  <c r="O196" s="1"/>
  <c r="N201"/>
  <c r="O201" s="1"/>
  <c r="N203"/>
  <c r="O203" s="1"/>
  <c r="N205"/>
  <c r="O205" s="1"/>
  <c r="N210"/>
  <c r="O210" s="1"/>
  <c r="N212"/>
  <c r="O212" s="1"/>
  <c r="N214"/>
  <c r="O214" s="1"/>
  <c r="N216"/>
  <c r="O216" s="1"/>
  <c r="N218"/>
  <c r="O218" s="1"/>
  <c r="N220"/>
  <c r="O220" s="1"/>
  <c r="N222"/>
  <c r="O222" s="1"/>
  <c r="N224"/>
  <c r="O224" s="1"/>
  <c r="N227"/>
  <c r="O227" s="1"/>
  <c r="N229"/>
  <c r="O229" s="1"/>
  <c r="N248"/>
  <c r="O248" s="1"/>
  <c r="N250"/>
  <c r="O250" s="1"/>
  <c r="N252"/>
  <c r="O252" s="1"/>
  <c r="N254"/>
  <c r="O254" s="1"/>
  <c r="N256"/>
  <c r="O256" s="1"/>
  <c r="N258"/>
  <c r="O258" s="1"/>
  <c r="N260"/>
  <c r="O260" s="1"/>
  <c r="N262"/>
  <c r="O262" s="1"/>
  <c r="N264"/>
  <c r="O264" s="1"/>
  <c r="N266"/>
  <c r="O266" s="1"/>
  <c r="N268"/>
  <c r="O268" s="1"/>
  <c r="N270"/>
  <c r="O270" s="1"/>
  <c r="N287"/>
  <c r="O287" s="1"/>
  <c r="N289"/>
  <c r="O289" s="1"/>
  <c r="N291"/>
  <c r="O291" s="1"/>
  <c r="N294"/>
  <c r="O294" s="1"/>
  <c r="N296"/>
  <c r="O296" s="1"/>
  <c r="N298"/>
  <c r="O298" s="1"/>
  <c r="N300"/>
  <c r="O300" s="1"/>
  <c r="N302"/>
  <c r="O302" s="1"/>
  <c r="N304"/>
  <c r="O304" s="1"/>
  <c r="N306"/>
  <c r="O306" s="1"/>
  <c r="N308"/>
  <c r="O308" s="1"/>
  <c r="N310"/>
  <c r="O310" s="1"/>
  <c r="N312"/>
  <c r="O312" s="1"/>
  <c r="N314"/>
  <c r="O314" s="1"/>
  <c r="N316"/>
  <c r="O316" s="1"/>
  <c r="N318"/>
  <c r="O318" s="1"/>
  <c r="N320"/>
  <c r="O320" s="1"/>
  <c r="N322"/>
  <c r="O322" s="1"/>
  <c r="N324"/>
  <c r="O324" s="1"/>
  <c r="N326"/>
  <c r="O326" s="1"/>
  <c r="N384"/>
  <c r="O384" s="1"/>
  <c r="N386"/>
  <c r="O386" s="1"/>
  <c r="N388"/>
  <c r="O388" s="1"/>
  <c r="N390"/>
  <c r="O390" s="1"/>
  <c r="N392"/>
  <c r="O392" s="1"/>
  <c r="N394"/>
  <c r="O394" s="1"/>
  <c r="N396"/>
  <c r="O396" s="1"/>
  <c r="N398"/>
  <c r="O398" s="1"/>
  <c r="N400"/>
  <c r="O400" s="1"/>
  <c r="N402"/>
  <c r="O402" s="1"/>
  <c r="N404"/>
  <c r="O404" s="1"/>
  <c r="N406"/>
  <c r="O406" s="1"/>
  <c r="N408"/>
  <c r="O408" s="1"/>
  <c r="N410"/>
  <c r="O410" s="1"/>
  <c r="N412"/>
  <c r="O412" s="1"/>
  <c r="N414"/>
  <c r="O414" s="1"/>
  <c r="N416"/>
  <c r="O416" s="1"/>
  <c r="N418"/>
  <c r="O418" s="1"/>
  <c r="N420"/>
  <c r="O420" s="1"/>
  <c r="N423"/>
  <c r="O423" s="1"/>
  <c r="N425"/>
  <c r="O425" s="1"/>
  <c r="N427"/>
  <c r="O427" s="1"/>
  <c r="N448"/>
  <c r="O448" s="1"/>
  <c r="N450"/>
  <c r="O450" s="1"/>
  <c r="N452"/>
  <c r="O452" s="1"/>
  <c r="N454"/>
  <c r="O454" s="1"/>
  <c r="N456"/>
  <c r="O456" s="1"/>
  <c r="N458"/>
  <c r="O458" s="1"/>
  <c r="N460"/>
  <c r="O460" s="1"/>
  <c r="N462"/>
  <c r="O462" s="1"/>
  <c r="N464"/>
  <c r="O464" s="1"/>
  <c r="N466"/>
  <c r="O466" s="1"/>
  <c r="N468"/>
  <c r="O468" s="1"/>
  <c r="N470"/>
  <c r="O470" s="1"/>
  <c r="N472"/>
  <c r="O472" s="1"/>
  <c r="N474"/>
  <c r="O474" s="1"/>
  <c r="N476"/>
  <c r="O476" s="1"/>
  <c r="N478"/>
  <c r="O478" s="1"/>
  <c r="N480"/>
  <c r="O480" s="1"/>
  <c r="N482"/>
  <c r="O482" s="1"/>
  <c r="N484"/>
  <c r="O484" s="1"/>
  <c r="N486"/>
  <c r="O486" s="1"/>
  <c r="N488"/>
  <c r="O488" s="1"/>
  <c r="N490"/>
  <c r="O490" s="1"/>
  <c r="N492"/>
  <c r="O492" s="1"/>
  <c r="N494"/>
  <c r="O494" s="1"/>
  <c r="N496"/>
  <c r="O496" s="1"/>
  <c r="N498"/>
  <c r="O498" s="1"/>
  <c r="N500"/>
  <c r="O500" s="1"/>
  <c r="N502"/>
  <c r="O502" s="1"/>
  <c r="N504"/>
  <c r="O504" s="1"/>
  <c r="N506"/>
  <c r="O506" s="1"/>
  <c r="N509"/>
  <c r="O509" s="1"/>
  <c r="N511"/>
  <c r="O511" s="1"/>
  <c r="N513"/>
  <c r="O513" s="1"/>
  <c r="N515"/>
  <c r="O515" s="1"/>
  <c r="N517"/>
  <c r="O517" s="1"/>
  <c r="N519"/>
  <c r="O519" s="1"/>
  <c r="N521"/>
  <c r="O521" s="1"/>
  <c r="N523"/>
  <c r="O523" s="1"/>
  <c r="N525"/>
  <c r="O525" s="1"/>
  <c r="N527"/>
  <c r="O527" s="1"/>
  <c r="N529"/>
  <c r="O529" s="1"/>
  <c r="N531"/>
  <c r="O531" s="1"/>
  <c r="N533"/>
  <c r="O533" s="1"/>
  <c r="N535"/>
  <c r="O535" s="1"/>
  <c r="N537"/>
  <c r="O537" s="1"/>
  <c r="N539"/>
  <c r="O539" s="1"/>
  <c r="N9"/>
  <c r="O9" s="1"/>
  <c r="N13"/>
  <c r="O13" s="1"/>
  <c r="N17"/>
  <c r="O17" s="1"/>
  <c r="N21"/>
  <c r="O21" s="1"/>
  <c r="N25"/>
  <c r="O25" s="1"/>
  <c r="N29"/>
  <c r="O29" s="1"/>
  <c r="N33"/>
  <c r="O33" s="1"/>
  <c r="N38"/>
  <c r="O38" s="1"/>
  <c r="N41"/>
  <c r="O41" s="1"/>
  <c r="N45"/>
  <c r="O45" s="1"/>
  <c r="N49"/>
  <c r="O49" s="1"/>
  <c r="N53"/>
  <c r="O53" s="1"/>
  <c r="N57"/>
  <c r="O57" s="1"/>
  <c r="N61"/>
  <c r="O61" s="1"/>
  <c r="N65"/>
  <c r="O65" s="1"/>
  <c r="N69"/>
  <c r="O69" s="1"/>
  <c r="N73"/>
  <c r="O73" s="1"/>
  <c r="N80"/>
  <c r="O80" s="1"/>
  <c r="N82"/>
  <c r="O82" s="1"/>
  <c r="N84"/>
  <c r="O84" s="1"/>
  <c r="N86"/>
  <c r="O86" s="1"/>
  <c r="N89"/>
  <c r="O89" s="1"/>
  <c r="N93"/>
  <c r="O93" s="1"/>
  <c r="N95"/>
  <c r="O95" s="1"/>
  <c r="N98"/>
  <c r="O98" s="1"/>
  <c r="N103"/>
  <c r="O103" s="1"/>
  <c r="N106"/>
  <c r="O106" s="1"/>
  <c r="N109"/>
  <c r="O109" s="1"/>
  <c r="N114"/>
  <c r="O114" s="1"/>
  <c r="N124"/>
  <c r="O124" s="1"/>
  <c r="N126"/>
  <c r="O126" s="1"/>
  <c r="N128"/>
  <c r="O128" s="1"/>
  <c r="N130"/>
  <c r="O130" s="1"/>
  <c r="N137"/>
  <c r="O137" s="1"/>
  <c r="N144"/>
  <c r="O144" s="1"/>
  <c r="N146"/>
  <c r="O146" s="1"/>
  <c r="N149"/>
  <c r="O149" s="1"/>
  <c r="N151"/>
  <c r="O151" s="1"/>
  <c r="N153"/>
  <c r="O153" s="1"/>
  <c r="N160"/>
  <c r="O160" s="1"/>
  <c r="N162"/>
  <c r="O162" s="1"/>
  <c r="N164"/>
  <c r="O164" s="1"/>
  <c r="N169"/>
  <c r="O169" s="1"/>
  <c r="N171"/>
  <c r="O171" s="1"/>
  <c r="N173"/>
  <c r="O173" s="1"/>
  <c r="N175"/>
  <c r="O175" s="1"/>
  <c r="N198"/>
  <c r="O198" s="1"/>
  <c r="N207"/>
  <c r="O207" s="1"/>
  <c r="N231"/>
  <c r="O231" s="1"/>
  <c r="N233"/>
  <c r="O233" s="1"/>
  <c r="N235"/>
  <c r="O235" s="1"/>
  <c r="N237"/>
  <c r="O237" s="1"/>
  <c r="N239"/>
  <c r="O239" s="1"/>
  <c r="N241"/>
  <c r="O241" s="1"/>
  <c r="N243"/>
  <c r="O243" s="1"/>
  <c r="N245"/>
  <c r="O245" s="1"/>
  <c r="N247"/>
  <c r="O247" s="1"/>
  <c r="N280"/>
  <c r="O280" s="1"/>
  <c r="N282"/>
  <c r="O282" s="1"/>
  <c r="N284"/>
  <c r="O284" s="1"/>
  <c r="N293"/>
  <c r="O293" s="1"/>
  <c r="N329"/>
  <c r="O329" s="1"/>
  <c r="N331"/>
  <c r="O331" s="1"/>
  <c r="N333"/>
  <c r="O333" s="1"/>
  <c r="N335"/>
  <c r="O335" s="1"/>
  <c r="N337"/>
  <c r="O337" s="1"/>
  <c r="N339"/>
  <c r="O339" s="1"/>
  <c r="N341"/>
  <c r="O341" s="1"/>
  <c r="N343"/>
  <c r="O343" s="1"/>
  <c r="N352"/>
  <c r="O352" s="1"/>
  <c r="N354"/>
  <c r="O354" s="1"/>
  <c r="N356"/>
  <c r="O356" s="1"/>
  <c r="N358"/>
  <c r="O358" s="1"/>
  <c r="N360"/>
  <c r="O360" s="1"/>
  <c r="N362"/>
  <c r="O362" s="1"/>
  <c r="N364"/>
  <c r="O364" s="1"/>
  <c r="N366"/>
  <c r="O366" s="1"/>
  <c r="N369"/>
  <c r="O369" s="1"/>
  <c r="N371"/>
  <c r="O371" s="1"/>
  <c r="N373"/>
  <c r="O373" s="1"/>
  <c r="N375"/>
  <c r="O375" s="1"/>
  <c r="N377"/>
  <c r="O377" s="1"/>
  <c r="N379"/>
  <c r="O379" s="1"/>
  <c r="N381"/>
  <c r="O381" s="1"/>
  <c r="N429"/>
  <c r="O429" s="1"/>
  <c r="N431"/>
  <c r="O431" s="1"/>
  <c r="N433"/>
  <c r="O433" s="1"/>
  <c r="N435"/>
  <c r="O435" s="1"/>
  <c r="N437"/>
  <c r="O437" s="1"/>
  <c r="N439"/>
  <c r="O439" s="1"/>
  <c r="N441"/>
  <c r="O441" s="1"/>
  <c r="N443"/>
  <c r="O443" s="1"/>
  <c r="N445"/>
  <c r="O445" s="1"/>
  <c r="N508"/>
  <c r="O508" s="1"/>
  <c r="I725" i="1"/>
  <c r="I724"/>
  <c r="I723"/>
  <c r="I722"/>
  <c r="I721"/>
  <c r="I720"/>
  <c r="I719"/>
  <c r="I718"/>
  <c r="I717"/>
  <c r="I716"/>
  <c r="I715"/>
  <c r="I714"/>
  <c r="I713"/>
  <c r="I712"/>
  <c r="I711"/>
  <c r="I710" l="1"/>
  <c r="I709"/>
  <c r="I708"/>
  <c r="I707"/>
  <c r="I706"/>
  <c r="I705"/>
  <c r="I704"/>
  <c r="I703" l="1"/>
  <c r="I702"/>
  <c r="I701"/>
  <c r="I700"/>
  <c r="I699"/>
  <c r="I698"/>
  <c r="I697"/>
  <c r="I696"/>
  <c r="I695"/>
  <c r="I694"/>
  <c r="I693"/>
  <c r="I692"/>
  <c r="I691"/>
  <c r="I690"/>
  <c r="I689" l="1"/>
  <c r="I688"/>
  <c r="I687"/>
  <c r="I686"/>
  <c r="I685"/>
  <c r="I684"/>
  <c r="I683"/>
  <c r="I682"/>
  <c r="I681"/>
  <c r="I680"/>
  <c r="I679"/>
  <c r="I678"/>
  <c r="I677"/>
  <c r="I676"/>
  <c r="I675"/>
  <c r="I674"/>
  <c r="I673"/>
  <c r="I672"/>
  <c r="I671"/>
  <c r="I670"/>
  <c r="I669"/>
  <c r="I668"/>
  <c r="I667"/>
  <c r="I666"/>
  <c r="I665"/>
  <c r="I664"/>
  <c r="I663"/>
  <c r="I662"/>
  <c r="I661"/>
  <c r="I660"/>
  <c r="I659" l="1"/>
  <c r="I658"/>
  <c r="I657"/>
  <c r="I656"/>
  <c r="I655"/>
  <c r="I654"/>
  <c r="I653"/>
  <c r="I652"/>
  <c r="I651"/>
  <c r="I650"/>
  <c r="I649"/>
  <c r="I648" l="1"/>
  <c r="I647"/>
  <c r="I646"/>
  <c r="I645" l="1"/>
  <c r="I644"/>
  <c r="I643"/>
  <c r="I642"/>
  <c r="I641"/>
  <c r="I640"/>
  <c r="I639"/>
  <c r="I638"/>
  <c r="I637"/>
  <c r="I636"/>
  <c r="I635"/>
  <c r="I634"/>
  <c r="I633"/>
  <c r="I632"/>
  <c r="I631" l="1"/>
  <c r="I630"/>
  <c r="I629"/>
  <c r="I628"/>
  <c r="I627"/>
  <c r="I626" l="1"/>
  <c r="I625"/>
  <c r="I624"/>
  <c r="I623" l="1"/>
  <c r="I622"/>
  <c r="I621"/>
  <c r="I620"/>
  <c r="I619"/>
  <c r="I618"/>
  <c r="I617"/>
  <c r="I616"/>
  <c r="I615"/>
  <c r="I614"/>
  <c r="I613"/>
  <c r="I612"/>
  <c r="I611"/>
  <c r="I610"/>
  <c r="I609"/>
  <c r="I608"/>
  <c r="I607"/>
  <c r="I606"/>
  <c r="I605" l="1"/>
  <c r="I604"/>
  <c r="I603"/>
  <c r="I602"/>
  <c r="I601"/>
  <c r="I600"/>
  <c r="I599"/>
  <c r="I598"/>
  <c r="I597" l="1"/>
  <c r="I596"/>
  <c r="I595"/>
  <c r="I594"/>
  <c r="I593"/>
  <c r="I592"/>
  <c r="I591" l="1"/>
  <c r="I590"/>
  <c r="I589"/>
  <c r="I588"/>
  <c r="I587"/>
  <c r="I586"/>
  <c r="I585"/>
  <c r="I584"/>
  <c r="I583"/>
  <c r="I582"/>
  <c r="I581"/>
  <c r="I580" l="1"/>
  <c r="I579" l="1"/>
  <c r="I578"/>
  <c r="I577" l="1"/>
  <c r="I575"/>
  <c r="I574"/>
  <c r="I573"/>
  <c r="I572"/>
  <c r="I571"/>
  <c r="I570" l="1"/>
  <c r="I569"/>
  <c r="I568"/>
  <c r="I567"/>
  <c r="I566"/>
  <c r="I565"/>
  <c r="I564"/>
  <c r="I563"/>
  <c r="I562"/>
  <c r="I561"/>
  <c r="I560"/>
  <c r="I559"/>
  <c r="I558"/>
  <c r="I557"/>
  <c r="I556" l="1"/>
  <c r="I555"/>
  <c r="I554"/>
  <c r="I553"/>
  <c r="I552"/>
  <c r="I551" l="1"/>
  <c r="I550"/>
  <c r="I549"/>
  <c r="I548"/>
  <c r="I547"/>
  <c r="I546"/>
  <c r="I545"/>
  <c r="I544"/>
  <c r="I543"/>
  <c r="I542"/>
  <c r="I541"/>
  <c r="I540"/>
  <c r="I539"/>
  <c r="I538"/>
  <c r="I537" l="1"/>
  <c r="I536"/>
  <c r="I535"/>
  <c r="I534"/>
  <c r="I533"/>
  <c r="I532"/>
  <c r="F531"/>
  <c r="I530"/>
  <c r="I529"/>
  <c r="I528" l="1"/>
  <c r="I527"/>
  <c r="I526"/>
  <c r="I525"/>
  <c r="I524"/>
  <c r="I523"/>
  <c r="I522"/>
  <c r="I521"/>
  <c r="I520"/>
  <c r="I519"/>
  <c r="I518"/>
  <c r="I517" l="1"/>
  <c r="I516"/>
  <c r="I515"/>
  <c r="I514"/>
  <c r="I513"/>
  <c r="I512"/>
  <c r="I511"/>
  <c r="I510"/>
  <c r="I509"/>
  <c r="I508"/>
  <c r="I507"/>
  <c r="I506"/>
  <c r="I505"/>
  <c r="I504"/>
  <c r="I503"/>
  <c r="I502"/>
  <c r="I501"/>
  <c r="I500"/>
  <c r="I499"/>
  <c r="I498"/>
  <c r="I497"/>
  <c r="I496"/>
  <c r="I495"/>
  <c r="I494"/>
  <c r="I493"/>
  <c r="I492"/>
  <c r="I491"/>
  <c r="I490"/>
  <c r="I489"/>
  <c r="I488" l="1"/>
  <c r="I487"/>
  <c r="I486" l="1"/>
  <c r="I485"/>
  <c r="I484"/>
  <c r="I483"/>
  <c r="I482"/>
  <c r="I481"/>
  <c r="I480"/>
  <c r="I479"/>
  <c r="I478"/>
  <c r="I477" l="1"/>
  <c r="I476"/>
  <c r="I475"/>
  <c r="I474"/>
  <c r="I473"/>
  <c r="I472"/>
  <c r="I471" l="1"/>
  <c r="I470"/>
  <c r="I469"/>
  <c r="I468"/>
  <c r="I467"/>
  <c r="I466"/>
  <c r="I465"/>
  <c r="I464"/>
  <c r="I463"/>
  <c r="I462"/>
  <c r="I461"/>
  <c r="I460"/>
  <c r="I459"/>
  <c r="I458"/>
  <c r="I457"/>
  <c r="I455"/>
  <c r="I454"/>
  <c r="I453"/>
  <c r="I452"/>
  <c r="I451"/>
  <c r="I450"/>
  <c r="I449"/>
  <c r="I448"/>
  <c r="I447"/>
  <c r="I446"/>
  <c r="I445"/>
  <c r="I444"/>
  <c r="I443"/>
  <c r="I442"/>
  <c r="I441"/>
  <c r="I440"/>
  <c r="I439"/>
  <c r="I438"/>
  <c r="I437"/>
  <c r="I436" l="1"/>
  <c r="I435"/>
  <c r="I434"/>
  <c r="I433"/>
  <c r="I432"/>
  <c r="I431"/>
  <c r="I430"/>
  <c r="I429"/>
  <c r="I428"/>
  <c r="I427"/>
  <c r="I426"/>
  <c r="I425"/>
  <c r="I424"/>
  <c r="I423"/>
  <c r="I422"/>
  <c r="I421"/>
  <c r="I420"/>
  <c r="I419"/>
  <c r="I418" l="1"/>
  <c r="I417"/>
  <c r="I416"/>
  <c r="I415"/>
  <c r="I414"/>
  <c r="I413"/>
  <c r="I412"/>
  <c r="I411"/>
  <c r="I410" l="1"/>
  <c r="I409" l="1"/>
  <c r="I408"/>
  <c r="I407"/>
  <c r="I406"/>
  <c r="I405"/>
  <c r="I404"/>
  <c r="I403"/>
  <c r="I402"/>
  <c r="I401"/>
  <c r="I400"/>
  <c r="I399"/>
  <c r="I398"/>
  <c r="I397"/>
  <c r="I396"/>
  <c r="I395" l="1"/>
  <c r="I394"/>
  <c r="I393"/>
  <c r="I392"/>
  <c r="I391"/>
  <c r="I390"/>
  <c r="I389"/>
  <c r="I388"/>
  <c r="I387"/>
  <c r="I386"/>
  <c r="I385"/>
  <c r="I384"/>
  <c r="I383"/>
  <c r="I382"/>
  <c r="I381"/>
  <c r="I380"/>
  <c r="I379"/>
  <c r="I378"/>
  <c r="I377"/>
  <c r="I376"/>
  <c r="I375"/>
  <c r="I374"/>
  <c r="I373"/>
  <c r="I372"/>
  <c r="I371"/>
  <c r="I370"/>
  <c r="I369"/>
  <c r="I368"/>
  <c r="I367"/>
  <c r="I366"/>
  <c r="I365"/>
  <c r="I364"/>
  <c r="I363"/>
  <c r="I362"/>
  <c r="I361"/>
  <c r="I360"/>
  <c r="I359"/>
  <c r="I358"/>
  <c r="I357"/>
  <c r="I356"/>
  <c r="I355" l="1"/>
  <c r="I354"/>
  <c r="I353"/>
  <c r="I352"/>
  <c r="I351" l="1"/>
  <c r="I350"/>
  <c r="I349"/>
  <c r="I348"/>
  <c r="I347"/>
  <c r="I346"/>
  <c r="I345"/>
  <c r="I344" l="1"/>
  <c r="I343"/>
  <c r="I342"/>
  <c r="I341"/>
  <c r="I340"/>
  <c r="I339"/>
  <c r="I338"/>
  <c r="I337"/>
  <c r="I336"/>
  <c r="I335"/>
  <c r="I334"/>
  <c r="I333"/>
  <c r="I332"/>
  <c r="I331"/>
  <c r="I330"/>
  <c r="I329"/>
  <c r="I328"/>
  <c r="I327"/>
  <c r="I326"/>
  <c r="I325"/>
  <c r="I324"/>
  <c r="I323"/>
  <c r="I322"/>
  <c r="I321"/>
  <c r="I320"/>
  <c r="I319"/>
  <c r="I318"/>
  <c r="I317"/>
  <c r="I316"/>
  <c r="I315"/>
  <c r="I314"/>
  <c r="I313"/>
  <c r="I312"/>
  <c r="I311"/>
  <c r="I310"/>
  <c r="I309"/>
  <c r="I308"/>
  <c r="I307"/>
  <c r="I306"/>
  <c r="I305"/>
  <c r="I304"/>
  <c r="I303"/>
  <c r="I302"/>
  <c r="I301"/>
  <c r="I300"/>
  <c r="I299"/>
  <c r="I298"/>
  <c r="I297"/>
  <c r="I296"/>
  <c r="I295"/>
  <c r="I294"/>
  <c r="I293"/>
  <c r="I292"/>
  <c r="I291"/>
  <c r="I290"/>
  <c r="I289"/>
  <c r="I288"/>
  <c r="I287"/>
  <c r="I286"/>
  <c r="I285"/>
  <c r="I284"/>
  <c r="I283"/>
  <c r="I282"/>
  <c r="I281"/>
  <c r="I280"/>
  <c r="I279"/>
  <c r="I278"/>
  <c r="I277"/>
  <c r="I276"/>
  <c r="I275"/>
  <c r="I274"/>
  <c r="I273"/>
  <c r="I272"/>
  <c r="I271"/>
  <c r="I270"/>
  <c r="I269"/>
  <c r="I268"/>
  <c r="I267"/>
  <c r="I266"/>
  <c r="I265"/>
  <c r="I264" l="1"/>
  <c r="I263"/>
  <c r="I262"/>
  <c r="I261"/>
  <c r="I260"/>
  <c r="I259"/>
  <c r="I258"/>
  <c r="I257"/>
  <c r="I256"/>
  <c r="I255"/>
  <c r="I254"/>
  <c r="I253"/>
  <c r="I252"/>
  <c r="I251"/>
  <c r="I250"/>
  <c r="I249"/>
  <c r="I248"/>
  <c r="I247"/>
  <c r="I246"/>
  <c r="I245"/>
  <c r="I244"/>
  <c r="I243"/>
  <c r="I242"/>
  <c r="I241"/>
  <c r="I240"/>
  <c r="I239"/>
  <c r="I238"/>
  <c r="I237"/>
  <c r="I236"/>
  <c r="I235"/>
  <c r="I234"/>
  <c r="I233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</calcChain>
</file>

<file path=xl/comments1.xml><?xml version="1.0" encoding="utf-8"?>
<comments xmlns="http://schemas.openxmlformats.org/spreadsheetml/2006/main">
  <authors>
    <author>作者</author>
    <author>微软用户</author>
    <author>Administrator</author>
  </authors>
  <commentList>
    <comment ref="F14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21</t>
        </r>
      </text>
    </comment>
    <comment ref="F165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I169" authorId="0">
      <text>
        <r>
          <rPr>
            <b/>
            <sz val="9"/>
            <color indexed="81"/>
            <rFont val="Tahoma"/>
            <family val="2"/>
          </rPr>
          <t>申通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Tahoma"/>
            <family val="2"/>
          </rPr>
          <t>快递费</t>
        </r>
        <r>
          <rPr>
            <b/>
            <sz val="9"/>
            <color indexed="81"/>
            <rFont val="Tahoma"/>
            <family val="2"/>
          </rPr>
          <t>84</t>
        </r>
        <r>
          <rPr>
            <b/>
            <sz val="9"/>
            <color indexed="81"/>
            <rFont val="Tahoma"/>
            <family val="2"/>
          </rPr>
          <t>（快递发票</t>
        </r>
        <r>
          <rPr>
            <b/>
            <sz val="9"/>
            <color indexed="81"/>
            <rFont val="Tahoma"/>
            <family val="2"/>
          </rPr>
          <t>28906632</t>
        </r>
        <r>
          <rPr>
            <b/>
            <sz val="9"/>
            <color indexed="81"/>
            <rFont val="Tahoma"/>
            <family val="2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0" authorId="0">
      <text>
        <r>
          <rPr>
            <b/>
            <sz val="9"/>
            <color indexed="81"/>
            <rFont val="Tahoma"/>
            <family val="2"/>
          </rPr>
          <t>申通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Tahoma"/>
            <family val="2"/>
          </rPr>
          <t>和</t>
        </r>
        <r>
          <rPr>
            <b/>
            <sz val="9"/>
            <color indexed="81"/>
            <rFont val="Tahoma"/>
            <family val="2"/>
          </rPr>
          <t>9132</t>
        </r>
        <r>
          <rPr>
            <b/>
            <sz val="9"/>
            <color indexed="81"/>
            <rFont val="Tahoma"/>
            <family val="2"/>
          </rPr>
          <t>一起快递费共</t>
        </r>
        <r>
          <rPr>
            <b/>
            <sz val="9"/>
            <color indexed="81"/>
            <rFont val="Tahoma"/>
            <family val="2"/>
          </rPr>
          <t>84</t>
        </r>
        <r>
          <rPr>
            <b/>
            <sz val="9"/>
            <color indexed="81"/>
            <rFont val="Tahoma"/>
            <family val="2"/>
          </rPr>
          <t>元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单价</t>
        </r>
        <r>
          <rPr>
            <sz val="9"/>
            <color indexed="81"/>
            <rFont val="Tahoma"/>
            <family val="2"/>
          </rPr>
          <t>90,12</t>
        </r>
        <r>
          <rPr>
            <sz val="9"/>
            <color indexed="81"/>
            <rFont val="Tahoma"/>
            <family val="2"/>
          </rPr>
          <t xml:space="preserve">元的运费
</t>
        </r>
      </text>
    </comment>
    <comment ref="I181" authorId="0">
      <text>
        <r>
          <rPr>
            <b/>
            <sz val="9"/>
            <color indexed="81"/>
            <rFont val="Tahoma"/>
            <family val="2"/>
          </rPr>
          <t>圆通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Tahoma"/>
            <family val="2"/>
          </rPr>
          <t>和</t>
        </r>
        <r>
          <rPr>
            <b/>
            <sz val="9"/>
            <color indexed="81"/>
            <rFont val="Tahoma"/>
            <family val="2"/>
          </rPr>
          <t>3744K</t>
        </r>
        <r>
          <rPr>
            <b/>
            <sz val="9"/>
            <color indexed="81"/>
            <rFont val="Tahoma"/>
            <family val="2"/>
          </rPr>
          <t>一起快递费共</t>
        </r>
        <r>
          <rPr>
            <b/>
            <sz val="9"/>
            <color indexed="81"/>
            <rFont val="Tahoma"/>
            <family val="2"/>
          </rPr>
          <t>65</t>
        </r>
        <r>
          <rPr>
            <b/>
            <sz val="9"/>
            <color indexed="81"/>
            <rFont val="Tahoma"/>
            <family val="2"/>
          </rPr>
          <t>（快递费发票</t>
        </r>
        <r>
          <rPr>
            <b/>
            <sz val="9"/>
            <color indexed="81"/>
            <rFont val="Tahoma"/>
            <family val="2"/>
          </rPr>
          <t>28906633</t>
        </r>
        <r>
          <rPr>
            <b/>
            <sz val="9"/>
            <color indexed="81"/>
            <rFont val="Tahoma"/>
            <family val="2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2" authorId="0">
      <text>
        <r>
          <rPr>
            <b/>
            <sz val="9"/>
            <color indexed="81"/>
            <rFont val="Tahoma"/>
            <family val="2"/>
          </rPr>
          <t>圆通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Tahoma"/>
            <family val="2"/>
          </rPr>
          <t>和</t>
        </r>
        <r>
          <rPr>
            <b/>
            <sz val="9"/>
            <color indexed="81"/>
            <rFont val="Tahoma"/>
            <family val="2"/>
          </rPr>
          <t>4680</t>
        </r>
        <r>
          <rPr>
            <b/>
            <sz val="9"/>
            <color indexed="81"/>
            <rFont val="Tahoma"/>
            <family val="2"/>
          </rPr>
          <t>一起快递费</t>
        </r>
        <r>
          <rPr>
            <b/>
            <sz val="9"/>
            <color indexed="81"/>
            <rFont val="Tahoma"/>
            <family val="2"/>
          </rPr>
          <t>65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单号</t>
        </r>
        <r>
          <rPr>
            <sz val="9"/>
            <color indexed="81"/>
            <rFont val="Tahoma"/>
            <family val="2"/>
          </rPr>
          <t>2635826681</t>
        </r>
      </text>
    </comment>
    <comment ref="S25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112081718808</t>
        </r>
      </text>
    </comment>
    <comment ref="S260" authorId="0">
      <text>
        <r>
          <rPr>
            <b/>
            <sz val="9"/>
            <color indexed="81"/>
            <rFont val="Tahoma"/>
            <family val="2"/>
          </rPr>
          <t>单号</t>
        </r>
        <r>
          <rPr>
            <b/>
            <sz val="9"/>
            <color indexed="81"/>
            <rFont val="Tahoma"/>
            <family val="2"/>
          </rPr>
          <t xml:space="preserve">:86831602         </t>
        </r>
        <r>
          <rPr>
            <b/>
            <sz val="9"/>
            <color indexed="81"/>
            <rFont val="Tahoma"/>
            <family val="2"/>
          </rPr>
          <t>运费</t>
        </r>
        <r>
          <rPr>
            <b/>
            <sz val="9"/>
            <color indexed="81"/>
            <rFont val="Tahoma"/>
            <family val="2"/>
          </rPr>
          <t>57</t>
        </r>
        <r>
          <rPr>
            <b/>
            <sz val="9"/>
            <color indexed="81"/>
            <rFont val="Tahoma"/>
            <family val="2"/>
          </rPr>
          <t>元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I264" authorId="0">
      <text>
        <r>
          <rPr>
            <b/>
            <sz val="9"/>
            <color indexed="81"/>
            <rFont val="Tahoma"/>
            <family val="2"/>
          </rPr>
          <t>中行对公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打款</t>
        </r>
        <r>
          <rPr>
            <sz val="9"/>
            <color indexed="81"/>
            <rFont val="Tahoma"/>
            <family val="2"/>
          </rPr>
          <t>1436.</t>
        </r>
        <r>
          <rPr>
            <sz val="9"/>
            <color indexed="81"/>
            <rFont val="Tahoma"/>
            <family val="2"/>
          </rPr>
          <t>多打款</t>
        </r>
        <r>
          <rPr>
            <sz val="9"/>
            <color indexed="81"/>
            <rFont val="Tahoma"/>
            <family val="2"/>
          </rPr>
          <t>287.2</t>
        </r>
        <r>
          <rPr>
            <sz val="9"/>
            <color indexed="81"/>
            <rFont val="Tahoma"/>
            <family val="2"/>
          </rPr>
          <t xml:space="preserve">元
</t>
        </r>
        <r>
          <rPr>
            <sz val="9"/>
            <color indexed="81"/>
            <rFont val="Tahoma"/>
            <family val="2"/>
          </rPr>
          <t>8.14</t>
        </r>
        <r>
          <rPr>
            <sz val="9"/>
            <color indexed="81"/>
            <rFont val="Tahoma"/>
            <family val="2"/>
          </rPr>
          <t>已将</t>
        </r>
        <r>
          <rPr>
            <sz val="9"/>
            <color indexed="81"/>
            <rFont val="Tahoma"/>
            <family val="2"/>
          </rPr>
          <t>287.2</t>
        </r>
        <r>
          <rPr>
            <sz val="9"/>
            <color indexed="81"/>
            <rFont val="Tahoma"/>
            <family val="2"/>
          </rPr>
          <t>退回农业银行</t>
        </r>
      </text>
    </comment>
    <comment ref="H421" authorId="1">
      <text>
        <r>
          <rPr>
            <b/>
            <sz val="9"/>
            <color indexed="81"/>
            <rFont val="宋体"/>
            <family val="3"/>
            <charset val="134"/>
          </rPr>
          <t>不开票，当时没有及时沟通</t>
        </r>
      </text>
    </comment>
    <comment ref="P525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含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宋体"/>
            <family val="3"/>
            <charset val="134"/>
          </rPr>
          <t>元运费</t>
        </r>
      </text>
    </comment>
    <comment ref="M556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实际付款金额：</t>
        </r>
        <r>
          <rPr>
            <sz val="9"/>
            <color indexed="81"/>
            <rFont val="Tahoma"/>
            <family val="2"/>
          </rPr>
          <t>3400.00</t>
        </r>
      </text>
    </comment>
    <comment ref="I580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运费中抵扣</t>
        </r>
        <r>
          <rPr>
            <sz val="9"/>
            <color indexed="81"/>
            <rFont val="Tahoma"/>
            <family val="2"/>
          </rPr>
          <t>15.00</t>
        </r>
      </text>
    </comment>
    <comment ref="H61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条的平均价格</t>
        </r>
      </text>
    </comment>
    <comment ref="I616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实付金额：</t>
        </r>
        <r>
          <rPr>
            <sz val="9"/>
            <color indexed="81"/>
            <rFont val="Tahoma"/>
            <family val="2"/>
          </rPr>
          <t>33742.8</t>
        </r>
        <r>
          <rPr>
            <sz val="9"/>
            <color indexed="81"/>
            <rFont val="宋体"/>
            <family val="3"/>
            <charset val="134"/>
          </rPr>
          <t xml:space="preserve">
余下</t>
        </r>
        <r>
          <rPr>
            <sz val="9"/>
            <color indexed="81"/>
            <rFont val="Tahoma"/>
            <family val="2"/>
          </rPr>
          <t>5101.2</t>
        </r>
        <r>
          <rPr>
            <sz val="9"/>
            <color indexed="81"/>
            <rFont val="宋体"/>
            <family val="3"/>
            <charset val="134"/>
          </rPr>
          <t>抵扣应该补给我们的</t>
        </r>
        <r>
          <rPr>
            <sz val="9"/>
            <color indexed="81"/>
            <rFont val="Tahoma"/>
            <family val="2"/>
          </rPr>
          <t>3700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3200</t>
        </r>
        <r>
          <rPr>
            <sz val="9"/>
            <color indexed="81"/>
            <rFont val="宋体"/>
            <family val="3"/>
            <charset val="134"/>
          </rPr>
          <t>各</t>
        </r>
        <r>
          <rPr>
            <sz val="9"/>
            <color indexed="81"/>
            <rFont val="Tahoma"/>
            <family val="2"/>
          </rPr>
          <t>150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M627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实际付款金额：</t>
        </r>
        <r>
          <rPr>
            <sz val="9"/>
            <color indexed="81"/>
            <rFont val="Tahoma"/>
            <family val="2"/>
          </rPr>
          <t>1700.00</t>
        </r>
      </text>
    </comment>
    <comment ref="H64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实际为</t>
        </r>
        <r>
          <rPr>
            <sz val="9"/>
            <color indexed="81"/>
            <rFont val="Tahoma"/>
            <family val="2"/>
          </rPr>
          <t>0.52</t>
        </r>
        <r>
          <rPr>
            <sz val="9"/>
            <color indexed="81"/>
            <rFont val="宋体"/>
            <family val="3"/>
            <charset val="134"/>
          </rPr>
          <t>，有</t>
        </r>
        <r>
          <rPr>
            <sz val="9"/>
            <color indexed="81"/>
            <rFont val="Tahoma"/>
            <family val="2"/>
          </rPr>
          <t>0.02*2500=50</t>
        </r>
        <r>
          <rPr>
            <sz val="9"/>
            <color indexed="81"/>
            <rFont val="宋体"/>
            <family val="3"/>
            <charset val="134"/>
          </rPr>
          <t>元作为运费</t>
        </r>
      </text>
    </comment>
    <comment ref="E69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定下后记得修改价格</t>
        </r>
      </text>
    </comment>
    <comment ref="I71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实付</t>
        </r>
        <r>
          <rPr>
            <sz val="9"/>
            <color indexed="81"/>
            <rFont val="Tahoma"/>
            <family val="2"/>
          </rPr>
          <t>1209</t>
        </r>
      </text>
    </comment>
    <comment ref="I730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付运费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，合计</t>
        </r>
        <r>
          <rPr>
            <sz val="9"/>
            <color indexed="81"/>
            <rFont val="Tahoma"/>
            <family val="2"/>
          </rPr>
          <t>2476</t>
        </r>
      </text>
    </comment>
    <comment ref="I73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付款时要付运费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，合计</t>
        </r>
        <r>
          <rPr>
            <sz val="9"/>
            <color indexed="81"/>
            <rFont val="Tahoma"/>
            <family val="2"/>
          </rPr>
          <t>99.6</t>
        </r>
      </text>
    </comment>
    <comment ref="I743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付运费</t>
        </r>
        <r>
          <rPr>
            <sz val="9"/>
            <color indexed="81"/>
            <rFont val="Tahoma"/>
            <family val="2"/>
          </rPr>
          <t>40</t>
        </r>
        <r>
          <rPr>
            <sz val="9"/>
            <color indexed="81"/>
            <rFont val="宋体"/>
            <family val="3"/>
            <charset val="134"/>
          </rPr>
          <t>，共计</t>
        </r>
        <r>
          <rPr>
            <sz val="9"/>
            <color indexed="81"/>
            <rFont val="Tahoma"/>
            <family val="2"/>
          </rPr>
          <t>3234</t>
        </r>
      </text>
    </comment>
    <comment ref="M754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当时多付</t>
        </r>
        <r>
          <rPr>
            <sz val="9"/>
            <color indexed="81"/>
            <rFont val="Tahoma"/>
            <family val="2"/>
          </rPr>
          <t>826.64</t>
        </r>
        <r>
          <rPr>
            <sz val="9"/>
            <color indexed="81"/>
            <rFont val="宋体"/>
            <family val="3"/>
            <charset val="134"/>
          </rPr>
          <t>，后消除</t>
        </r>
      </text>
    </comment>
    <comment ref="M765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日，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日付款未成功</t>
        </r>
      </text>
    </comment>
    <comment ref="I774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另付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>元运费，合计</t>
        </r>
        <r>
          <rPr>
            <sz val="9"/>
            <color indexed="81"/>
            <rFont val="Tahoma"/>
            <family val="2"/>
          </rPr>
          <t>7600</t>
        </r>
      </text>
    </comment>
    <comment ref="I776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实付</t>
        </r>
        <r>
          <rPr>
            <sz val="9"/>
            <color indexed="81"/>
            <rFont val="Tahoma"/>
            <family val="2"/>
          </rPr>
          <t>13235</t>
        </r>
      </text>
    </comment>
    <comment ref="M776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扣除发票快递费：</t>
        </r>
        <r>
          <rPr>
            <sz val="9"/>
            <color indexed="81"/>
            <rFont val="Tahoma"/>
            <family val="2"/>
          </rPr>
          <t xml:space="preserve">14.00 </t>
        </r>
        <r>
          <rPr>
            <sz val="9"/>
            <color indexed="81"/>
            <rFont val="宋体"/>
            <family val="3"/>
            <charset val="134"/>
          </rPr>
          <t>扣除</t>
        </r>
        <r>
          <rPr>
            <sz val="9"/>
            <color indexed="81"/>
            <rFont val="Tahoma"/>
            <family val="2"/>
          </rPr>
          <t xml:space="preserve">2091:2256.8 </t>
        </r>
        <r>
          <rPr>
            <sz val="9"/>
            <color indexed="81"/>
            <rFont val="宋体"/>
            <family val="3"/>
            <charset val="134"/>
          </rPr>
          <t>上次上付金额</t>
        </r>
        <r>
          <rPr>
            <sz val="9"/>
            <color indexed="81"/>
            <rFont val="Tahoma"/>
            <family val="2"/>
          </rPr>
          <t>5.8</t>
        </r>
        <r>
          <rPr>
            <sz val="9"/>
            <color indexed="81"/>
            <rFont val="宋体"/>
            <family val="3"/>
            <charset val="134"/>
          </rPr>
          <t>，实付</t>
        </r>
        <r>
          <rPr>
            <sz val="9"/>
            <color indexed="81"/>
            <rFont val="Tahoma"/>
            <family val="2"/>
          </rPr>
          <t xml:space="preserve">13235
</t>
        </r>
      </text>
    </comment>
    <comment ref="M77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2013-3-8</t>
        </r>
        <r>
          <rPr>
            <sz val="9"/>
            <color indexed="81"/>
            <rFont val="宋体"/>
            <family val="3"/>
            <charset val="134"/>
          </rPr>
          <t>付</t>
        </r>
        <r>
          <rPr>
            <sz val="9"/>
            <color indexed="81"/>
            <rFont val="Tahoma"/>
            <family val="2"/>
          </rPr>
          <t>7500</t>
        </r>
      </text>
    </comment>
    <comment ref="K77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发</t>
        </r>
        <r>
          <rPr>
            <sz val="9"/>
            <color indexed="81"/>
            <rFont val="Tahoma"/>
            <family val="2"/>
          </rPr>
          <t>60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I796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另付运费</t>
        </r>
        <r>
          <rPr>
            <sz val="9"/>
            <color indexed="81"/>
            <rFont val="Tahoma"/>
            <family val="2"/>
          </rPr>
          <t>71</t>
        </r>
        <r>
          <rPr>
            <sz val="9"/>
            <color indexed="81"/>
            <rFont val="宋体"/>
            <family val="3"/>
            <charset val="134"/>
          </rPr>
          <t>，合计</t>
        </r>
        <r>
          <rPr>
            <sz val="9"/>
            <color indexed="81"/>
            <rFont val="Tahoma"/>
            <family val="2"/>
          </rPr>
          <t>3073</t>
        </r>
      </text>
    </comment>
    <comment ref="I80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另付运费</t>
        </r>
        <r>
          <rPr>
            <sz val="9"/>
            <color indexed="81"/>
            <rFont val="Tahoma"/>
            <family val="2"/>
          </rPr>
          <t>33</t>
        </r>
      </text>
    </comment>
    <comment ref="H84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赠送</t>
        </r>
      </text>
    </comment>
    <comment ref="M84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3-29</t>
        </r>
        <r>
          <rPr>
            <sz val="9"/>
            <color indexed="81"/>
            <rFont val="宋体"/>
            <family val="3"/>
            <charset val="134"/>
          </rPr>
          <t>已付</t>
        </r>
        <r>
          <rPr>
            <sz val="9"/>
            <color indexed="81"/>
            <rFont val="Tahoma"/>
            <family val="2"/>
          </rPr>
          <t>6773</t>
        </r>
      </text>
    </comment>
    <comment ref="M913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扣除应收款</t>
        </r>
        <r>
          <rPr>
            <sz val="9"/>
            <color indexed="81"/>
            <rFont val="Tahoma"/>
            <family val="2"/>
          </rPr>
          <t>88</t>
        </r>
        <r>
          <rPr>
            <sz val="9"/>
            <color indexed="81"/>
            <rFont val="宋体"/>
            <family val="3"/>
            <charset val="134"/>
          </rPr>
          <t>元，实付</t>
        </r>
        <r>
          <rPr>
            <sz val="9"/>
            <color indexed="81"/>
            <rFont val="Tahoma"/>
            <family val="2"/>
          </rPr>
          <t>5266</t>
        </r>
        <r>
          <rPr>
            <sz val="9"/>
            <color indexed="81"/>
            <rFont val="宋体"/>
            <family val="3"/>
            <charset val="134"/>
          </rPr>
          <t>元。</t>
        </r>
      </text>
    </comment>
    <comment ref="I914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运费</t>
        </r>
        <r>
          <rPr>
            <sz val="9"/>
            <color indexed="81"/>
            <rFont val="Tahoma"/>
            <family val="2"/>
          </rPr>
          <t>70</t>
        </r>
      </text>
    </comment>
    <comment ref="F926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采购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，退了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条</t>
        </r>
      </text>
    </comment>
    <comment ref="I95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另付运费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元</t>
        </r>
      </text>
    </comment>
    <comment ref="M963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余</t>
        </r>
        <r>
          <rPr>
            <sz val="9"/>
            <color indexed="81"/>
            <rFont val="Tahoma"/>
            <family val="2"/>
          </rPr>
          <t>1234.7</t>
        </r>
        <r>
          <rPr>
            <sz val="9"/>
            <color indexed="81"/>
            <rFont val="宋体"/>
            <family val="3"/>
            <charset val="134"/>
          </rPr>
          <t>未付</t>
        </r>
      </text>
    </comment>
    <comment ref="M96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付款</t>
        </r>
        <r>
          <rPr>
            <sz val="9"/>
            <color indexed="81"/>
            <rFont val="Tahoma"/>
            <family val="2"/>
          </rPr>
          <t>21683.78</t>
        </r>
        <r>
          <rPr>
            <sz val="9"/>
            <color indexed="81"/>
            <rFont val="宋体"/>
            <family val="3"/>
            <charset val="134"/>
          </rPr>
          <t>，含运费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宋体"/>
            <family val="3"/>
            <charset val="134"/>
          </rPr>
          <t>，少付</t>
        </r>
        <r>
          <rPr>
            <sz val="9"/>
            <color indexed="81"/>
            <rFont val="Tahoma"/>
            <family val="2"/>
          </rPr>
          <t>15</t>
        </r>
      </text>
    </comment>
    <comment ref="I975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另付运费</t>
        </r>
        <r>
          <rPr>
            <sz val="9"/>
            <color indexed="81"/>
            <rFont val="Tahoma"/>
            <family val="2"/>
          </rPr>
          <t>30</t>
        </r>
      </text>
    </comment>
    <comment ref="M99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5-7</t>
        </r>
        <r>
          <rPr>
            <sz val="9"/>
            <color indexed="81"/>
            <rFont val="宋体"/>
            <family val="3"/>
            <charset val="134"/>
          </rPr>
          <t>预付</t>
        </r>
        <r>
          <rPr>
            <sz val="9"/>
            <color indexed="81"/>
            <rFont val="Tahoma"/>
            <family val="2"/>
          </rPr>
          <t xml:space="preserve">500
</t>
        </r>
      </text>
    </comment>
    <comment ref="M99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5-7</t>
        </r>
        <r>
          <rPr>
            <sz val="9"/>
            <color indexed="81"/>
            <rFont val="宋体"/>
            <family val="3"/>
            <charset val="134"/>
          </rPr>
          <t>预付</t>
        </r>
        <r>
          <rPr>
            <sz val="9"/>
            <color indexed="81"/>
            <rFont val="Tahoma"/>
            <family val="2"/>
          </rPr>
          <t xml:space="preserve">500
</t>
        </r>
      </text>
    </comment>
    <comment ref="I1043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垫付运费</t>
        </r>
        <r>
          <rPr>
            <sz val="9"/>
            <color indexed="81"/>
            <rFont val="Tahoma"/>
            <family val="2"/>
          </rPr>
          <t>40</t>
        </r>
      </text>
    </comment>
    <comment ref="M1048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欠运费</t>
        </r>
        <r>
          <rPr>
            <sz val="9"/>
            <color indexed="81"/>
            <rFont val="Tahoma"/>
            <family val="2"/>
          </rPr>
          <t>40</t>
        </r>
      </text>
    </comment>
    <comment ref="M105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多付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元</t>
        </r>
      </text>
    </comment>
    <comment ref="N1064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李总取款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>元</t>
        </r>
      </text>
    </comment>
    <comment ref="N1065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李总取款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>元</t>
        </r>
      </text>
    </comment>
  </commentList>
</comments>
</file>

<file path=xl/comments2.xml><?xml version="1.0" encoding="utf-8"?>
<comments xmlns="http://schemas.openxmlformats.org/spreadsheetml/2006/main">
  <authors>
    <author>微软用户</author>
    <author>作者</author>
    <author>Administrator</author>
  </authors>
  <commentList>
    <comment ref="Y11" authorId="0">
      <text>
        <r>
          <rPr>
            <b/>
            <sz val="9"/>
            <color indexed="81"/>
            <rFont val="Tahoma"/>
            <family val="2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Tahoma"/>
            <family val="2"/>
          </rPr>
          <t>申通</t>
        </r>
      </text>
    </comment>
    <comment ref="K18" authorId="1">
      <text>
        <r>
          <rPr>
            <sz val="9"/>
            <color indexed="81"/>
            <rFont val="Tahoma"/>
            <family val="2"/>
          </rPr>
          <t>作者:
赠品</t>
        </r>
      </text>
    </comment>
    <comment ref="E86" authorId="1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3200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43.53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3301:18.89</t>
        </r>
        <r>
          <rPr>
            <sz val="9"/>
            <color indexed="81"/>
            <rFont val="宋体"/>
            <family val="3"/>
            <charset val="134"/>
          </rPr>
          <t xml:space="preserve">，
</t>
        </r>
        <r>
          <rPr>
            <sz val="9"/>
            <color indexed="81"/>
            <rFont val="Tahoma"/>
            <family val="2"/>
          </rPr>
          <t>385:0
7701</t>
        </r>
        <r>
          <rPr>
            <sz val="9"/>
            <color indexed="81"/>
            <rFont val="宋体"/>
            <family val="3"/>
            <charset val="134"/>
          </rPr>
          <t>：（赠品入库）</t>
        </r>
        <r>
          <rPr>
            <sz val="9"/>
            <color indexed="81"/>
            <rFont val="Tahoma"/>
            <family val="2"/>
          </rPr>
          <t xml:space="preserve">0
</t>
        </r>
      </text>
    </comment>
    <comment ref="I86" authorId="1">
      <text>
        <r>
          <rPr>
            <sz val="9"/>
            <color indexed="81"/>
            <rFont val="Tahoma"/>
            <family val="2"/>
          </rPr>
          <t xml:space="preserve">作者:
</t>
        </r>
      </text>
    </comment>
    <comment ref="K86" authorId="1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3200:11.96
3301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 xml:space="preserve">12.93
385:2
</t>
        </r>
      </text>
    </comment>
    <comment ref="N86" authorId="1">
      <text>
        <r>
          <rPr>
            <sz val="9"/>
            <color indexed="81"/>
            <rFont val="Tahoma"/>
            <family val="2"/>
          </rPr>
          <t xml:space="preserve">作者:
</t>
        </r>
      </text>
    </comment>
    <comment ref="E88" authorId="1">
      <text>
        <r>
          <rPr>
            <sz val="9"/>
            <color indexed="81"/>
            <rFont val="Tahoma"/>
            <family val="2"/>
          </rPr>
          <t xml:space="preserve">作者:
3200：43.53，3301:18.89，
385:0
7701：（赠品入库）0
</t>
        </r>
      </text>
    </comment>
    <comment ref="E90" authorId="1">
      <text>
        <r>
          <rPr>
            <sz val="9"/>
            <color indexed="81"/>
            <rFont val="Tahoma"/>
            <family val="2"/>
          </rPr>
          <t xml:space="preserve">作者:
3200：43.53，3301:18.89，
385:0
7701：（赠品入库）0
</t>
        </r>
      </text>
    </comment>
    <comment ref="E92" authorId="1">
      <text>
        <r>
          <rPr>
            <sz val="9"/>
            <color indexed="81"/>
            <rFont val="Tahoma"/>
            <family val="2"/>
          </rPr>
          <t xml:space="preserve">作者:
3200：43.53，3301:18.89，
385:0
7701：（赠品入库）0
</t>
        </r>
      </text>
    </comment>
    <comment ref="E94" authorId="1">
      <text>
        <r>
          <rPr>
            <sz val="9"/>
            <color indexed="81"/>
            <rFont val="Tahoma"/>
            <family val="2"/>
          </rPr>
          <t xml:space="preserve">作者:
3200：43.53，3301:18.89，
385:0
7701：（赠品入库）0
</t>
        </r>
      </text>
    </comment>
    <comment ref="K98" authorId="1">
      <text>
        <r>
          <rPr>
            <sz val="9"/>
            <color indexed="81"/>
            <rFont val="Tahoma"/>
            <family val="2"/>
          </rPr>
          <t>作者:
进：6200:50
6001:19.86
5N11:5.1
501:1.81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 xml:space="preserve">作者:
进：6200:50
6001:29.86
5N11:5.1
501:1.81
</t>
        </r>
      </text>
    </comment>
    <comment ref="K104" authorId="1">
      <text>
        <r>
          <rPr>
            <sz val="9"/>
            <color indexed="81"/>
            <rFont val="Tahoma"/>
            <family val="2"/>
          </rPr>
          <t xml:space="preserve">作者:
进：6200:50
6001:29.86
5N11:5.1
501:1.81
</t>
        </r>
      </text>
    </comment>
    <comment ref="K107" authorId="1">
      <text>
        <r>
          <rPr>
            <sz val="9"/>
            <color indexed="81"/>
            <rFont val="Tahoma"/>
            <family val="2"/>
          </rPr>
          <t xml:space="preserve">作者:
进：6200:50
6001:29.86
5N11:5.1
501:1.81
</t>
        </r>
      </text>
    </comment>
    <comment ref="K110" authorId="1">
      <text>
        <r>
          <rPr>
            <sz val="9"/>
            <color indexed="81"/>
            <rFont val="Tahoma"/>
            <family val="2"/>
          </rPr>
          <t xml:space="preserve">作者:
进：6200:50
6001:19.86
5N11:5.1
501:1.81
</t>
        </r>
      </text>
    </comment>
    <comment ref="E111" authorId="1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 xml:space="preserve">销售单品价格
</t>
        </r>
        <r>
          <rPr>
            <sz val="9"/>
            <color indexed="81"/>
            <rFont val="Tahoma"/>
            <family val="2"/>
          </rPr>
          <t>3200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43.5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3301:16.6</t>
        </r>
        <r>
          <rPr>
            <sz val="9"/>
            <color indexed="81"/>
            <rFont val="宋体"/>
            <family val="3"/>
            <charset val="134"/>
          </rPr>
          <t xml:space="preserve">，
</t>
        </r>
        <r>
          <rPr>
            <sz val="9"/>
            <color indexed="81"/>
            <rFont val="Tahoma"/>
            <family val="2"/>
          </rPr>
          <t>385:2.8
3N11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 xml:space="preserve">2.1
</t>
        </r>
      </text>
    </comment>
    <comment ref="K111" authorId="1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 xml:space="preserve">:
3200:11.96
385:2.0
3301:12.93
3N11:1.48
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作者:
3200:28.73
385:2.0
3301:12.93
3N11:1.48</t>
        </r>
      </text>
    </comment>
    <comment ref="B118" authorId="2">
      <text>
        <r>
          <rPr>
            <sz val="9"/>
            <color indexed="81"/>
            <rFont val="Tahoma"/>
            <family val="2"/>
          </rPr>
          <t>2012.6.4</t>
        </r>
        <r>
          <rPr>
            <sz val="9"/>
            <color indexed="81"/>
            <rFont val="宋体"/>
            <family val="3"/>
            <charset val="134"/>
          </rPr>
          <t>记录
多发</t>
        </r>
        <r>
          <rPr>
            <sz val="9"/>
            <color indexed="81"/>
            <rFont val="Tahoma"/>
            <family val="2"/>
          </rPr>
          <t>40</t>
        </r>
        <r>
          <rPr>
            <sz val="9"/>
            <color indexed="81"/>
            <rFont val="宋体"/>
            <family val="3"/>
            <charset val="134"/>
          </rPr>
          <t>个未付款，下次补上</t>
        </r>
      </text>
    </comment>
    <comment ref="K121" authorId="1">
      <text>
        <r>
          <rPr>
            <sz val="9"/>
            <color indexed="81"/>
            <rFont val="Tahoma"/>
            <family val="2"/>
          </rPr>
          <t xml:space="preserve">作者:
进：6200:50
6001：19.56
5N11:5.1
501:1.81
</t>
        </r>
      </text>
    </comment>
    <comment ref="K125" authorId="1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3200:11.96
385:2.0
3301:13.33
3N11:1.48</t>
        </r>
      </text>
    </comment>
    <comment ref="K131" authorId="1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3200:28.73
385:0/2.12
3301:13.33
3N11:1.48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 xml:space="preserve">作者:
进：6200:50
6001:19.86
5N11:5.1
501:1.81
</t>
        </r>
      </text>
    </comment>
    <comment ref="H230" authorId="2">
      <text>
        <r>
          <rPr>
            <sz val="9"/>
            <color indexed="81"/>
            <rFont val="Tahoma"/>
            <family val="2"/>
          </rPr>
          <t>Administrator:
含运费10元</t>
        </r>
      </text>
    </comment>
    <comment ref="Q296" authorId="0">
      <text>
        <r>
          <rPr>
            <b/>
            <sz val="9"/>
            <color indexed="81"/>
            <rFont val="Tahoma"/>
            <family val="2"/>
          </rPr>
          <t xml:space="preserve">付款方收到货后要同货款一起支付给蒙吉
</t>
        </r>
        <r>
          <rPr>
            <b/>
            <sz val="9"/>
            <color indexed="81"/>
            <rFont val="Tahoma"/>
            <family val="2"/>
          </rPr>
          <t>7.18</t>
        </r>
        <r>
          <rPr>
            <b/>
            <sz val="9"/>
            <color indexed="81"/>
            <rFont val="Tahoma"/>
            <family val="2"/>
          </rPr>
          <t>拿货后付的货款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17" authorId="0">
      <text>
        <r>
          <rPr>
            <b/>
            <sz val="9"/>
            <color indexed="81"/>
            <rFont val="Tahoma"/>
            <family val="2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8.8</t>
        </r>
        <r>
          <rPr>
            <sz val="9"/>
            <color indexed="81"/>
            <rFont val="Tahoma"/>
            <family val="2"/>
          </rPr>
          <t>号申通</t>
        </r>
      </text>
    </comment>
    <comment ref="F423" authorId="0">
      <text>
        <r>
          <rPr>
            <b/>
            <sz val="8"/>
            <color indexed="81"/>
            <rFont val="宋体"/>
            <family val="3"/>
            <charset val="134"/>
          </rPr>
          <t>发票号</t>
        </r>
        <r>
          <rPr>
            <b/>
            <sz val="8"/>
            <color indexed="81"/>
            <rFont val="Tahoma"/>
            <family val="2"/>
          </rPr>
          <t>01418128</t>
        </r>
        <r>
          <rPr>
            <b/>
            <sz val="8"/>
            <color indexed="81"/>
            <rFont val="宋体"/>
            <family val="3"/>
            <charset val="134"/>
          </rPr>
          <t>已开出数量</t>
        </r>
        <r>
          <rPr>
            <b/>
            <sz val="8"/>
            <color indexed="81"/>
            <rFont val="Tahoma"/>
            <family val="2"/>
          </rPr>
          <t>90</t>
        </r>
        <r>
          <rPr>
            <b/>
            <sz val="8"/>
            <color indexed="81"/>
            <rFont val="宋体"/>
            <family val="3"/>
            <charset val="134"/>
          </rPr>
          <t>个</t>
        </r>
      </text>
    </comment>
    <comment ref="K428" authorId="0">
      <text>
        <r>
          <rPr>
            <b/>
            <sz val="9"/>
            <color indexed="81"/>
            <rFont val="Tahoma"/>
            <family val="2"/>
          </rPr>
          <t>7.23</t>
        </r>
        <r>
          <rPr>
            <b/>
            <sz val="9"/>
            <color indexed="81"/>
            <rFont val="Tahoma"/>
            <family val="2"/>
          </rPr>
          <t>号
重百</t>
        </r>
        <r>
          <rPr>
            <b/>
            <sz val="9"/>
            <color indexed="81"/>
            <rFont val="Tahoma"/>
            <family val="2"/>
          </rPr>
          <t xml:space="preserve">:40*8.05=322
</t>
        </r>
        <r>
          <rPr>
            <b/>
            <sz val="9"/>
            <color indexed="81"/>
            <rFont val="Tahoma"/>
            <family val="2"/>
          </rPr>
          <t>昊泽：</t>
        </r>
        <r>
          <rPr>
            <b/>
            <sz val="9"/>
            <color indexed="81"/>
            <rFont val="Tahoma"/>
            <family val="2"/>
          </rPr>
          <t>50*8.55=427.5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1" authorId="0">
      <text>
        <r>
          <rPr>
            <b/>
            <sz val="9"/>
            <color indexed="81"/>
            <rFont val="Tahoma"/>
            <family val="2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彭亮价格</t>
        </r>
      </text>
    </comment>
    <comment ref="K478" authorId="0">
      <text>
        <r>
          <rPr>
            <b/>
            <sz val="9"/>
            <color indexed="81"/>
            <rFont val="Tahoma"/>
            <family val="2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重百</t>
        </r>
        <r>
          <rPr>
            <sz val="9"/>
            <color indexed="81"/>
            <rFont val="Tahoma"/>
            <family val="2"/>
          </rPr>
          <t xml:space="preserve">29.5*200=5900  </t>
        </r>
        <r>
          <rPr>
            <sz val="9"/>
            <color indexed="81"/>
            <rFont val="Tahoma"/>
            <family val="2"/>
          </rPr>
          <t>高木</t>
        </r>
        <r>
          <rPr>
            <sz val="9"/>
            <color indexed="81"/>
            <rFont val="Tahoma"/>
            <family val="2"/>
          </rPr>
          <t>30*200=6000</t>
        </r>
      </text>
    </comment>
    <comment ref="K495" authorId="0">
      <text>
        <r>
          <rPr>
            <b/>
            <sz val="9"/>
            <color indexed="81"/>
            <rFont val="Tahoma"/>
            <family val="2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嘉烨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Tahoma"/>
            <family val="2"/>
          </rPr>
          <t>付</t>
        </r>
      </text>
    </comment>
    <comment ref="Y504" authorId="0">
      <text>
        <r>
          <rPr>
            <b/>
            <sz val="9"/>
            <color indexed="81"/>
            <rFont val="Tahoma"/>
            <family val="2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申通</t>
        </r>
      </text>
    </comment>
    <comment ref="Y557" authorId="0">
      <text>
        <r>
          <rPr>
            <b/>
            <sz val="9"/>
            <color indexed="81"/>
            <rFont val="Tahoma"/>
            <family val="2"/>
          </rPr>
          <t>顺丰快递</t>
        </r>
      </text>
    </comment>
    <comment ref="I74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快递垫付</t>
        </r>
        <r>
          <rPr>
            <sz val="9"/>
            <color indexed="81"/>
            <rFont val="Tahoma"/>
            <family val="2"/>
          </rPr>
          <t>20.00</t>
        </r>
      </text>
    </comment>
    <comment ref="N74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快递垫付</t>
        </r>
        <r>
          <rPr>
            <sz val="9"/>
            <color indexed="81"/>
            <rFont val="Tahoma"/>
            <family val="2"/>
          </rPr>
          <t>20.00</t>
        </r>
      </text>
    </comment>
    <comment ref="H76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28.5</t>
        </r>
      </text>
    </comment>
    <comment ref="H76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3.7</t>
        </r>
      </text>
    </comment>
    <comment ref="H769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15.4</t>
        </r>
      </text>
    </comment>
    <comment ref="H77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13.5</t>
        </r>
      </text>
    </comment>
    <comment ref="H78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13.5</t>
        </r>
      </text>
    </comment>
    <comment ref="H789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28.5</t>
        </r>
      </text>
    </comment>
    <comment ref="H79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3.7</t>
        </r>
      </text>
    </comment>
    <comment ref="H791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1.95</t>
        </r>
      </text>
    </comment>
    <comment ref="H84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高开金额：</t>
        </r>
        <r>
          <rPr>
            <sz val="9"/>
            <color indexed="81"/>
            <rFont val="Tahoma"/>
            <family val="2"/>
          </rPr>
          <t>1720</t>
        </r>
      </text>
    </comment>
    <comment ref="H84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高开金额“</t>
        </r>
        <r>
          <rPr>
            <sz val="9"/>
            <color indexed="81"/>
            <rFont val="Tahoma"/>
            <family val="2"/>
          </rPr>
          <t>980</t>
        </r>
      </text>
    </comment>
    <comment ref="H89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实际发票金额：
</t>
        </r>
        <r>
          <rPr>
            <sz val="9"/>
            <color indexed="81"/>
            <rFont val="Tahoma"/>
            <family val="2"/>
          </rPr>
          <t>1.55</t>
        </r>
      </text>
    </comment>
    <comment ref="H92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开票金额：</t>
        </r>
        <r>
          <rPr>
            <sz val="9"/>
            <color indexed="81"/>
            <rFont val="Tahoma"/>
            <family val="2"/>
          </rPr>
          <t>46.00</t>
        </r>
      </text>
    </comment>
    <comment ref="H92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开票金额：</t>
        </r>
        <r>
          <rPr>
            <sz val="9"/>
            <color indexed="81"/>
            <rFont val="Tahoma"/>
            <family val="2"/>
          </rPr>
          <t>18.00</t>
        </r>
      </text>
    </comment>
    <comment ref="H929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开票金额：</t>
        </r>
        <r>
          <rPr>
            <sz val="9"/>
            <color indexed="81"/>
            <rFont val="Tahoma"/>
            <family val="2"/>
          </rPr>
          <t>42.8</t>
        </r>
      </text>
    </comment>
    <comment ref="H93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开票金额：</t>
        </r>
        <r>
          <rPr>
            <sz val="9"/>
            <color indexed="81"/>
            <rFont val="Tahoma"/>
            <family val="2"/>
          </rPr>
          <t>1.52</t>
        </r>
      </text>
    </comment>
    <comment ref="L936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2013-2-5</t>
        </r>
        <r>
          <rPr>
            <sz val="9"/>
            <color indexed="81"/>
            <rFont val="宋体"/>
            <family val="3"/>
            <charset val="134"/>
          </rPr>
          <t>已付</t>
        </r>
        <r>
          <rPr>
            <sz val="9"/>
            <color indexed="81"/>
            <rFont val="Tahoma"/>
            <family val="2"/>
          </rPr>
          <t>30970.6
2013-5-3</t>
        </r>
        <r>
          <rPr>
            <sz val="9"/>
            <color indexed="81"/>
            <rFont val="宋体"/>
            <family val="3"/>
            <charset val="134"/>
          </rPr>
          <t>已付</t>
        </r>
        <r>
          <rPr>
            <sz val="9"/>
            <color indexed="81"/>
            <rFont val="Tahoma"/>
            <family val="2"/>
          </rPr>
          <t>20000</t>
        </r>
      </text>
    </comment>
    <comment ref="K1012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25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2013-1-14</t>
        </r>
        <r>
          <rPr>
            <sz val="9"/>
            <color indexed="81"/>
            <rFont val="宋体"/>
            <family val="3"/>
            <charset val="134"/>
          </rPr>
          <t>已付</t>
        </r>
        <r>
          <rPr>
            <sz val="9"/>
            <color indexed="81"/>
            <rFont val="Tahoma"/>
            <family val="2"/>
          </rPr>
          <t>12980</t>
        </r>
        <r>
          <rPr>
            <sz val="9"/>
            <color indexed="81"/>
            <rFont val="宋体"/>
            <family val="3"/>
            <charset val="134"/>
          </rPr>
          <t>，余</t>
        </r>
        <r>
          <rPr>
            <sz val="9"/>
            <color indexed="81"/>
            <rFont val="Tahoma"/>
            <family val="2"/>
          </rPr>
          <t>152.8</t>
        </r>
      </text>
    </comment>
    <comment ref="B103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M103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永安付款</t>
        </r>
        <r>
          <rPr>
            <sz val="9"/>
            <color indexed="81"/>
            <rFont val="Tahoma"/>
            <family val="2"/>
          </rPr>
          <t xml:space="preserve">2774.00 </t>
        </r>
      </text>
    </comment>
    <comment ref="E1056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实际开票按照合同要求开</t>
        </r>
      </text>
    </comment>
    <comment ref="H1084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高开金额：</t>
        </r>
        <r>
          <rPr>
            <sz val="9"/>
            <color indexed="81"/>
            <rFont val="Tahoma"/>
            <family val="2"/>
          </rPr>
          <t>5.00</t>
        </r>
      </text>
    </comment>
    <comment ref="L1084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实际收款金额为</t>
        </r>
        <r>
          <rPr>
            <sz val="9"/>
            <color indexed="81"/>
            <rFont val="Tahoma"/>
            <family val="2"/>
          </rPr>
          <t>6168.00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5460-6540*0.2=6168.00</t>
        </r>
        <r>
          <rPr>
            <sz val="9"/>
            <color indexed="81"/>
            <rFont val="宋体"/>
            <family val="3"/>
            <charset val="134"/>
          </rPr>
          <t xml:space="preserve">）实际高开金额的税也一起给了的
</t>
        </r>
      </text>
    </comment>
    <comment ref="H1085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高开金额：</t>
        </r>
        <r>
          <rPr>
            <sz val="9"/>
            <color indexed="81"/>
            <rFont val="Tahoma"/>
            <family val="2"/>
          </rPr>
          <t>27.00</t>
        </r>
      </text>
    </comment>
    <comment ref="L1085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实际收款金额为</t>
        </r>
        <r>
          <rPr>
            <sz val="9"/>
            <color indexed="81"/>
            <rFont val="Tahoma"/>
            <family val="2"/>
          </rPr>
          <t>6168.00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5460-6540*0.2=6168.00</t>
        </r>
        <r>
          <rPr>
            <sz val="9"/>
            <color indexed="81"/>
            <rFont val="宋体"/>
            <family val="3"/>
            <charset val="134"/>
          </rPr>
          <t xml:space="preserve">）实际高开金额的税也一起给了的
</t>
        </r>
      </text>
    </comment>
    <comment ref="H1086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高开金额：</t>
        </r>
        <r>
          <rPr>
            <sz val="9"/>
            <color indexed="81"/>
            <rFont val="Tahoma"/>
            <family val="2"/>
          </rPr>
          <t>26.5</t>
        </r>
      </text>
    </comment>
    <comment ref="L1086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实际收款金额为</t>
        </r>
        <r>
          <rPr>
            <sz val="9"/>
            <color indexed="81"/>
            <rFont val="Tahoma"/>
            <family val="2"/>
          </rPr>
          <t>6168.00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5460-6540*0.2=6168.00</t>
        </r>
        <r>
          <rPr>
            <sz val="9"/>
            <color indexed="81"/>
            <rFont val="宋体"/>
            <family val="3"/>
            <charset val="134"/>
          </rPr>
          <t xml:space="preserve">）实际高开金额的税也一起给了的
</t>
        </r>
      </text>
    </comment>
    <comment ref="H108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高开金额：</t>
        </r>
        <r>
          <rPr>
            <sz val="9"/>
            <color indexed="81"/>
            <rFont val="Tahoma"/>
            <family val="2"/>
          </rPr>
          <t>30.00</t>
        </r>
      </text>
    </comment>
    <comment ref="L108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实际收款金额为</t>
        </r>
        <r>
          <rPr>
            <sz val="9"/>
            <color indexed="81"/>
            <rFont val="Tahoma"/>
            <family val="2"/>
          </rPr>
          <t>6168.00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5460-6540*0.2=6168.00</t>
        </r>
        <r>
          <rPr>
            <sz val="9"/>
            <color indexed="81"/>
            <rFont val="宋体"/>
            <family val="3"/>
            <charset val="134"/>
          </rPr>
          <t xml:space="preserve">）实际高开金额的税也一起给了的
</t>
        </r>
      </text>
    </comment>
    <comment ref="H108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实际发票金额：
</t>
        </r>
        <r>
          <rPr>
            <sz val="9"/>
            <color indexed="81"/>
            <rFont val="Tahoma"/>
            <family val="2"/>
          </rPr>
          <t>1.54</t>
        </r>
      </text>
    </comment>
    <comment ref="H1089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28.5</t>
        </r>
      </text>
    </comment>
    <comment ref="H109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3.7</t>
        </r>
      </text>
    </comment>
    <comment ref="B1115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B1116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B111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E1124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实际开发票按合同要求开</t>
        </r>
      </text>
    </comment>
    <comment ref="E1125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实际开票按照合同要求开</t>
        </r>
      </text>
    </comment>
    <comment ref="E114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实际开发票按合同要求开</t>
        </r>
      </text>
    </comment>
    <comment ref="E1149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实际开票按照合同要求开</t>
        </r>
      </text>
    </comment>
    <comment ref="I115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垫付运费</t>
        </r>
        <r>
          <rPr>
            <sz val="9"/>
            <color indexed="81"/>
            <rFont val="Tahoma"/>
            <family val="2"/>
          </rPr>
          <t>46.00</t>
        </r>
      </text>
    </comment>
    <comment ref="N115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垫付运费</t>
        </r>
        <r>
          <rPr>
            <sz val="9"/>
            <color indexed="81"/>
            <rFont val="Tahoma"/>
            <family val="2"/>
          </rPr>
          <t>46.00</t>
        </r>
      </text>
    </comment>
    <comment ref="AA1153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多开</t>
        </r>
        <r>
          <rPr>
            <sz val="9"/>
            <color indexed="81"/>
            <rFont val="Tahoma"/>
            <family val="2"/>
          </rPr>
          <t>1600</t>
        </r>
        <r>
          <rPr>
            <sz val="9"/>
            <color indexed="81"/>
            <rFont val="宋体"/>
            <family val="3"/>
            <charset val="134"/>
          </rPr>
          <t>已除去</t>
        </r>
      </text>
    </comment>
    <comment ref="B1154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B1155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B1156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B115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B115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H1159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28.5</t>
        </r>
      </text>
    </comment>
    <comment ref="H116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3.7</t>
        </r>
      </text>
    </comment>
    <comment ref="H1161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1.8</t>
        </r>
      </text>
    </comment>
    <comment ref="H1162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440.00</t>
        </r>
      </text>
    </comment>
    <comment ref="H116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8.00</t>
        </r>
      </text>
    </comment>
    <comment ref="H116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亏本卖出，以后销售单价为</t>
        </r>
        <r>
          <rPr>
            <sz val="9"/>
            <color indexed="81"/>
            <rFont val="Tahoma"/>
            <family val="2"/>
          </rPr>
          <t>393.75</t>
        </r>
      </text>
    </comment>
    <comment ref="H117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开票金额：</t>
        </r>
        <r>
          <rPr>
            <sz val="9"/>
            <color indexed="81"/>
            <rFont val="Tahoma"/>
            <family val="2"/>
          </rPr>
          <t>30.00</t>
        </r>
      </text>
    </comment>
    <comment ref="H121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开票单价：</t>
        </r>
        <r>
          <rPr>
            <sz val="9"/>
            <color indexed="81"/>
            <rFont val="Tahoma"/>
            <family val="2"/>
          </rPr>
          <t>0.9</t>
        </r>
      </text>
    </comment>
    <comment ref="H1232" authorId="2">
      <text>
        <r>
          <rPr>
            <sz val="9"/>
            <color indexed="81"/>
            <rFont val="宋体"/>
            <family val="3"/>
            <charset val="134"/>
          </rPr>
          <t>开票单价：</t>
        </r>
        <r>
          <rPr>
            <sz val="9"/>
            <color indexed="81"/>
            <rFont val="Tahoma"/>
            <family val="2"/>
          </rPr>
          <t>2.5</t>
        </r>
        <r>
          <rPr>
            <sz val="9"/>
            <color indexed="81"/>
            <rFont val="宋体"/>
            <family val="3"/>
            <charset val="134"/>
          </rPr>
          <t>元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43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样品</t>
        </r>
      </text>
    </comment>
    <comment ref="I1250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垫付运费</t>
        </r>
        <r>
          <rPr>
            <sz val="9"/>
            <color indexed="81"/>
            <rFont val="Tahoma"/>
            <family val="2"/>
          </rPr>
          <t>59</t>
        </r>
        <r>
          <rPr>
            <sz val="9"/>
            <color indexed="81"/>
            <rFont val="宋体"/>
            <family val="3"/>
            <charset val="134"/>
          </rPr>
          <t>元，</t>
        </r>
      </text>
    </comment>
    <comment ref="N1250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垫付运费</t>
        </r>
        <r>
          <rPr>
            <sz val="9"/>
            <color indexed="81"/>
            <rFont val="Tahoma"/>
            <family val="2"/>
          </rPr>
          <t>59</t>
        </r>
        <r>
          <rPr>
            <sz val="9"/>
            <color indexed="81"/>
            <rFont val="宋体"/>
            <family val="3"/>
            <charset val="134"/>
          </rPr>
          <t>元，</t>
        </r>
      </text>
    </comment>
    <comment ref="L125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日已付</t>
        </r>
        <r>
          <rPr>
            <sz val="9"/>
            <color indexed="81"/>
            <rFont val="Tahoma"/>
            <family val="2"/>
          </rPr>
          <t>20000</t>
        </r>
      </text>
    </comment>
    <comment ref="B127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开票单位：小丸科贸</t>
        </r>
      </text>
    </comment>
    <comment ref="H127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开票单价</t>
        </r>
        <r>
          <rPr>
            <sz val="9"/>
            <color indexed="81"/>
            <rFont val="Tahoma"/>
            <family val="2"/>
          </rPr>
          <t>819</t>
        </r>
      </text>
    </comment>
    <comment ref="H1278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开票单价：</t>
        </r>
        <r>
          <rPr>
            <sz val="9"/>
            <color indexed="81"/>
            <rFont val="Tahoma"/>
            <family val="2"/>
          </rPr>
          <t>20.36</t>
        </r>
      </text>
    </comment>
    <comment ref="L1295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宋体"/>
            <family val="3"/>
            <charset val="134"/>
          </rPr>
          <t>汇入</t>
        </r>
        <r>
          <rPr>
            <sz val="9"/>
            <color indexed="81"/>
            <rFont val="Tahoma"/>
            <family val="2"/>
          </rPr>
          <t>5200</t>
        </r>
        <r>
          <rPr>
            <sz val="9"/>
            <color indexed="81"/>
            <rFont val="宋体"/>
            <family val="3"/>
            <charset val="134"/>
          </rPr>
          <t>，</t>
        </r>
      </text>
    </comment>
    <comment ref="H130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开票单价：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元</t>
        </r>
      </text>
    </comment>
    <comment ref="I130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余</t>
        </r>
        <r>
          <rPr>
            <sz val="9"/>
            <color indexed="81"/>
            <rFont val="Tahoma"/>
            <family val="2"/>
          </rPr>
          <t>21.4</t>
        </r>
        <r>
          <rPr>
            <sz val="9"/>
            <color indexed="81"/>
            <rFont val="宋体"/>
            <family val="3"/>
            <charset val="134"/>
          </rPr>
          <t>元未登记，发票多开了</t>
        </r>
        <r>
          <rPr>
            <sz val="9"/>
            <color indexed="81"/>
            <rFont val="Tahoma"/>
            <family val="2"/>
          </rPr>
          <t>90</t>
        </r>
        <r>
          <rPr>
            <sz val="9"/>
            <color indexed="81"/>
            <rFont val="宋体"/>
            <family val="3"/>
            <charset val="134"/>
          </rPr>
          <t>元，下次需减去</t>
        </r>
      </text>
    </comment>
    <comment ref="N130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余</t>
        </r>
        <r>
          <rPr>
            <sz val="9"/>
            <color indexed="81"/>
            <rFont val="Tahoma"/>
            <family val="2"/>
          </rPr>
          <t>21.4</t>
        </r>
        <r>
          <rPr>
            <sz val="9"/>
            <color indexed="81"/>
            <rFont val="宋体"/>
            <family val="3"/>
            <charset val="134"/>
          </rPr>
          <t>元未登记，发票多开了</t>
        </r>
        <r>
          <rPr>
            <sz val="9"/>
            <color indexed="81"/>
            <rFont val="Tahoma"/>
            <family val="2"/>
          </rPr>
          <t>90</t>
        </r>
        <r>
          <rPr>
            <sz val="9"/>
            <color indexed="81"/>
            <rFont val="宋体"/>
            <family val="3"/>
            <charset val="134"/>
          </rPr>
          <t>元，下次需减去</t>
        </r>
      </text>
    </comment>
    <comment ref="H1303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开票单价：</t>
        </r>
        <r>
          <rPr>
            <sz val="9"/>
            <color indexed="81"/>
            <rFont val="Tahoma"/>
            <family val="2"/>
          </rPr>
          <t>62.7</t>
        </r>
      </text>
    </comment>
    <comment ref="L133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其中有</t>
        </r>
        <r>
          <rPr>
            <sz val="9"/>
            <color indexed="81"/>
            <rFont val="Tahoma"/>
            <family val="2"/>
          </rPr>
          <t>10000</t>
        </r>
        <r>
          <rPr>
            <sz val="9"/>
            <color indexed="81"/>
            <rFont val="宋体"/>
            <family val="3"/>
            <charset val="134"/>
          </rPr>
          <t>元预付款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宋体"/>
            <family val="3"/>
            <charset val="134"/>
          </rPr>
          <t>号中行对公</t>
        </r>
      </text>
    </comment>
    <comment ref="I140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垫付运费</t>
        </r>
        <r>
          <rPr>
            <sz val="9"/>
            <color indexed="81"/>
            <rFont val="Tahoma"/>
            <family val="2"/>
          </rPr>
          <t>144</t>
        </r>
      </text>
    </comment>
    <comment ref="N140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垫付运费</t>
        </r>
        <r>
          <rPr>
            <sz val="9"/>
            <color indexed="81"/>
            <rFont val="Tahoma"/>
            <family val="2"/>
          </rPr>
          <t>144</t>
        </r>
      </text>
    </comment>
    <comment ref="L1420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付运费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，共计</t>
        </r>
        <r>
          <rPr>
            <sz val="9"/>
            <color indexed="81"/>
            <rFont val="Tahoma"/>
            <family val="2"/>
          </rPr>
          <t>278.8</t>
        </r>
      </text>
    </comment>
    <comment ref="H144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</t>
        </r>
        <r>
          <rPr>
            <sz val="9"/>
            <color indexed="81"/>
            <rFont val="Tahoma"/>
            <family val="2"/>
          </rPr>
          <t>2.5</t>
        </r>
      </text>
    </comment>
    <comment ref="H144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3000</t>
        </r>
        <r>
          <rPr>
            <sz val="9"/>
            <color indexed="81"/>
            <rFont val="宋体"/>
            <family val="3"/>
            <charset val="134"/>
          </rPr>
          <t>防尘套装开票金额</t>
        </r>
        <r>
          <rPr>
            <sz val="9"/>
            <color indexed="81"/>
            <rFont val="Tahoma"/>
            <family val="2"/>
          </rPr>
          <t>45</t>
        </r>
      </text>
    </comment>
    <comment ref="H1470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开票单价</t>
        </r>
        <r>
          <rPr>
            <sz val="9"/>
            <color indexed="81"/>
            <rFont val="Tahoma"/>
            <family val="2"/>
          </rPr>
          <t>1.65</t>
        </r>
      </text>
    </comment>
    <comment ref="H147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开票单价</t>
        </r>
        <r>
          <rPr>
            <sz val="9"/>
            <color indexed="81"/>
            <rFont val="Tahoma"/>
            <family val="2"/>
          </rPr>
          <t>13.2</t>
        </r>
      </text>
    </comment>
    <comment ref="L147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少付</t>
        </r>
        <r>
          <rPr>
            <sz val="9"/>
            <color indexed="81"/>
            <rFont val="Tahoma"/>
            <family val="2"/>
          </rPr>
          <t>2.73</t>
        </r>
        <r>
          <rPr>
            <sz val="9"/>
            <color indexed="81"/>
            <rFont val="宋体"/>
            <family val="3"/>
            <charset val="134"/>
          </rPr>
          <t>元</t>
        </r>
      </text>
    </comment>
    <comment ref="L1486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4-12</t>
        </r>
        <r>
          <rPr>
            <sz val="9"/>
            <color indexed="81"/>
            <rFont val="宋体"/>
            <family val="3"/>
            <charset val="134"/>
          </rPr>
          <t>付</t>
        </r>
        <r>
          <rPr>
            <sz val="9"/>
            <color indexed="81"/>
            <rFont val="Tahoma"/>
            <family val="2"/>
          </rPr>
          <t>1680,4-17</t>
        </r>
        <r>
          <rPr>
            <sz val="9"/>
            <color indexed="81"/>
            <rFont val="宋体"/>
            <family val="3"/>
            <charset val="134"/>
          </rPr>
          <t>付</t>
        </r>
        <r>
          <rPr>
            <sz val="9"/>
            <color indexed="81"/>
            <rFont val="Tahoma"/>
            <family val="2"/>
          </rPr>
          <t>15000
4-26</t>
        </r>
        <r>
          <rPr>
            <sz val="9"/>
            <color indexed="81"/>
            <rFont val="宋体"/>
            <family val="3"/>
            <charset val="134"/>
          </rPr>
          <t>付</t>
        </r>
        <r>
          <rPr>
            <sz val="9"/>
            <color indexed="81"/>
            <rFont val="Tahoma"/>
            <family val="2"/>
          </rPr>
          <t>15000</t>
        </r>
      </text>
    </comment>
    <comment ref="L153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5-17</t>
        </r>
        <r>
          <rPr>
            <sz val="9"/>
            <color indexed="81"/>
            <rFont val="宋体"/>
            <family val="3"/>
            <charset val="134"/>
          </rPr>
          <t>已付</t>
        </r>
        <r>
          <rPr>
            <sz val="9"/>
            <color indexed="81"/>
            <rFont val="Tahoma"/>
            <family val="2"/>
          </rPr>
          <t xml:space="preserve"> 1995.4</t>
        </r>
        <r>
          <rPr>
            <sz val="9"/>
            <color indexed="81"/>
            <rFont val="宋体"/>
            <family val="3"/>
            <charset val="134"/>
          </rPr>
          <t>，余</t>
        </r>
        <r>
          <rPr>
            <sz val="9"/>
            <color indexed="81"/>
            <rFont val="Tahoma"/>
            <family val="2"/>
          </rPr>
          <t>1040.8</t>
        </r>
      </text>
    </comment>
    <comment ref="L156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多付</t>
        </r>
        <r>
          <rPr>
            <sz val="9"/>
            <color indexed="81"/>
            <rFont val="Tahoma"/>
            <family val="2"/>
          </rPr>
          <t>1.9</t>
        </r>
        <r>
          <rPr>
            <sz val="9"/>
            <color indexed="81"/>
            <rFont val="宋体"/>
            <family val="3"/>
            <charset val="134"/>
          </rPr>
          <t>元</t>
        </r>
      </text>
    </comment>
    <comment ref="H1572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28.5</t>
        </r>
      </text>
    </comment>
    <comment ref="H1578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3000</t>
        </r>
        <r>
          <rPr>
            <sz val="9"/>
            <color indexed="81"/>
            <rFont val="宋体"/>
            <family val="3"/>
            <charset val="134"/>
          </rPr>
          <t>防尘套装开票金额</t>
        </r>
        <r>
          <rPr>
            <sz val="9"/>
            <color indexed="81"/>
            <rFont val="Tahoma"/>
            <family val="2"/>
          </rPr>
          <t>45</t>
        </r>
      </text>
    </comment>
    <comment ref="H1580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</t>
        </r>
        <r>
          <rPr>
            <sz val="9"/>
            <color indexed="81"/>
            <rFont val="Tahoma"/>
            <family val="2"/>
          </rPr>
          <t>2.5</t>
        </r>
      </text>
    </comment>
    <comment ref="I158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实付</t>
        </r>
        <r>
          <rPr>
            <sz val="9"/>
            <color indexed="81"/>
            <rFont val="Tahoma"/>
            <family val="2"/>
          </rPr>
          <t>775.5</t>
        </r>
      </text>
    </comment>
    <comment ref="N158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实付</t>
        </r>
        <r>
          <rPr>
            <sz val="9"/>
            <color indexed="81"/>
            <rFont val="Tahoma"/>
            <family val="2"/>
          </rPr>
          <t>775.5</t>
        </r>
      </text>
    </comment>
    <comment ref="H158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28.5</t>
        </r>
      </text>
    </comment>
    <comment ref="H1584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开票：</t>
        </r>
        <r>
          <rPr>
            <sz val="9"/>
            <color indexed="81"/>
            <rFont val="Tahoma"/>
            <family val="2"/>
          </rPr>
          <t>13.5</t>
        </r>
      </text>
    </comment>
    <comment ref="H1585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开票：</t>
        </r>
        <r>
          <rPr>
            <sz val="9"/>
            <color indexed="81"/>
            <rFont val="Tahoma"/>
            <family val="2"/>
          </rPr>
          <t>1.53</t>
        </r>
      </text>
    </comment>
    <comment ref="L163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3-28</t>
        </r>
        <r>
          <rPr>
            <sz val="9"/>
            <color indexed="81"/>
            <rFont val="宋体"/>
            <family val="3"/>
            <charset val="134"/>
          </rPr>
          <t>付</t>
        </r>
        <r>
          <rPr>
            <sz val="9"/>
            <color indexed="81"/>
            <rFont val="Tahoma"/>
            <family val="2"/>
          </rPr>
          <t>15000</t>
        </r>
      </text>
    </comment>
    <comment ref="L165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4-27</t>
        </r>
        <r>
          <rPr>
            <sz val="9"/>
            <color indexed="81"/>
            <rFont val="宋体"/>
            <family val="3"/>
            <charset val="134"/>
          </rPr>
          <t>付</t>
        </r>
        <r>
          <rPr>
            <sz val="9"/>
            <color indexed="81"/>
            <rFont val="Tahoma"/>
            <family val="2"/>
          </rPr>
          <t xml:space="preserve"> 39</t>
        </r>
      </text>
    </comment>
    <comment ref="B165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L168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5-6</t>
        </r>
        <r>
          <rPr>
            <sz val="9"/>
            <color indexed="81"/>
            <rFont val="宋体"/>
            <family val="3"/>
            <charset val="134"/>
          </rPr>
          <t>，已付</t>
        </r>
        <r>
          <rPr>
            <sz val="9"/>
            <color indexed="81"/>
            <rFont val="Tahoma"/>
            <family val="2"/>
          </rPr>
          <t>1690</t>
        </r>
      </text>
    </comment>
    <comment ref="N172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4-10</t>
        </r>
        <r>
          <rPr>
            <sz val="9"/>
            <color indexed="81"/>
            <rFont val="宋体"/>
            <family val="3"/>
            <charset val="134"/>
          </rPr>
          <t>中行打了</t>
        </r>
        <r>
          <rPr>
            <sz val="9"/>
            <color indexed="81"/>
            <rFont val="Tahoma"/>
            <family val="2"/>
          </rPr>
          <t>6000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4-12</t>
        </r>
        <r>
          <rPr>
            <sz val="9"/>
            <color indexed="81"/>
            <rFont val="宋体"/>
            <family val="3"/>
            <charset val="134"/>
          </rPr>
          <t>退回</t>
        </r>
      </text>
    </comment>
    <comment ref="N1756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多付</t>
        </r>
        <r>
          <rPr>
            <sz val="9"/>
            <color indexed="81"/>
            <rFont val="Tahoma"/>
            <family val="2"/>
          </rPr>
          <t>19.1</t>
        </r>
      </text>
    </comment>
    <comment ref="L1785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2013-4-17</t>
        </r>
        <r>
          <rPr>
            <sz val="9"/>
            <color indexed="81"/>
            <rFont val="宋体"/>
            <family val="3"/>
            <charset val="134"/>
          </rPr>
          <t>付</t>
        </r>
        <r>
          <rPr>
            <sz val="9"/>
            <color indexed="81"/>
            <rFont val="Tahoma"/>
            <family val="2"/>
          </rPr>
          <t>345</t>
        </r>
      </text>
    </comment>
    <comment ref="H1850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开票价格：</t>
        </r>
        <r>
          <rPr>
            <sz val="9"/>
            <color indexed="81"/>
            <rFont val="Tahoma"/>
            <family val="2"/>
          </rPr>
          <t>13</t>
        </r>
      </text>
    </comment>
    <comment ref="B187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开票单位：重庆珈源化工有限公司</t>
        </r>
      </text>
    </comment>
    <comment ref="H1930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</t>
        </r>
        <r>
          <rPr>
            <sz val="9"/>
            <color indexed="81"/>
            <rFont val="Tahoma"/>
            <family val="2"/>
          </rPr>
          <t>1.98</t>
        </r>
      </text>
    </comment>
    <comment ref="H193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</t>
        </r>
        <r>
          <rPr>
            <sz val="9"/>
            <color indexed="81"/>
            <rFont val="Tahoma"/>
            <family val="2"/>
          </rPr>
          <t>1.65</t>
        </r>
      </text>
    </comment>
    <comment ref="L1960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5-9</t>
        </r>
        <r>
          <rPr>
            <sz val="9"/>
            <color indexed="81"/>
            <rFont val="宋体"/>
            <family val="3"/>
            <charset val="134"/>
          </rPr>
          <t>已付</t>
        </r>
        <r>
          <rPr>
            <sz val="9"/>
            <color indexed="81"/>
            <rFont val="Tahoma"/>
            <family val="2"/>
          </rPr>
          <t>198.82</t>
        </r>
      </text>
    </comment>
    <comment ref="B1964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H199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</t>
        </r>
        <r>
          <rPr>
            <sz val="9"/>
            <color indexed="81"/>
            <rFont val="Tahoma"/>
            <family val="2"/>
          </rPr>
          <t>4.58</t>
        </r>
      </text>
    </comment>
    <comment ref="L200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5-25</t>
        </r>
        <r>
          <rPr>
            <sz val="9"/>
            <color indexed="81"/>
            <rFont val="宋体"/>
            <family val="3"/>
            <charset val="134"/>
          </rPr>
          <t>少付</t>
        </r>
        <r>
          <rPr>
            <sz val="9"/>
            <color indexed="81"/>
            <rFont val="Tahoma"/>
            <family val="2"/>
          </rPr>
          <t>0.9</t>
        </r>
      </text>
    </comment>
    <comment ref="L2013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宋体"/>
            <family val="3"/>
            <charset val="134"/>
          </rPr>
          <t>少收</t>
        </r>
        <r>
          <rPr>
            <sz val="9"/>
            <color indexed="81"/>
            <rFont val="Tahoma"/>
            <family val="2"/>
          </rPr>
          <t>90</t>
        </r>
      </text>
    </comment>
    <comment ref="M2025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实付</t>
        </r>
        <r>
          <rPr>
            <sz val="9"/>
            <color indexed="81"/>
            <rFont val="Tahoma"/>
            <family val="2"/>
          </rPr>
          <t xml:space="preserve">3980
</t>
        </r>
      </text>
    </comment>
    <comment ref="E203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用的</t>
        </r>
        <r>
          <rPr>
            <sz val="9"/>
            <color indexed="81"/>
            <rFont val="Tahoma"/>
            <family val="2"/>
          </rPr>
          <t>3251</t>
        </r>
      </text>
    </comment>
    <comment ref="H203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3000</t>
        </r>
        <r>
          <rPr>
            <sz val="9"/>
            <color indexed="81"/>
            <rFont val="宋体"/>
            <family val="3"/>
            <charset val="134"/>
          </rPr>
          <t>防尘套装开票金额</t>
        </r>
        <r>
          <rPr>
            <sz val="9"/>
            <color indexed="81"/>
            <rFont val="Tahoma"/>
            <family val="2"/>
          </rPr>
          <t>45</t>
        </r>
      </text>
    </comment>
    <comment ref="L214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5-27</t>
        </r>
        <r>
          <rPr>
            <sz val="9"/>
            <color indexed="81"/>
            <rFont val="宋体"/>
            <family val="3"/>
            <charset val="134"/>
          </rPr>
          <t>，付</t>
        </r>
        <r>
          <rPr>
            <sz val="9"/>
            <color indexed="81"/>
            <rFont val="Tahoma"/>
            <family val="2"/>
          </rPr>
          <t>1154</t>
        </r>
      </text>
    </comment>
    <comment ref="B2146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</commentList>
</comments>
</file>

<file path=xl/sharedStrings.xml><?xml version="1.0" encoding="utf-8"?>
<sst xmlns="http://schemas.openxmlformats.org/spreadsheetml/2006/main" count="39698" uniqueCount="7218">
  <si>
    <t>轻便型防护眼镜</t>
  </si>
  <si>
    <t>06239018</t>
    <phoneticPr fontId="22" type="noConversion"/>
  </si>
  <si>
    <t>23-700</t>
    <phoneticPr fontId="22" type="noConversion"/>
  </si>
  <si>
    <t>渝中区凯旋路96号16-1</t>
  </si>
  <si>
    <t>蒋松林</t>
  </si>
  <si>
    <t>13708322580</t>
  </si>
  <si>
    <t>品牌</t>
    <phoneticPr fontId="22" type="noConversion"/>
  </si>
  <si>
    <t>Ansell</t>
    <phoneticPr fontId="22" type="noConversion"/>
  </si>
  <si>
    <r>
      <t>SA20120</t>
    </r>
    <r>
      <rPr>
        <sz val="10"/>
        <color indexed="8"/>
        <rFont val="宋体"/>
        <family val="3"/>
        <charset val="134"/>
      </rPr>
      <t>8020146</t>
    </r>
    <phoneticPr fontId="22" type="noConversion"/>
  </si>
  <si>
    <t>酸性气体异味颗粒物滤棉</t>
  </si>
  <si>
    <t>SA201208070115</t>
    <phoneticPr fontId="22" type="noConversion"/>
  </si>
  <si>
    <t>SA201208020122</t>
    <phoneticPr fontId="22" type="noConversion"/>
  </si>
  <si>
    <t>璧山县璧城街道中国西部鞋都工业园内</t>
  </si>
  <si>
    <t>防护口罩 (带呼吸阀）</t>
  </si>
  <si>
    <r>
      <t>0</t>
    </r>
    <r>
      <rPr>
        <sz val="10"/>
        <color indexed="8"/>
        <rFont val="宋体"/>
        <family val="3"/>
        <charset val="134"/>
      </rPr>
      <t>0240306</t>
    </r>
    <phoneticPr fontId="22" type="noConversion"/>
  </si>
  <si>
    <t>重庆港腾科技公司</t>
    <phoneticPr fontId="22" type="noConversion"/>
  </si>
  <si>
    <t>340-4004</t>
    <phoneticPr fontId="22" type="noConversion"/>
  </si>
  <si>
    <t>318-1005</t>
    <phoneticPr fontId="22" type="noConversion"/>
  </si>
  <si>
    <t>高端墨镜（灰色镜片，防雾，附送眼镜绳，眼镜布，眼镜包）</t>
    <phoneticPr fontId="22" type="noConversion"/>
  </si>
  <si>
    <t>李总客户</t>
    <phoneticPr fontId="22" type="noConversion"/>
  </si>
  <si>
    <t>铝合金框架高端墨镜（灰色镜片，防雾，附送眼镜绳，眼镜布，
眼镜袋，眼镜包）</t>
    <phoneticPr fontId="22" type="noConversion"/>
  </si>
  <si>
    <t>13650569368</t>
  </si>
  <si>
    <t>3301CN</t>
    <phoneticPr fontId="22" type="noConversion"/>
  </si>
  <si>
    <t>SO201208070059</t>
    <phoneticPr fontId="22" type="noConversion"/>
  </si>
  <si>
    <t>赠品</t>
    <phoneticPr fontId="22" type="noConversion"/>
  </si>
  <si>
    <t>02426639</t>
    <phoneticPr fontId="22" type="noConversion"/>
  </si>
  <si>
    <t>重庆全好五金有限公司</t>
  </si>
  <si>
    <t>平方米</t>
    <phoneticPr fontId="22" type="noConversion"/>
  </si>
  <si>
    <t>全面型防护面罩（中号）</t>
  </si>
  <si>
    <t>定性适合性检验工具（苦味）</t>
  </si>
  <si>
    <t>FT-30</t>
  </si>
  <si>
    <t>0003247</t>
    <phoneticPr fontId="22" type="noConversion"/>
  </si>
  <si>
    <t>防护眼镜（舒适型，防雾）</t>
  </si>
  <si>
    <t>流线型防护眼镜</t>
  </si>
  <si>
    <t>防护眼镜（带侧翼通风口，防雾）</t>
  </si>
  <si>
    <t>023-62925693</t>
  </si>
  <si>
    <t>42码</t>
  </si>
  <si>
    <t>023155545856</t>
  </si>
  <si>
    <t>有机 / 无机 / 酸性气体滤毒盒</t>
  </si>
  <si>
    <t>经济型轻便防护眼镜（透明镜片）</t>
  </si>
  <si>
    <r>
      <t>1</t>
    </r>
    <r>
      <rPr>
        <sz val="10"/>
        <color indexed="8"/>
        <rFont val="宋体"/>
        <family val="3"/>
        <charset val="134"/>
      </rPr>
      <t>711AF</t>
    </r>
    <phoneticPr fontId="22" type="noConversion"/>
  </si>
  <si>
    <t>时尚型防护眼镜，</t>
  </si>
  <si>
    <t>0005650</t>
    <phoneticPr fontId="22" type="noConversion"/>
  </si>
  <si>
    <t>SO201208160045</t>
    <phoneticPr fontId="22" type="noConversion"/>
  </si>
  <si>
    <r>
      <t>0</t>
    </r>
    <r>
      <rPr>
        <sz val="10"/>
        <color indexed="8"/>
        <rFont val="宋体"/>
        <family val="3"/>
        <charset val="134"/>
      </rPr>
      <t>1430478</t>
    </r>
    <phoneticPr fontId="22" type="noConversion"/>
  </si>
  <si>
    <t>顺丰：112084019736</t>
    <phoneticPr fontId="22" type="noConversion"/>
  </si>
  <si>
    <t xml:space="preserve">320D </t>
  </si>
  <si>
    <t xml:space="preserve">320P </t>
  </si>
  <si>
    <t>尘毒呼吸防护套装(MRO)舒适型</t>
    <phoneticPr fontId="22" type="noConversion"/>
  </si>
  <si>
    <t xml:space="preserve">720P </t>
  </si>
  <si>
    <t xml:space="preserve">620P </t>
  </si>
  <si>
    <t>颗粒物防尘口罩-蓝色</t>
    <phoneticPr fontId="22" type="noConversion"/>
  </si>
  <si>
    <t>颗粒物防护口罩-蓝色</t>
    <phoneticPr fontId="22" type="noConversion"/>
  </si>
  <si>
    <t xml:space="preserve">318-1005 </t>
  </si>
  <si>
    <r>
      <t>M</t>
    </r>
    <r>
      <rPr>
        <sz val="10"/>
        <color indexed="8"/>
        <rFont val="宋体"/>
        <family val="3"/>
        <charset val="134"/>
      </rPr>
      <t>M-48951-384678</t>
    </r>
    <phoneticPr fontId="22" type="noConversion"/>
  </si>
  <si>
    <t>WG-33514-384678</t>
    <phoneticPr fontId="22" type="noConversion"/>
  </si>
  <si>
    <r>
      <t>0</t>
    </r>
    <r>
      <rPr>
        <sz val="10"/>
        <color indexed="8"/>
        <rFont val="宋体"/>
        <family val="3"/>
        <charset val="134"/>
      </rPr>
      <t>5036233</t>
    </r>
    <phoneticPr fontId="22" type="noConversion"/>
  </si>
  <si>
    <t>中铁快运：0202283</t>
    <phoneticPr fontId="22" type="noConversion"/>
  </si>
  <si>
    <t>中铁快运：0202284</t>
  </si>
  <si>
    <t>中铁快运：0202285</t>
  </si>
  <si>
    <t>中铁快运：0202286</t>
  </si>
  <si>
    <t>中铁快运：0202287</t>
  </si>
  <si>
    <t>中铁快运：0202288</t>
  </si>
  <si>
    <t>中铁快运：0202289</t>
  </si>
  <si>
    <t>ZB-8549-384678</t>
    <phoneticPr fontId="22" type="noConversion"/>
  </si>
  <si>
    <t>8210V</t>
  </si>
  <si>
    <t>带阀颗粒物防护口罩</t>
  </si>
  <si>
    <t>九龙坡区南华街629号达飞苑C栋</t>
  </si>
  <si>
    <t>许小姐</t>
  </si>
  <si>
    <t>子弹型耳塞</t>
  </si>
  <si>
    <t>个人分销商（伍俊）</t>
    <phoneticPr fontId="22" type="noConversion"/>
  </si>
  <si>
    <t>3701cn</t>
    <phoneticPr fontId="22" type="noConversion"/>
  </si>
  <si>
    <t>贵阳市山林路116号</t>
  </si>
  <si>
    <t>XOUT141067</t>
    <phoneticPr fontId="22" type="noConversion"/>
  </si>
  <si>
    <t>贵州省复合改性聚合物材料工程技术研究中心</t>
  </si>
  <si>
    <t>向宇姝</t>
  </si>
  <si>
    <t>贵阳市白云区白云北路新材料产业园A2-6号</t>
  </si>
  <si>
    <t>德邦物流*86831814*</t>
    <phoneticPr fontId="22" type="noConversion"/>
  </si>
  <si>
    <t>型号</t>
    <phoneticPr fontId="22" type="noConversion"/>
  </si>
  <si>
    <t>赠品</t>
    <phoneticPr fontId="22" type="noConversion"/>
  </si>
  <si>
    <r>
      <t>4</t>
    </r>
    <r>
      <rPr>
        <sz val="10"/>
        <color indexed="8"/>
        <rFont val="宋体"/>
        <family val="3"/>
        <charset val="134"/>
      </rPr>
      <t>*5.1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</si>
  <si>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.3*1</t>
    </r>
    <phoneticPr fontId="22" type="noConversion"/>
  </si>
  <si>
    <r>
      <t>1</t>
    </r>
    <r>
      <rPr>
        <sz val="10"/>
        <color indexed="8"/>
        <rFont val="宋体"/>
        <family val="3"/>
        <charset val="134"/>
      </rPr>
      <t>.206*70</t>
    </r>
    <phoneticPr fontId="22" type="noConversion"/>
  </si>
  <si>
    <r>
      <t>1</t>
    </r>
    <r>
      <rPr>
        <sz val="10"/>
        <color indexed="8"/>
        <rFont val="宋体"/>
        <family val="3"/>
        <charset val="134"/>
      </rPr>
      <t>.66*80</t>
    </r>
    <phoneticPr fontId="44" type="noConversion"/>
  </si>
  <si>
    <r>
      <t>1</t>
    </r>
    <r>
      <rPr>
        <sz val="10"/>
        <color indexed="8"/>
        <rFont val="宋体"/>
        <family val="3"/>
        <charset val="134"/>
      </rPr>
      <t>.6*20+1.55*130</t>
    </r>
    <phoneticPr fontId="44" type="noConversion"/>
  </si>
  <si>
    <t>1.66*20+1.55*130</t>
    <phoneticPr fontId="44" type="noConversion"/>
  </si>
  <si>
    <t>颗粒物防护口罩-蓝色</t>
  </si>
  <si>
    <t>340-4004</t>
    <phoneticPr fontId="45" type="noConversion"/>
  </si>
  <si>
    <t>5N11</t>
    <phoneticPr fontId="45" type="noConversion"/>
  </si>
  <si>
    <t>9002A</t>
    <phoneticPr fontId="45" type="noConversion"/>
  </si>
  <si>
    <t>付</t>
    <phoneticPr fontId="45" type="noConversion"/>
  </si>
  <si>
    <t>02355559</t>
    <phoneticPr fontId="22" type="noConversion"/>
  </si>
  <si>
    <r>
      <t>XOUT134</t>
    </r>
    <r>
      <rPr>
        <sz val="10"/>
        <color indexed="8"/>
        <rFont val="宋体"/>
        <family val="3"/>
        <charset val="134"/>
      </rPr>
      <t>793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</si>
  <si>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005591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</si>
  <si>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005595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</si>
  <si>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007483</t>
    </r>
    <phoneticPr fontId="22" type="noConversion"/>
  </si>
  <si>
    <r>
      <t>9</t>
    </r>
    <r>
      <rPr>
        <sz val="10"/>
        <color indexed="8"/>
        <rFont val="宋体"/>
        <family val="3"/>
        <charset val="134"/>
      </rPr>
      <t>002A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</si>
  <si>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007486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</si>
  <si>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003858</t>
    </r>
    <phoneticPr fontId="22" type="noConversion"/>
  </si>
  <si>
    <r>
      <t>XOUT</t>
    </r>
    <r>
      <rPr>
        <sz val="10"/>
        <color indexed="8"/>
        <rFont val="宋体"/>
        <family val="3"/>
        <charset val="134"/>
      </rPr>
      <t>135481</t>
    </r>
    <phoneticPr fontId="22" type="noConversion"/>
  </si>
  <si>
    <r>
      <t>SA201206260</t>
    </r>
    <r>
      <rPr>
        <sz val="10"/>
        <color indexed="8"/>
        <rFont val="宋体"/>
        <family val="3"/>
        <charset val="134"/>
      </rPr>
      <t>180</t>
    </r>
    <phoneticPr fontId="22" type="noConversion"/>
  </si>
  <si>
    <r>
      <t>SA20120627</t>
    </r>
    <r>
      <rPr>
        <sz val="10"/>
        <color indexed="8"/>
        <rFont val="宋体"/>
        <family val="3"/>
        <charset val="134"/>
      </rPr>
      <t>0141</t>
    </r>
    <phoneticPr fontId="22" type="noConversion"/>
  </si>
  <si>
    <r>
      <t>8</t>
    </r>
    <r>
      <rPr>
        <sz val="10"/>
        <color indexed="8"/>
        <rFont val="宋体"/>
        <family val="3"/>
        <charset val="134"/>
      </rPr>
      <t>247</t>
    </r>
    <phoneticPr fontId="22" type="noConversion"/>
  </si>
  <si>
    <r>
      <t>S</t>
    </r>
    <r>
      <rPr>
        <sz val="10"/>
        <color indexed="8"/>
        <rFont val="宋体"/>
        <family val="3"/>
        <charset val="134"/>
      </rPr>
      <t>A</t>
    </r>
    <r>
      <rPr>
        <sz val="10"/>
        <color indexed="8"/>
        <rFont val="宋体"/>
        <family val="3"/>
        <charset val="134"/>
      </rPr>
      <t>201206260106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</si>
  <si>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007494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</si>
  <si>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007495</t>
    </r>
    <phoneticPr fontId="22" type="noConversion"/>
  </si>
  <si>
    <r>
      <t>C</t>
    </r>
    <r>
      <rPr>
        <sz val="10"/>
        <color indexed="8"/>
        <rFont val="宋体"/>
        <family val="3"/>
        <charset val="134"/>
      </rPr>
      <t>B-D-7.5-26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</si>
  <si>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2348102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</si>
  <si>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003894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</si>
  <si>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003909</t>
    </r>
    <phoneticPr fontId="22" type="noConversion"/>
  </si>
  <si>
    <r>
      <t>9</t>
    </r>
    <r>
      <rPr>
        <sz val="10"/>
        <color indexed="8"/>
        <rFont val="宋体"/>
        <family val="3"/>
        <charset val="134"/>
      </rPr>
      <t>001A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</si>
  <si>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003919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</si>
  <si>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005558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</si>
  <si>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004461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</si>
  <si>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003K-100</t>
    </r>
    <phoneticPr fontId="22" type="noConversion"/>
  </si>
  <si>
    <r>
      <t>X</t>
    </r>
    <r>
      <rPr>
        <sz val="10"/>
        <color indexed="8"/>
        <rFont val="宋体"/>
        <family val="3"/>
        <charset val="134"/>
      </rPr>
      <t>OUT138236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</si>
  <si>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004471</t>
    </r>
    <phoneticPr fontId="22" type="noConversion"/>
  </si>
  <si>
    <t>02426647</t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</si>
  <si>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003948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</si>
  <si>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003955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</si>
  <si>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003954</t>
    </r>
    <phoneticPr fontId="22" type="noConversion"/>
  </si>
  <si>
    <r>
      <t>XOUT</t>
    </r>
    <r>
      <rPr>
        <sz val="10"/>
        <color indexed="8"/>
        <rFont val="宋体"/>
        <family val="3"/>
        <charset val="134"/>
      </rPr>
      <t>139585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</si>
  <si>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003967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</si>
  <si>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005644</t>
    </r>
    <phoneticPr fontId="22" type="noConversion"/>
  </si>
  <si>
    <r>
      <t>XOUT1</t>
    </r>
    <r>
      <rPr>
        <sz val="10"/>
        <color indexed="8"/>
        <rFont val="宋体"/>
        <family val="3"/>
        <charset val="134"/>
      </rPr>
      <t>40406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</si>
  <si>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2426697</t>
    </r>
    <phoneticPr fontId="22" type="noConversion"/>
  </si>
  <si>
    <r>
      <t>5</t>
    </r>
    <r>
      <rPr>
        <sz val="10"/>
        <color indexed="8"/>
        <rFont val="宋体"/>
        <family val="3"/>
        <charset val="134"/>
      </rPr>
      <t>N11</t>
    </r>
    <phoneticPr fontId="22" type="noConversion"/>
  </si>
  <si>
    <r>
      <t>1</t>
    </r>
    <r>
      <rPr>
        <sz val="10"/>
        <color indexed="8"/>
        <rFont val="宋体"/>
        <family val="3"/>
        <charset val="134"/>
      </rPr>
      <t>621AF</t>
    </r>
    <phoneticPr fontId="22" type="noConversion"/>
  </si>
  <si>
    <r>
      <t>1</t>
    </r>
    <r>
      <rPr>
        <sz val="10"/>
        <color indexed="8"/>
        <rFont val="宋体"/>
        <family val="3"/>
        <charset val="134"/>
      </rPr>
      <t>2901303</t>
    </r>
    <phoneticPr fontId="22" type="noConversion"/>
  </si>
  <si>
    <r>
      <t>1</t>
    </r>
    <r>
      <rPr>
        <sz val="10"/>
        <color indexed="8"/>
        <rFont val="宋体"/>
        <family val="3"/>
        <charset val="134"/>
      </rPr>
      <t>1903057</t>
    </r>
    <phoneticPr fontId="22" type="noConversion"/>
  </si>
  <si>
    <r>
      <t>XOUT14</t>
    </r>
    <r>
      <rPr>
        <sz val="10"/>
        <color indexed="8"/>
        <rFont val="宋体"/>
        <family val="3"/>
        <charset val="134"/>
      </rPr>
      <t>0663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</si>
  <si>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005658</t>
    </r>
    <phoneticPr fontId="22" type="noConversion"/>
  </si>
  <si>
    <r>
      <t>S</t>
    </r>
    <r>
      <rPr>
        <sz val="10"/>
        <color indexed="8"/>
        <rFont val="宋体"/>
        <family val="3"/>
        <charset val="134"/>
      </rPr>
      <t>A201208170101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</si>
  <si>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003254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</si>
  <si>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005683</t>
    </r>
    <phoneticPr fontId="22" type="noConversion"/>
  </si>
  <si>
    <t>0003222</t>
    <phoneticPr fontId="45" type="noConversion"/>
  </si>
  <si>
    <r>
      <t>0</t>
    </r>
    <r>
      <rPr>
        <sz val="10"/>
        <color indexed="8"/>
        <rFont val="宋体"/>
        <family val="3"/>
        <charset val="134"/>
      </rPr>
      <t>005690</t>
    </r>
    <phoneticPr fontId="45" type="noConversion"/>
  </si>
  <si>
    <r>
      <t>0</t>
    </r>
    <r>
      <rPr>
        <sz val="10"/>
        <color indexed="8"/>
        <rFont val="宋体"/>
        <family val="3"/>
        <charset val="134"/>
      </rPr>
      <t>2426759</t>
    </r>
    <phoneticPr fontId="22" type="noConversion"/>
  </si>
  <si>
    <t>03287094</t>
    <phoneticPr fontId="22" type="noConversion"/>
  </si>
  <si>
    <t>重庆市渝中区石灰市2号合景聚融1单元15-1室</t>
  </si>
  <si>
    <t>重庆西亚新型装饰材料有限公司</t>
  </si>
  <si>
    <r>
      <t>0</t>
    </r>
    <r>
      <rPr>
        <sz val="10"/>
        <color indexed="8"/>
        <rFont val="宋体"/>
        <family val="3"/>
        <charset val="134"/>
      </rPr>
      <t>3426476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</si>
  <si>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2426764</t>
    </r>
    <phoneticPr fontId="22" type="noConversion"/>
  </si>
  <si>
    <t>票号：02426764</t>
    <phoneticPr fontId="22" type="noConversion"/>
  </si>
  <si>
    <t>单位</t>
    <phoneticPr fontId="22" type="noConversion"/>
  </si>
  <si>
    <t>6001CN</t>
    <phoneticPr fontId="22" type="noConversion"/>
  </si>
  <si>
    <t>3003K-100</t>
    <phoneticPr fontId="22" type="noConversion"/>
  </si>
  <si>
    <r>
      <t>4</t>
    </r>
    <r>
      <rPr>
        <sz val="10"/>
        <color indexed="8"/>
        <rFont val="宋体"/>
        <family val="3"/>
        <charset val="134"/>
      </rPr>
      <t>680 XXL</t>
    </r>
    <phoneticPr fontId="22" type="noConversion"/>
  </si>
  <si>
    <r>
      <t>4690</t>
    </r>
    <r>
      <rPr>
        <sz val="10"/>
        <color indexed="8"/>
        <rFont val="宋体"/>
        <family val="3"/>
        <charset val="134"/>
      </rPr>
      <t xml:space="preserve"> XXL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</si>
  <si>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010 XXL</t>
    </r>
    <phoneticPr fontId="22" type="noConversion"/>
  </si>
  <si>
    <t>绿色带帽连体防护服</t>
    <phoneticPr fontId="22" type="noConversion"/>
  </si>
  <si>
    <t>橙色带帽连体防护服</t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</si>
  <si>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004006</t>
    </r>
    <phoneticPr fontId="22" type="noConversion"/>
  </si>
  <si>
    <r>
      <t>5</t>
    </r>
    <r>
      <rPr>
        <sz val="10"/>
        <color indexed="8"/>
        <rFont val="宋体"/>
        <family val="3"/>
        <charset val="134"/>
      </rPr>
      <t>N11</t>
    </r>
    <phoneticPr fontId="22" type="noConversion"/>
  </si>
  <si>
    <r>
      <t>9002</t>
    </r>
    <r>
      <rPr>
        <sz val="10"/>
        <color indexed="8"/>
        <rFont val="宋体"/>
        <family val="3"/>
        <charset val="134"/>
      </rPr>
      <t>A</t>
    </r>
    <phoneticPr fontId="22" type="noConversion"/>
  </si>
  <si>
    <r>
      <t>6003</t>
    </r>
    <r>
      <rPr>
        <sz val="10"/>
        <color indexed="8"/>
        <rFont val="宋体"/>
        <family val="3"/>
        <charset val="134"/>
      </rPr>
      <t>CN</t>
    </r>
    <phoneticPr fontId="22" type="noConversion"/>
  </si>
  <si>
    <r>
      <t>6002</t>
    </r>
    <r>
      <rPr>
        <sz val="10"/>
        <color indexed="8"/>
        <rFont val="宋体"/>
        <family val="3"/>
        <charset val="134"/>
      </rPr>
      <t>CN</t>
    </r>
    <phoneticPr fontId="22" type="noConversion"/>
  </si>
  <si>
    <r>
      <t>C</t>
    </r>
    <r>
      <rPr>
        <sz val="10"/>
        <color indexed="8"/>
        <rFont val="宋体"/>
        <family val="3"/>
        <charset val="134"/>
      </rPr>
      <t>B-D-7.5-26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</si>
  <si>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2426783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</si>
  <si>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701CN</t>
    </r>
    <phoneticPr fontId="22" type="noConversion"/>
  </si>
  <si>
    <r>
      <t>X</t>
    </r>
    <r>
      <rPr>
        <sz val="10"/>
        <color indexed="8"/>
        <rFont val="宋体"/>
        <family val="3"/>
        <charset val="134"/>
      </rPr>
      <t>OUT141867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</si>
  <si>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1388120</t>
    </r>
    <phoneticPr fontId="22" type="noConversion"/>
  </si>
  <si>
    <t>3M</t>
    <phoneticPr fontId="22" type="noConversion"/>
  </si>
  <si>
    <t>3M</t>
    <phoneticPr fontId="22" type="noConversion"/>
  </si>
  <si>
    <t>3M</t>
    <phoneticPr fontId="22" type="noConversion"/>
  </si>
  <si>
    <t>农行对私</t>
    <phoneticPr fontId="22" type="noConversion"/>
  </si>
  <si>
    <t>中行对公</t>
    <phoneticPr fontId="22" type="noConversion"/>
  </si>
  <si>
    <t>/</t>
    <phoneticPr fontId="22" type="noConversion"/>
  </si>
  <si>
    <t>中行对公</t>
    <phoneticPr fontId="22" type="noConversion"/>
  </si>
  <si>
    <t>中行对公</t>
    <phoneticPr fontId="22" type="noConversion"/>
  </si>
  <si>
    <t>个</t>
    <phoneticPr fontId="22" type="noConversion"/>
  </si>
  <si>
    <t>片</t>
    <phoneticPr fontId="22" type="noConversion"/>
  </si>
  <si>
    <t>付</t>
    <phoneticPr fontId="22" type="noConversion"/>
  </si>
  <si>
    <t>1711AF</t>
    <phoneticPr fontId="22" type="noConversion"/>
  </si>
  <si>
    <t>件</t>
    <phoneticPr fontId="22" type="noConversion"/>
  </si>
  <si>
    <t>不开票</t>
    <phoneticPr fontId="22" type="noConversion"/>
  </si>
  <si>
    <t>片</t>
    <phoneticPr fontId="22" type="noConversion"/>
  </si>
  <si>
    <t>3N11CN</t>
    <phoneticPr fontId="22" type="noConversion"/>
  </si>
  <si>
    <t>1621AF</t>
    <phoneticPr fontId="22" type="noConversion"/>
  </si>
  <si>
    <t>9001A</t>
    <phoneticPr fontId="22" type="noConversion"/>
  </si>
  <si>
    <t>9002A</t>
    <phoneticPr fontId="22" type="noConversion"/>
  </si>
  <si>
    <t>9022A</t>
    <phoneticPr fontId="22" type="noConversion"/>
  </si>
  <si>
    <t>颗粒物滤棉</t>
    <phoneticPr fontId="22" type="noConversion"/>
  </si>
  <si>
    <t>中行对公</t>
    <phoneticPr fontId="22" type="noConversion"/>
  </si>
  <si>
    <t>嘉烨</t>
    <phoneticPr fontId="22" type="noConversion"/>
  </si>
  <si>
    <t>片</t>
    <phoneticPr fontId="22" type="noConversion"/>
  </si>
  <si>
    <t>3701CN</t>
    <phoneticPr fontId="22" type="noConversion"/>
  </si>
  <si>
    <t>3744K</t>
    <phoneticPr fontId="22" type="noConversion"/>
  </si>
  <si>
    <t>Ansell</t>
    <phoneticPr fontId="22" type="noConversion"/>
  </si>
  <si>
    <t>张秀英</t>
    <phoneticPr fontId="22" type="noConversion"/>
  </si>
  <si>
    <t>13452968271</t>
    <phoneticPr fontId="22" type="noConversion"/>
  </si>
  <si>
    <t>西彭工业园区</t>
    <phoneticPr fontId="22" type="noConversion"/>
  </si>
  <si>
    <t>套</t>
    <phoneticPr fontId="22" type="noConversion"/>
  </si>
  <si>
    <t>平方米</t>
    <phoneticPr fontId="22" type="noConversion"/>
  </si>
  <si>
    <t>5N11</t>
    <phoneticPr fontId="22" type="noConversion"/>
  </si>
  <si>
    <t>件</t>
    <phoneticPr fontId="22" type="noConversion"/>
  </si>
  <si>
    <t>子弹型耳塞</t>
    <phoneticPr fontId="22" type="noConversion"/>
  </si>
  <si>
    <t>385CN</t>
    <phoneticPr fontId="22" type="noConversion"/>
  </si>
  <si>
    <t>套</t>
    <phoneticPr fontId="53" type="noConversion"/>
  </si>
  <si>
    <t>片</t>
    <phoneticPr fontId="53" type="noConversion"/>
  </si>
  <si>
    <t>付</t>
    <phoneticPr fontId="53" type="noConversion"/>
  </si>
  <si>
    <t>320D</t>
    <phoneticPr fontId="53" type="noConversion"/>
  </si>
  <si>
    <t>个</t>
    <phoneticPr fontId="53" type="noConversion"/>
  </si>
  <si>
    <t>颗粒物呼吸防护套装经济</t>
    <phoneticPr fontId="53" type="noConversion"/>
  </si>
  <si>
    <t>1621AF</t>
    <phoneticPr fontId="53" type="noConversion"/>
  </si>
  <si>
    <t>颗粒物防护口罩-蓝色</t>
    <phoneticPr fontId="53" type="noConversion"/>
  </si>
  <si>
    <t>防雾护目镜</t>
    <phoneticPr fontId="53" type="noConversion"/>
  </si>
  <si>
    <t>开会当展用</t>
    <phoneticPr fontId="53" type="noConversion"/>
  </si>
  <si>
    <t>是否归还</t>
    <phoneticPr fontId="53" type="noConversion"/>
  </si>
  <si>
    <t>否</t>
    <phoneticPr fontId="53" type="noConversion"/>
  </si>
  <si>
    <t>金守德</t>
  </si>
  <si>
    <t>0004030</t>
    <phoneticPr fontId="22" type="noConversion"/>
  </si>
  <si>
    <r>
      <t>1</t>
    </r>
    <r>
      <rPr>
        <sz val="9"/>
        <color indexed="8"/>
        <rFont val="宋体"/>
        <family val="3"/>
        <charset val="134"/>
      </rPr>
      <t>621AF</t>
    </r>
    <phoneticPr fontId="53" type="noConversion"/>
  </si>
  <si>
    <r>
      <t>3</t>
    </r>
    <r>
      <rPr>
        <sz val="9"/>
        <color indexed="8"/>
        <rFont val="宋体"/>
        <family val="3"/>
        <charset val="134"/>
      </rPr>
      <t>000</t>
    </r>
    <r>
      <rPr>
        <sz val="9"/>
        <color indexed="8"/>
        <rFont val="宋体"/>
        <family val="3"/>
        <charset val="134"/>
      </rPr>
      <t>半面型防护面罩</t>
    </r>
    <phoneticPr fontId="53" type="noConversion"/>
  </si>
  <si>
    <r>
      <t>9002</t>
    </r>
    <r>
      <rPr>
        <sz val="10"/>
        <color indexed="8"/>
        <rFont val="宋体"/>
        <family val="3"/>
        <charset val="134"/>
      </rPr>
      <t>A</t>
    </r>
    <phoneticPr fontId="22" type="noConversion"/>
  </si>
  <si>
    <t>日期</t>
  </si>
  <si>
    <t>进货单位</t>
  </si>
  <si>
    <t>品名</t>
  </si>
  <si>
    <t>数量</t>
  </si>
  <si>
    <t>单位</t>
  </si>
  <si>
    <t>单价</t>
  </si>
  <si>
    <t>金额</t>
  </si>
  <si>
    <t>收货时间</t>
  </si>
  <si>
    <t>付款时间</t>
  </si>
  <si>
    <t>付款方式</t>
  </si>
  <si>
    <t>税票号</t>
  </si>
  <si>
    <t>收票时间</t>
  </si>
  <si>
    <t>备注</t>
  </si>
  <si>
    <t>重庆市昊泽工贸有限公司</t>
  </si>
  <si>
    <t>个</t>
  </si>
  <si>
    <t>滤棉</t>
  </si>
  <si>
    <t>片</t>
  </si>
  <si>
    <t>颗粒物滤棉</t>
  </si>
  <si>
    <t>5N11</t>
  </si>
  <si>
    <t>9102C</t>
  </si>
  <si>
    <t>3701CN</t>
  </si>
  <si>
    <t>套</t>
  </si>
  <si>
    <t>防目镜</t>
  </si>
  <si>
    <t>1621AF</t>
  </si>
  <si>
    <t>付</t>
  </si>
  <si>
    <t>半面型防护面罩</t>
  </si>
  <si>
    <t>有机蒸汽滤毒盒</t>
  </si>
  <si>
    <t>6001CN</t>
  </si>
  <si>
    <t>件</t>
  </si>
  <si>
    <t>深圳市鹏亮工贸有限公司</t>
  </si>
  <si>
    <t>9002A</t>
  </si>
  <si>
    <t>白色带帽连体防护服</t>
  </si>
  <si>
    <t>防护眼镜</t>
  </si>
  <si>
    <t>1711AF</t>
  </si>
  <si>
    <t>耳罩</t>
  </si>
  <si>
    <t>双片包装</t>
  </si>
  <si>
    <t>折叠式防护口罩 (灰色，耳带式）</t>
  </si>
  <si>
    <t>9021A</t>
  </si>
  <si>
    <t>重庆亿捷通工业品股份有限公司</t>
  </si>
  <si>
    <t>不开票</t>
  </si>
  <si>
    <t>网上转账</t>
  </si>
  <si>
    <t>00804083</t>
  </si>
  <si>
    <t>总计857.80</t>
  </si>
  <si>
    <t>嘉烨购进</t>
  </si>
  <si>
    <t>3301CN</t>
  </si>
  <si>
    <t>出库单开给嘉烨</t>
  </si>
  <si>
    <t>开给嘉烨</t>
  </si>
  <si>
    <t>1623AF</t>
  </si>
  <si>
    <t>滤棉盖</t>
  </si>
  <si>
    <t>免揉搓泡棉带线耳塞</t>
  </si>
  <si>
    <t>318-1005</t>
  </si>
  <si>
    <t>中国款防护眼镜</t>
  </si>
  <si>
    <t>01560952</t>
  </si>
  <si>
    <t>预过滤棉</t>
  </si>
  <si>
    <t>3N11CN</t>
  </si>
  <si>
    <t>防毒口罩</t>
  </si>
  <si>
    <t>00253010</t>
  </si>
  <si>
    <t>顺丰：109681183973</t>
  </si>
  <si>
    <t>酸性气体滤毒盒</t>
  </si>
  <si>
    <t>6002CN</t>
  </si>
  <si>
    <t>0004245</t>
  </si>
  <si>
    <t>昆明嘉毅科技有限公司</t>
  </si>
  <si>
    <t>医用口罩</t>
  </si>
  <si>
    <t>备用金付款</t>
  </si>
  <si>
    <t>到付+10邮费</t>
  </si>
  <si>
    <t>0004330</t>
  </si>
  <si>
    <t>385CN</t>
  </si>
  <si>
    <t>0004338</t>
  </si>
  <si>
    <t>氨气及甲胺气体滤毒盒</t>
  </si>
  <si>
    <t>2012050801</t>
  </si>
  <si>
    <t>0004343</t>
  </si>
  <si>
    <t>0004346</t>
  </si>
  <si>
    <t>中国款流线型防护眼镜</t>
  </si>
  <si>
    <t>圆柱型带线耳塞</t>
  </si>
  <si>
    <t>311-1101</t>
  </si>
  <si>
    <t>折叠式耳罩</t>
  </si>
  <si>
    <t>H7F</t>
  </si>
  <si>
    <t>0004347</t>
  </si>
  <si>
    <t>颗粒物过滤棉</t>
  </si>
  <si>
    <t>0004348</t>
  </si>
  <si>
    <t>滤棉承接盖</t>
  </si>
  <si>
    <t>0004351</t>
  </si>
  <si>
    <t>口罩（三片装）</t>
  </si>
  <si>
    <t>0004258</t>
  </si>
  <si>
    <t>0004371</t>
  </si>
  <si>
    <t>现金</t>
  </si>
  <si>
    <t>头戴式耳罩</t>
  </si>
  <si>
    <t>H7A</t>
  </si>
  <si>
    <t>0004384</t>
  </si>
  <si>
    <t>经济型耳罩</t>
  </si>
  <si>
    <t>圣诞树型带线耳塞</t>
  </si>
  <si>
    <t>0004385</t>
  </si>
  <si>
    <t>子弹型带线耳塞</t>
  </si>
  <si>
    <t>0006665</t>
  </si>
  <si>
    <t>0004399</t>
  </si>
  <si>
    <t>个体经营户</t>
  </si>
  <si>
    <t>/</t>
  </si>
  <si>
    <t>0006667</t>
  </si>
  <si>
    <t>2012052201</t>
  </si>
  <si>
    <t>01560955</t>
  </si>
  <si>
    <t>铁杆物流，到付。送货到铁杆物流150.00</t>
  </si>
  <si>
    <t>重庆百货大楼股份有限公司劳保用品分公司</t>
  </si>
  <si>
    <t>02496792</t>
  </si>
  <si>
    <t>硅胶半面型单滤盒防尘面罩</t>
  </si>
  <si>
    <t>0006676</t>
  </si>
  <si>
    <t>防护口罩</t>
  </si>
  <si>
    <t>0004436</t>
  </si>
  <si>
    <t>0004450</t>
  </si>
  <si>
    <t>0004451</t>
  </si>
  <si>
    <t>有机蒸汽异味及颗粒物滤棉</t>
  </si>
  <si>
    <t>3744K</t>
  </si>
  <si>
    <t>SA201205220131</t>
  </si>
  <si>
    <t>中行对私</t>
  </si>
  <si>
    <t>2012052802</t>
  </si>
  <si>
    <t>0005362</t>
  </si>
  <si>
    <t>中行对公</t>
  </si>
  <si>
    <t>折叠式带阀防护口罩</t>
  </si>
  <si>
    <t>9001V</t>
  </si>
  <si>
    <t>0005364</t>
  </si>
  <si>
    <t>0005368</t>
  </si>
  <si>
    <t>0005375</t>
  </si>
  <si>
    <t>重庆南洋劳保用品有限公司</t>
  </si>
  <si>
    <t>XOUT132915</t>
  </si>
  <si>
    <t>01614223</t>
  </si>
  <si>
    <t>0005384</t>
  </si>
  <si>
    <t>防雾护目镜</t>
  </si>
  <si>
    <t>0006799</t>
  </si>
  <si>
    <t>XOUT133304</t>
  </si>
  <si>
    <t>农行对私</t>
  </si>
  <si>
    <t>00811199</t>
  </si>
  <si>
    <t>0006817</t>
  </si>
  <si>
    <t>滤棉承接座</t>
  </si>
  <si>
    <t>折叠式防护口罩</t>
  </si>
  <si>
    <t>9022A</t>
  </si>
  <si>
    <t>0007427</t>
  </si>
  <si>
    <t>硅胶半面型防护面罩（中号）</t>
  </si>
  <si>
    <t>0007428</t>
  </si>
  <si>
    <t>0007429</t>
  </si>
  <si>
    <t>有机蒸气滤毒盒</t>
  </si>
  <si>
    <t>XOUT133687</t>
  </si>
  <si>
    <t>0005579</t>
  </si>
  <si>
    <t>防护眼镜（防雾），蓝色镜架</t>
  </si>
  <si>
    <t>防护眼镜（防刮擦涂层）</t>
  </si>
  <si>
    <t>0005130</t>
  </si>
  <si>
    <t>0007433</t>
  </si>
  <si>
    <t>XOUT134294</t>
  </si>
  <si>
    <t>XOUT134295</t>
  </si>
  <si>
    <t>XOUT134296</t>
  </si>
  <si>
    <t>XOUT134297</t>
  </si>
  <si>
    <t>0005581</t>
  </si>
  <si>
    <t>出货单位</t>
  </si>
  <si>
    <t>成本</t>
  </si>
  <si>
    <t>收款时间</t>
  </si>
  <si>
    <t>收款方式</t>
  </si>
  <si>
    <t>出库单号</t>
  </si>
  <si>
    <t>出货方式</t>
  </si>
  <si>
    <t>收货人</t>
  </si>
  <si>
    <t>收获人电话</t>
  </si>
  <si>
    <t>运单号</t>
  </si>
  <si>
    <t>出票时间</t>
  </si>
  <si>
    <t>类别</t>
  </si>
  <si>
    <t>昆明吉盛恒商贸有限公司</t>
  </si>
  <si>
    <t>渠道</t>
  </si>
  <si>
    <t>渝北区广源劳保用品经营部</t>
  </si>
  <si>
    <t>9042A</t>
  </si>
  <si>
    <t>防护服</t>
  </si>
  <si>
    <t>重庆市勘测院</t>
  </si>
  <si>
    <t>终端</t>
  </si>
  <si>
    <t>贵阳泰峰实业有限公司</t>
  </si>
  <si>
    <t>对私转账</t>
  </si>
  <si>
    <t>重庆远标机电有限公司</t>
  </si>
  <si>
    <t>重庆戴卡捷力轮毂制造有限公司</t>
  </si>
  <si>
    <t>1002384</t>
  </si>
  <si>
    <t>1002386</t>
  </si>
  <si>
    <t>重庆铭冠劳保防护用品有限公司</t>
  </si>
  <si>
    <t>1002388</t>
  </si>
  <si>
    <t>自提</t>
  </si>
  <si>
    <t>1002389</t>
  </si>
  <si>
    <t>1002390</t>
  </si>
  <si>
    <t>恒耀·杨四物流</t>
  </si>
  <si>
    <t>李光银</t>
  </si>
  <si>
    <t>18725666444、18883228838</t>
  </si>
  <si>
    <t>011327</t>
  </si>
  <si>
    <t>到付</t>
  </si>
  <si>
    <t>荣昌砖厂</t>
  </si>
  <si>
    <t>1002391</t>
  </si>
  <si>
    <t>1002392</t>
  </si>
  <si>
    <t>重庆健隆双庆运输</t>
  </si>
  <si>
    <t>刘军</t>
  </si>
  <si>
    <t>13452102967</t>
  </si>
  <si>
    <t>0172926</t>
  </si>
  <si>
    <t>1002393</t>
  </si>
  <si>
    <t>红河州飞瑞达科技有限公司</t>
  </si>
  <si>
    <t>对公转账</t>
  </si>
  <si>
    <t>深圳顺丰直发</t>
  </si>
  <si>
    <t>109681183973</t>
  </si>
  <si>
    <t>01634383-01634384</t>
  </si>
  <si>
    <t>11197.5-11602.5</t>
  </si>
  <si>
    <t>01634383</t>
  </si>
  <si>
    <t>周俊</t>
  </si>
  <si>
    <t>13399830699</t>
  </si>
  <si>
    <t>0165178</t>
  </si>
  <si>
    <t>退货</t>
  </si>
  <si>
    <t>德邦物流退货</t>
  </si>
  <si>
    <t>昆明诺凡商贸有限公司</t>
  </si>
  <si>
    <t>从嘉毅调货</t>
  </si>
  <si>
    <t>重庆嘉烨商贸有限公司</t>
  </si>
  <si>
    <t>1002395</t>
  </si>
  <si>
    <t>龙溪镇劳保</t>
  </si>
  <si>
    <t>1002396</t>
  </si>
  <si>
    <t>15023078788</t>
  </si>
  <si>
    <t>1002397</t>
  </si>
  <si>
    <t>送货上门</t>
  </si>
  <si>
    <t>蔡舒</t>
  </si>
  <si>
    <t>13350315169</t>
  </si>
  <si>
    <t>01634372</t>
  </si>
  <si>
    <t>1002398</t>
  </si>
  <si>
    <t>0164284</t>
  </si>
  <si>
    <t>1002399</t>
  </si>
  <si>
    <t>德邦物流</t>
  </si>
  <si>
    <t>王东</t>
  </si>
  <si>
    <t>15808899650</t>
  </si>
  <si>
    <t>73681606</t>
  </si>
  <si>
    <t>云南光电辅料有限公司</t>
  </si>
  <si>
    <t>1002400</t>
  </si>
  <si>
    <t>圆通快递</t>
  </si>
  <si>
    <t>康小民</t>
  </si>
  <si>
    <t>15087005619</t>
  </si>
  <si>
    <t>5008223936</t>
  </si>
  <si>
    <t>垫付32</t>
  </si>
  <si>
    <t>2002401</t>
  </si>
  <si>
    <t>2002402</t>
  </si>
  <si>
    <t>送货山门</t>
  </si>
  <si>
    <t>15215005836</t>
  </si>
  <si>
    <t>重庆远新商贸有限责任公司</t>
  </si>
  <si>
    <t>贵阳麦迪科商贸有限公司</t>
  </si>
  <si>
    <t>荣昌县吴家镇管道配件加工厂</t>
  </si>
  <si>
    <t>2002404</t>
  </si>
  <si>
    <t>0174134</t>
  </si>
  <si>
    <t>2002405</t>
  </si>
  <si>
    <t>0174135</t>
  </si>
  <si>
    <t>2002406</t>
  </si>
  <si>
    <t>2002407</t>
  </si>
  <si>
    <t>13765018313、08516516303</t>
  </si>
  <si>
    <t>73740049</t>
  </si>
  <si>
    <t>2002408</t>
  </si>
  <si>
    <t>陈晓兰</t>
  </si>
  <si>
    <t>2596881112</t>
  </si>
  <si>
    <t>2002409</t>
  </si>
  <si>
    <t>昆明海世定泰商贸有限公司</t>
  </si>
  <si>
    <t>2002410</t>
  </si>
  <si>
    <t>01634377-01634378-01634379-01634380-01634381-01634382</t>
  </si>
  <si>
    <t>11690-11680-11680-11680-11680-800</t>
  </si>
  <si>
    <t>铁杆快运</t>
  </si>
  <si>
    <t>龙柳昆</t>
  </si>
  <si>
    <t>15187175322</t>
  </si>
  <si>
    <t>00706500</t>
  </si>
  <si>
    <t>01634375-01634376-01634377</t>
  </si>
  <si>
    <t>11570-11500-11690</t>
  </si>
  <si>
    <t>01634374-01634375</t>
  </si>
  <si>
    <t>11600-11570</t>
  </si>
  <si>
    <t>01634373</t>
  </si>
  <si>
    <t>2002411</t>
  </si>
  <si>
    <t>璧山县江渝实木家具</t>
  </si>
  <si>
    <t>2002412</t>
  </si>
  <si>
    <t>璧山县胶合锄把厂</t>
  </si>
  <si>
    <t>2002413</t>
  </si>
  <si>
    <t>璧山舒适家具厂</t>
  </si>
  <si>
    <t>2002414</t>
  </si>
  <si>
    <t>璧山县富开家具厂</t>
  </si>
  <si>
    <t>2002415</t>
  </si>
  <si>
    <t>璧山县正兴鑫月石材</t>
  </si>
  <si>
    <t>2002416</t>
  </si>
  <si>
    <t>璧山凯达实木厂</t>
  </si>
  <si>
    <t>2002417</t>
  </si>
  <si>
    <t>防毒套装</t>
  </si>
  <si>
    <t>2002418</t>
  </si>
  <si>
    <t>2002419</t>
  </si>
  <si>
    <t>2002420</t>
  </si>
  <si>
    <t>2002421</t>
  </si>
  <si>
    <t>垫江县建国家具厂</t>
  </si>
  <si>
    <t>2002422</t>
  </si>
  <si>
    <t>垫江县江龙家具厂</t>
  </si>
  <si>
    <t>2002423</t>
  </si>
  <si>
    <t>赵中恒</t>
  </si>
  <si>
    <t>13996851192</t>
  </si>
  <si>
    <t>0197860</t>
  </si>
  <si>
    <t>垫江实木家具厂</t>
  </si>
  <si>
    <t>2002424</t>
  </si>
  <si>
    <t>垫江晓利家具厂</t>
  </si>
  <si>
    <t>2002425</t>
  </si>
  <si>
    <t>垫江县华创家具厂</t>
  </si>
  <si>
    <t>2002426</t>
  </si>
  <si>
    <t>垫江伟泰家具</t>
  </si>
  <si>
    <t>2002428</t>
  </si>
  <si>
    <t>钱安凤</t>
  </si>
  <si>
    <t>18696925198</t>
  </si>
  <si>
    <t>0197859</t>
  </si>
  <si>
    <t>2002429</t>
  </si>
  <si>
    <t>俊王中美瑞实木门厂</t>
  </si>
  <si>
    <t>2002430</t>
  </si>
  <si>
    <t>唐胜碧</t>
  </si>
  <si>
    <t>13708389778</t>
  </si>
  <si>
    <t>0185661</t>
  </si>
  <si>
    <t>重庆市豪安家具有限公司</t>
  </si>
  <si>
    <t>2002432</t>
  </si>
  <si>
    <t>重庆飞达货运</t>
  </si>
  <si>
    <t>张善元</t>
  </si>
  <si>
    <t>13212370503</t>
  </si>
  <si>
    <t>0007899</t>
  </si>
  <si>
    <t>重庆锦贤家具有限公司</t>
  </si>
  <si>
    <t>2002433</t>
  </si>
  <si>
    <t>黄小姐</t>
  </si>
  <si>
    <t>15178857087</t>
  </si>
  <si>
    <t>0185660</t>
  </si>
  <si>
    <t>开县庆林木业</t>
  </si>
  <si>
    <t>2002434</t>
  </si>
  <si>
    <t>唐武银</t>
  </si>
  <si>
    <t>18996580828</t>
  </si>
  <si>
    <t>0007894</t>
  </si>
  <si>
    <t>新生物质能开发有限公司</t>
  </si>
  <si>
    <t>2002435</t>
  </si>
  <si>
    <t>13896650366</t>
  </si>
  <si>
    <t>0185578</t>
  </si>
  <si>
    <t>2002437</t>
  </si>
  <si>
    <t>大渡口美格家具厂</t>
  </si>
  <si>
    <t>2002436</t>
  </si>
  <si>
    <t>账云富</t>
  </si>
  <si>
    <t>13032338995</t>
  </si>
  <si>
    <t>硅胶版面型防护面罩</t>
  </si>
  <si>
    <t>童国英（无名厂）</t>
  </si>
  <si>
    <t>2002438</t>
  </si>
  <si>
    <t>童国英</t>
  </si>
  <si>
    <t>13883500201</t>
  </si>
  <si>
    <t>发渝家具厂</t>
  </si>
  <si>
    <t>2002439</t>
  </si>
  <si>
    <t>曾祥富</t>
  </si>
  <si>
    <t>13708342301</t>
  </si>
  <si>
    <t>奉节县星马古典家具厂</t>
  </si>
  <si>
    <t>2002440</t>
  </si>
  <si>
    <t>刘中元</t>
  </si>
  <si>
    <t>18996512333</t>
  </si>
  <si>
    <t>重庆市金匠有限公司</t>
  </si>
  <si>
    <t>2002461</t>
  </si>
  <si>
    <t>唐老师</t>
  </si>
  <si>
    <t>13983680303</t>
  </si>
  <si>
    <t>小杨</t>
  </si>
  <si>
    <t>2002462</t>
  </si>
  <si>
    <t>杨老师</t>
  </si>
  <si>
    <t>15023775917</t>
  </si>
  <si>
    <t>希菲特家具厂</t>
  </si>
  <si>
    <t>2002463</t>
  </si>
  <si>
    <t>13452029319</t>
  </si>
  <si>
    <t>彭水任漆匠家具厂</t>
  </si>
  <si>
    <t>2002464</t>
  </si>
  <si>
    <t>任安华</t>
  </si>
  <si>
    <t>13996961388</t>
  </si>
  <si>
    <t>0019254</t>
  </si>
  <si>
    <t>顺江家具厂</t>
  </si>
  <si>
    <t>2002465</t>
  </si>
  <si>
    <t>黄永琼</t>
  </si>
  <si>
    <t>73740394</t>
  </si>
  <si>
    <t>2002466</t>
  </si>
  <si>
    <t>0186557</t>
  </si>
  <si>
    <t>0186558</t>
  </si>
  <si>
    <t>0186559</t>
  </si>
  <si>
    <t>巫山县松洋家私</t>
  </si>
  <si>
    <t>2002467</t>
  </si>
  <si>
    <t>陈德华</t>
  </si>
  <si>
    <t>13896213198</t>
  </si>
  <si>
    <t>0001292</t>
  </si>
  <si>
    <t>重庆跨越卓远机械制造有限公司</t>
  </si>
  <si>
    <t>2002468</t>
  </si>
  <si>
    <t>申爱华</t>
  </si>
  <si>
    <t>18696876523</t>
  </si>
  <si>
    <t>0003561</t>
  </si>
  <si>
    <t>月结</t>
  </si>
  <si>
    <t>酉阳县鹏程家具</t>
  </si>
  <si>
    <t>半面型防护面罩（中 / 大号）</t>
  </si>
  <si>
    <t>2002470</t>
  </si>
  <si>
    <t>何承前</t>
  </si>
  <si>
    <t>13996901646</t>
  </si>
  <si>
    <t>酉阳龙腾木业</t>
  </si>
  <si>
    <t>2002471</t>
  </si>
  <si>
    <t>龙再洲</t>
  </si>
  <si>
    <t>13648202519</t>
  </si>
  <si>
    <t>2002469</t>
  </si>
  <si>
    <t>13508353157</t>
  </si>
  <si>
    <t>月付</t>
  </si>
  <si>
    <t>重庆汉森木业有限公司</t>
  </si>
  <si>
    <t>2002473</t>
  </si>
  <si>
    <t>自贡市永顺化工建材有限公司</t>
  </si>
  <si>
    <t>2002474</t>
  </si>
  <si>
    <t>杨界红</t>
  </si>
  <si>
    <t>08132303168</t>
  </si>
  <si>
    <t>梁平县柚香家私有限公司</t>
  </si>
  <si>
    <t>2002475</t>
  </si>
  <si>
    <t>龚主管</t>
  </si>
  <si>
    <t>13996646425</t>
  </si>
  <si>
    <t>艺心门业</t>
  </si>
  <si>
    <t>2002476</t>
  </si>
  <si>
    <t>简德宽</t>
  </si>
  <si>
    <t>13983756859</t>
  </si>
  <si>
    <t>折叠式防尘口罩( 小号)</t>
  </si>
  <si>
    <t>9102CS</t>
  </si>
  <si>
    <t>2002477</t>
  </si>
  <si>
    <t>2002478</t>
  </si>
  <si>
    <t>谭中华</t>
  </si>
  <si>
    <t>13888800070</t>
  </si>
  <si>
    <t>D026730611</t>
  </si>
  <si>
    <t>医用防护口罩</t>
  </si>
  <si>
    <t>沙坪坝迪浪家具厂</t>
  </si>
  <si>
    <t>6102783</t>
  </si>
  <si>
    <t>13908399606</t>
  </si>
  <si>
    <t>个人</t>
  </si>
  <si>
    <t>2002479</t>
  </si>
  <si>
    <t>张克健</t>
  </si>
  <si>
    <t>13888190980</t>
  </si>
  <si>
    <t>7041950217</t>
  </si>
  <si>
    <t>2002481</t>
  </si>
  <si>
    <t>宋军</t>
  </si>
  <si>
    <t>13765018313</t>
  </si>
  <si>
    <t>83662390</t>
  </si>
  <si>
    <t>2002480</t>
  </si>
  <si>
    <t>林先生</t>
  </si>
  <si>
    <t>13512345636</t>
  </si>
  <si>
    <t>三色套装门有限公司</t>
  </si>
  <si>
    <t>2002482</t>
  </si>
  <si>
    <t>023-67529740</t>
  </si>
  <si>
    <t>01634386</t>
  </si>
  <si>
    <t>2002484</t>
  </si>
  <si>
    <t>型号</t>
  </si>
  <si>
    <t>出库</t>
  </si>
  <si>
    <t>样品</t>
  </si>
  <si>
    <t>入库</t>
  </si>
  <si>
    <t>报事贴</t>
  </si>
  <si>
    <t>包</t>
  </si>
  <si>
    <t>嘉烨</t>
  </si>
  <si>
    <t>擦拭布</t>
  </si>
  <si>
    <t>块</t>
  </si>
  <si>
    <t>创可贴</t>
  </si>
  <si>
    <t>盒</t>
  </si>
  <si>
    <t>毛巾</t>
  </si>
  <si>
    <t>对</t>
  </si>
  <si>
    <t>防护眼镜（防刮擦涂层），蓝色镜架</t>
  </si>
  <si>
    <t>挂安全帽式耳罩</t>
  </si>
  <si>
    <t>H7P3E</t>
  </si>
  <si>
    <t>H6B/V</t>
  </si>
  <si>
    <t>环保包装</t>
  </si>
  <si>
    <t>酸性气体防护口罩</t>
  </si>
  <si>
    <t>防护口罩 (中英文防伪包装）</t>
  </si>
  <si>
    <t>唐浩然（网络销售）</t>
  </si>
  <si>
    <t>颗粒物防护口罩</t>
  </si>
  <si>
    <t>9041A</t>
  </si>
  <si>
    <t>有机气体防护口罩( 中文包装）</t>
  </si>
  <si>
    <t>有机蒸气异味及颗粒物防护口罩</t>
  </si>
  <si>
    <t>9913A</t>
  </si>
  <si>
    <t>高降噪子弹型耳塞</t>
  </si>
  <si>
    <t>391-1004</t>
  </si>
  <si>
    <t>瓶</t>
  </si>
  <si>
    <t>赠品</t>
  </si>
  <si>
    <t>颗粒物呼吸防护套</t>
  </si>
  <si>
    <t>320P</t>
  </si>
  <si>
    <t>3M</t>
  </si>
  <si>
    <t>320D</t>
  </si>
  <si>
    <t>340-4004</t>
  </si>
  <si>
    <t>免搓揉泡棉带线耳塞</t>
  </si>
  <si>
    <t>白色带帽连体防护服 XL</t>
  </si>
  <si>
    <t>样品</t>
    <phoneticPr fontId="22" type="noConversion"/>
  </si>
  <si>
    <t>个</t>
    <phoneticPr fontId="22" type="noConversion"/>
  </si>
  <si>
    <t>璧山县终端</t>
  </si>
  <si>
    <t>3003K-100</t>
  </si>
  <si>
    <t>XOUT003040</t>
    <phoneticPr fontId="22" type="noConversion"/>
  </si>
  <si>
    <t>农行对私</t>
    <phoneticPr fontId="22" type="noConversion"/>
  </si>
  <si>
    <t>片</t>
    <phoneticPr fontId="22" type="noConversion"/>
  </si>
  <si>
    <t>付</t>
    <phoneticPr fontId="22" type="noConversion"/>
  </si>
  <si>
    <t>1711AF</t>
    <phoneticPr fontId="22" type="noConversion"/>
  </si>
  <si>
    <t>高降噪子弹型带线耳塞</t>
  </si>
  <si>
    <t>XOUT134838</t>
    <phoneticPr fontId="22" type="noConversion"/>
  </si>
  <si>
    <t>绿色带帽连体防护服 XL</t>
  </si>
  <si>
    <t>0005593</t>
    <phoneticPr fontId="22" type="noConversion"/>
  </si>
  <si>
    <t>件</t>
    <phoneticPr fontId="22" type="noConversion"/>
  </si>
  <si>
    <t>中行对公</t>
    <phoneticPr fontId="22" type="noConversion"/>
  </si>
  <si>
    <t>现金</t>
    <phoneticPr fontId="22" type="noConversion"/>
  </si>
  <si>
    <t>重庆嘉烨商贸有限公司</t>
    <phoneticPr fontId="22" type="noConversion"/>
  </si>
  <si>
    <t>有机蒸气异味及颗粒物防护口罩( 头带式)</t>
  </si>
  <si>
    <t>9002V</t>
  </si>
  <si>
    <t>折叠式带阀防护口罩( 头带式/ 标准号）</t>
  </si>
  <si>
    <t>入库</t>
    <phoneticPr fontId="22" type="noConversion"/>
  </si>
  <si>
    <t>眼镜</t>
    <phoneticPr fontId="22" type="noConversion"/>
  </si>
  <si>
    <t>/</t>
    <phoneticPr fontId="22" type="noConversion"/>
  </si>
  <si>
    <r>
      <t>XOUT134</t>
    </r>
    <r>
      <rPr>
        <sz val="10"/>
        <color indexed="8"/>
        <rFont val="宋体"/>
        <family val="3"/>
        <charset val="134"/>
      </rPr>
      <t>964</t>
    </r>
    <phoneticPr fontId="22" type="noConversion"/>
  </si>
  <si>
    <t>0005598</t>
    <phoneticPr fontId="22" type="noConversion"/>
  </si>
  <si>
    <t>XOUT135067</t>
    <phoneticPr fontId="22" type="noConversion"/>
  </si>
  <si>
    <t>02348050</t>
    <phoneticPr fontId="22" type="noConversion"/>
  </si>
  <si>
    <t>XOUT135166</t>
    <phoneticPr fontId="22" type="noConversion"/>
  </si>
  <si>
    <t>弥勒县鑫和工贸有限公司</t>
  </si>
  <si>
    <t>13529827766</t>
  </si>
  <si>
    <t>不开票</t>
    <phoneticPr fontId="22" type="noConversion"/>
  </si>
  <si>
    <t>绿色带帽连体防护服 L</t>
  </si>
  <si>
    <t>0003854</t>
    <phoneticPr fontId="22" type="noConversion"/>
  </si>
  <si>
    <t>18208753585</t>
  </si>
  <si>
    <t>XOUT135490</t>
    <phoneticPr fontId="22" type="noConversion"/>
  </si>
  <si>
    <t>02473854</t>
    <phoneticPr fontId="22" type="noConversion"/>
  </si>
  <si>
    <t>01880772</t>
  </si>
  <si>
    <t>01463690</t>
  </si>
  <si>
    <t>折叠式防尘口罩( 标准号)</t>
  </si>
  <si>
    <t>9002V</t>
    <phoneticPr fontId="22" type="noConversion"/>
  </si>
  <si>
    <t>重庆三恩科技发展有限公司</t>
  </si>
  <si>
    <t>0005510</t>
    <phoneticPr fontId="22" type="noConversion"/>
  </si>
  <si>
    <t>SA201206210103</t>
    <phoneticPr fontId="22" type="noConversion"/>
  </si>
  <si>
    <t>顺丰到付</t>
    <phoneticPr fontId="22" type="noConversion"/>
  </si>
  <si>
    <t>李宏</t>
  </si>
  <si>
    <t>13987686282</t>
  </si>
  <si>
    <t>陈成就</t>
  </si>
  <si>
    <t>经济型焊接用防尘口罩</t>
  </si>
  <si>
    <t>XOUT135848</t>
    <phoneticPr fontId="22" type="noConversion"/>
  </si>
  <si>
    <t>口罩</t>
    <phoneticPr fontId="22" type="noConversion"/>
  </si>
  <si>
    <t>15925191133</t>
  </si>
  <si>
    <t>云南省昆明市五华区学府路8号1栋2单元302</t>
  </si>
  <si>
    <t>个</t>
    <phoneticPr fontId="22" type="noConversion"/>
  </si>
  <si>
    <t>出库</t>
    <phoneticPr fontId="22" type="noConversion"/>
  </si>
  <si>
    <t>个</t>
    <phoneticPr fontId="22" type="noConversion"/>
  </si>
  <si>
    <t>样品</t>
    <phoneticPr fontId="22" type="noConversion"/>
  </si>
  <si>
    <t>耳罩</t>
    <phoneticPr fontId="22" type="noConversion"/>
  </si>
  <si>
    <t>件</t>
    <phoneticPr fontId="22" type="noConversion"/>
  </si>
  <si>
    <t>出库</t>
    <phoneticPr fontId="22" type="noConversion"/>
  </si>
  <si>
    <t>防护眼镜（防雾）</t>
    <phoneticPr fontId="22" type="noConversion"/>
  </si>
  <si>
    <t>个</t>
    <phoneticPr fontId="22" type="noConversion"/>
  </si>
  <si>
    <t>个</t>
    <phoneticPr fontId="22" type="noConversion"/>
  </si>
  <si>
    <t>防护眼镜（防雾）</t>
    <phoneticPr fontId="22" type="noConversion"/>
  </si>
  <si>
    <t>H6A/V</t>
    <phoneticPr fontId="22" type="noConversion"/>
  </si>
  <si>
    <t>耳罩</t>
    <phoneticPr fontId="22" type="noConversion"/>
  </si>
  <si>
    <t>双片包装</t>
    <phoneticPr fontId="22" type="noConversion"/>
  </si>
  <si>
    <t>入库</t>
    <phoneticPr fontId="22" type="noConversion"/>
  </si>
  <si>
    <t>环保包装</t>
    <phoneticPr fontId="22" type="noConversion"/>
  </si>
  <si>
    <t>个</t>
    <phoneticPr fontId="22" type="noConversion"/>
  </si>
  <si>
    <t>张</t>
    <phoneticPr fontId="22" type="noConversion"/>
  </si>
  <si>
    <t>张</t>
    <phoneticPr fontId="22" type="noConversion"/>
  </si>
  <si>
    <t>付</t>
    <phoneticPr fontId="22" type="noConversion"/>
  </si>
  <si>
    <t>套</t>
    <phoneticPr fontId="22" type="noConversion"/>
  </si>
  <si>
    <t>3M</t>
    <phoneticPr fontId="22" type="noConversion"/>
  </si>
  <si>
    <t>样品</t>
    <phoneticPr fontId="22" type="noConversion"/>
  </si>
  <si>
    <t>唐浩然（网络销售）</t>
    <phoneticPr fontId="22" type="noConversion"/>
  </si>
  <si>
    <t>唐浩然（网络销售）</t>
    <phoneticPr fontId="22" type="noConversion"/>
  </si>
  <si>
    <t>滤毒盒</t>
    <phoneticPr fontId="22" type="noConversion"/>
  </si>
  <si>
    <t>3001CN</t>
    <phoneticPr fontId="22" type="noConversion"/>
  </si>
  <si>
    <t>防护眼镜（防雾）</t>
    <phoneticPr fontId="22" type="noConversion"/>
  </si>
  <si>
    <t>入库</t>
    <phoneticPr fontId="22" type="noConversion"/>
  </si>
  <si>
    <t>9102C</t>
    <phoneticPr fontId="22" type="noConversion"/>
  </si>
  <si>
    <t>张</t>
    <phoneticPr fontId="22" type="noConversion"/>
  </si>
  <si>
    <t>折叠式带阀防护口罩( 头带式/ 标准号）</t>
    <phoneticPr fontId="22" type="noConversion"/>
  </si>
  <si>
    <t>入库</t>
    <phoneticPr fontId="22" type="noConversion"/>
  </si>
  <si>
    <t>样品</t>
    <phoneticPr fontId="22" type="noConversion"/>
  </si>
  <si>
    <t>311-1250</t>
    <phoneticPr fontId="22" type="noConversion"/>
  </si>
  <si>
    <t>嘉烨</t>
    <phoneticPr fontId="22" type="noConversion"/>
  </si>
  <si>
    <r>
      <t>XOUT</t>
    </r>
    <r>
      <rPr>
        <sz val="10"/>
        <color indexed="8"/>
        <rFont val="宋体"/>
        <family val="3"/>
        <charset val="134"/>
      </rPr>
      <t>003241</t>
    </r>
    <phoneticPr fontId="22" type="noConversion"/>
  </si>
  <si>
    <t>0003872</t>
    <phoneticPr fontId="22" type="noConversion"/>
  </si>
  <si>
    <t>重庆渝北回兴街道双湖路133号</t>
  </si>
  <si>
    <t>3N11CN</t>
    <phoneticPr fontId="22" type="noConversion"/>
  </si>
  <si>
    <t>铜梁凯歌家具厂</t>
    <phoneticPr fontId="22" type="noConversion"/>
  </si>
  <si>
    <t>1621AF</t>
    <phoneticPr fontId="22" type="noConversion"/>
  </si>
  <si>
    <t>0005536</t>
    <phoneticPr fontId="22" type="noConversion"/>
  </si>
  <si>
    <t>安全帽</t>
    <phoneticPr fontId="22" type="noConversion"/>
  </si>
  <si>
    <t>9042A</t>
    <phoneticPr fontId="22" type="noConversion"/>
  </si>
  <si>
    <t>9002A</t>
    <phoneticPr fontId="22" type="noConversion"/>
  </si>
  <si>
    <t>6002CN</t>
    <phoneticPr fontId="22" type="noConversion"/>
  </si>
  <si>
    <t>SA201207060091</t>
    <phoneticPr fontId="22" type="noConversion"/>
  </si>
  <si>
    <t>贵阳开会</t>
    <phoneticPr fontId="22" type="noConversion"/>
  </si>
  <si>
    <t>15025311880</t>
  </si>
  <si>
    <t>13500396330</t>
  </si>
  <si>
    <t>白市驿净龙村七社</t>
  </si>
  <si>
    <t>XOUT137200</t>
    <phoneticPr fontId="22" type="noConversion"/>
  </si>
  <si>
    <t>防毒套装</t>
    <phoneticPr fontId="22" type="noConversion"/>
  </si>
  <si>
    <t>百洁布</t>
    <phoneticPr fontId="22" type="noConversion"/>
  </si>
  <si>
    <t>白色带帽红色胶条连体防护服 M</t>
  </si>
  <si>
    <r>
      <t>XOUT137</t>
    </r>
    <r>
      <rPr>
        <sz val="10"/>
        <color indexed="8"/>
        <rFont val="宋体"/>
        <family val="3"/>
        <charset val="134"/>
      </rPr>
      <t>371</t>
    </r>
    <phoneticPr fontId="22" type="noConversion"/>
  </si>
  <si>
    <t>焊接防护眼罩（IR5.0，防刮擦涂层）</t>
  </si>
  <si>
    <t>0003917</t>
    <phoneticPr fontId="22" type="noConversion"/>
  </si>
  <si>
    <t>快递</t>
    <phoneticPr fontId="22" type="noConversion"/>
  </si>
  <si>
    <t>渝中区八一路13号16-9#</t>
  </si>
  <si>
    <t>昆明市吴井路304 号附15-17 号</t>
  </si>
  <si>
    <t>重庆万州王牌路924号国腾实业集团</t>
  </si>
  <si>
    <t>云南省红河州弥勒县红河卷烟厂404-112</t>
  </si>
  <si>
    <t>昆明市环城南路668号云纺国际商厦4F-65</t>
  </si>
  <si>
    <t>沙区石小路157号附1-3-2号</t>
  </si>
  <si>
    <t>重庆市大渡口区香港城1幢17-16号</t>
  </si>
  <si>
    <t>重庆市北碚区蔡家岗镇盈田.蔡家工谷6-2</t>
  </si>
  <si>
    <t>SA201206260105</t>
    <phoneticPr fontId="22" type="noConversion"/>
  </si>
  <si>
    <t>重庆市彭水县郁山镇龙井居委渝东矿业开发有限公司</t>
  </si>
  <si>
    <t>防护口罩 (灰色，头带式）</t>
  </si>
  <si>
    <t>0005554</t>
    <phoneticPr fontId="22" type="noConversion"/>
  </si>
  <si>
    <t>023149165777</t>
  </si>
  <si>
    <t>橙色带帽连体防护服 M</t>
  </si>
  <si>
    <t>橙色带帽连体防护服 L</t>
  </si>
  <si>
    <t>防护口罩 (带呼气阀）</t>
  </si>
  <si>
    <t>开会</t>
    <phoneticPr fontId="22" type="noConversion"/>
  </si>
  <si>
    <t>和宏家具厂</t>
  </si>
  <si>
    <t>02348173</t>
  </si>
  <si>
    <t>0004475</t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</si>
  <si>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006549</t>
    </r>
    <phoneticPr fontId="22" type="noConversion"/>
  </si>
  <si>
    <t>0004479</t>
    <phoneticPr fontId="22" type="noConversion"/>
  </si>
  <si>
    <t>CB-D-7.2-09</t>
    <phoneticPr fontId="22" type="noConversion"/>
  </si>
  <si>
    <t>0004488</t>
    <phoneticPr fontId="22" type="noConversion"/>
  </si>
  <si>
    <t>贵州久煜物资有限公司</t>
  </si>
  <si>
    <r>
      <t>XOUT138</t>
    </r>
    <r>
      <rPr>
        <sz val="10"/>
        <color indexed="8"/>
        <rFont val="宋体"/>
        <family val="3"/>
        <charset val="134"/>
      </rPr>
      <t>742</t>
    </r>
    <phoneticPr fontId="22" type="noConversion"/>
  </si>
  <si>
    <t>3701CN</t>
    <phoneticPr fontId="22" type="noConversion"/>
  </si>
  <si>
    <t>CB-D-7.5-26</t>
    <phoneticPr fontId="22" type="noConversion"/>
  </si>
  <si>
    <r>
      <t>0</t>
    </r>
    <r>
      <rPr>
        <sz val="10"/>
        <color indexed="8"/>
        <rFont val="宋体"/>
        <family val="3"/>
        <charset val="134"/>
      </rPr>
      <t>2426633</t>
    </r>
    <phoneticPr fontId="22" type="noConversion"/>
  </si>
  <si>
    <t>0000152859</t>
    <phoneticPr fontId="22" type="noConversion"/>
  </si>
  <si>
    <t>有机蒸气异味及颗粒物滤棉</t>
  </si>
  <si>
    <t>XOUT138824</t>
    <phoneticPr fontId="22" type="noConversion"/>
  </si>
  <si>
    <t>双</t>
    <phoneticPr fontId="22" type="noConversion"/>
  </si>
  <si>
    <t>四川川环科技股份有限公司</t>
  </si>
  <si>
    <t>ansell-48-125</t>
    <phoneticPr fontId="22" type="noConversion"/>
  </si>
  <si>
    <t>手套-白色</t>
    <phoneticPr fontId="22" type="noConversion"/>
  </si>
  <si>
    <t>手套-蓝色</t>
    <phoneticPr fontId="22" type="noConversion"/>
  </si>
  <si>
    <t>无品牌标示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</si>
  <si>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M</t>
    </r>
    <phoneticPr fontId="22" type="noConversion"/>
  </si>
  <si>
    <t>套装耳塞</t>
    <phoneticPr fontId="22" type="noConversion"/>
  </si>
  <si>
    <t>大足县东柳工业园区</t>
  </si>
  <si>
    <r>
      <t>0</t>
    </r>
    <r>
      <rPr>
        <sz val="10"/>
        <color indexed="8"/>
        <rFont val="宋体"/>
        <family val="3"/>
        <charset val="134"/>
      </rPr>
      <t>2426639</t>
    </r>
    <phoneticPr fontId="22" type="noConversion"/>
  </si>
  <si>
    <t>02962122</t>
  </si>
  <si>
    <t>0005623</t>
    <phoneticPr fontId="22" type="noConversion"/>
  </si>
  <si>
    <t>XOUT139115</t>
    <phoneticPr fontId="22" type="noConversion"/>
  </si>
  <si>
    <t>焊接防护眼罩</t>
  </si>
  <si>
    <t>攀枝花市百川机电有限责任公司</t>
  </si>
  <si>
    <t>防尘护目镜</t>
  </si>
  <si>
    <t>6003CN</t>
  </si>
  <si>
    <t>有机及酸性气体滤毒盒</t>
  </si>
  <si>
    <t>0005638</t>
    <phoneticPr fontId="22" type="noConversion"/>
  </si>
  <si>
    <t>XOUT003843</t>
    <phoneticPr fontId="22" type="noConversion"/>
  </si>
  <si>
    <t>02355609</t>
  </si>
  <si>
    <t>0003947</t>
    <phoneticPr fontId="22" type="noConversion"/>
  </si>
  <si>
    <t>1791T</t>
    <phoneticPr fontId="22" type="noConversion"/>
  </si>
  <si>
    <t>时尚型防护眼镜</t>
  </si>
  <si>
    <t>0005717</t>
    <phoneticPr fontId="22" type="noConversion"/>
  </si>
  <si>
    <t>0003203</t>
    <phoneticPr fontId="22" type="noConversion"/>
  </si>
  <si>
    <t>重庆商祺商贸有限公司</t>
  </si>
  <si>
    <t>颗粒物防尘口罩-蓝色</t>
  </si>
  <si>
    <t>37-175</t>
    <phoneticPr fontId="22" type="noConversion"/>
  </si>
  <si>
    <t>0017146</t>
    <phoneticPr fontId="22" type="noConversion"/>
  </si>
  <si>
    <t>37-176</t>
    <phoneticPr fontId="22" type="noConversion"/>
  </si>
  <si>
    <t>0005734</t>
    <phoneticPr fontId="22" type="noConversion"/>
  </si>
  <si>
    <t>杜邦</t>
  </si>
  <si>
    <t>tychem-c</t>
    <phoneticPr fontId="22" type="noConversion"/>
  </si>
  <si>
    <t>杜邦</t>
    <phoneticPr fontId="22" type="noConversion"/>
  </si>
  <si>
    <t>0005736</t>
    <phoneticPr fontId="22" type="noConversion"/>
  </si>
  <si>
    <t>个</t>
    <phoneticPr fontId="22" type="noConversion"/>
  </si>
  <si>
    <t>XOUT143294</t>
    <phoneticPr fontId="22" type="noConversion"/>
  </si>
  <si>
    <t>15084321018</t>
  </si>
  <si>
    <t>个</t>
    <phoneticPr fontId="22" type="noConversion"/>
  </si>
  <si>
    <t>3744K</t>
    <phoneticPr fontId="22" type="noConversion"/>
  </si>
  <si>
    <t>/</t>
    <phoneticPr fontId="22" type="noConversion"/>
  </si>
  <si>
    <t>个</t>
    <phoneticPr fontId="22" type="noConversion"/>
  </si>
  <si>
    <t>/</t>
    <phoneticPr fontId="22" type="noConversion"/>
  </si>
  <si>
    <t>03472742</t>
    <phoneticPr fontId="22" type="noConversion"/>
  </si>
  <si>
    <t>37-176</t>
    <phoneticPr fontId="22" type="noConversion"/>
  </si>
  <si>
    <t>0004047</t>
    <phoneticPr fontId="22" type="noConversion"/>
  </si>
  <si>
    <t>中铁二院工程集团彭水渝东矿业开发有限公司</t>
  </si>
  <si>
    <t>不开票</t>
    <phoneticPr fontId="22" type="noConversion"/>
  </si>
  <si>
    <t>中行对公</t>
    <phoneticPr fontId="22" type="noConversion"/>
  </si>
  <si>
    <t>1621AF</t>
    <phoneticPr fontId="22" type="noConversion"/>
  </si>
  <si>
    <t>付</t>
    <phoneticPr fontId="22" type="noConversion"/>
  </si>
  <si>
    <t>0003212</t>
    <phoneticPr fontId="22" type="noConversion"/>
  </si>
  <si>
    <t>0027804</t>
    <phoneticPr fontId="22" type="noConversion"/>
  </si>
  <si>
    <t>个</t>
    <phoneticPr fontId="22" type="noConversion"/>
  </si>
  <si>
    <t>CB-D-7.5-26</t>
    <phoneticPr fontId="22" type="noConversion"/>
  </si>
  <si>
    <r>
      <t>3</t>
    </r>
    <r>
      <rPr>
        <sz val="9"/>
        <color indexed="8"/>
        <rFont val="宋体"/>
        <family val="3"/>
        <charset val="134"/>
      </rPr>
      <t>11-1250</t>
    </r>
    <phoneticPr fontId="53" type="noConversion"/>
  </si>
  <si>
    <r>
      <t>1</t>
    </r>
    <r>
      <rPr>
        <sz val="9"/>
        <color indexed="8"/>
        <rFont val="宋体"/>
        <family val="3"/>
        <charset val="134"/>
      </rPr>
      <t>623AF</t>
    </r>
    <phoneticPr fontId="53" type="noConversion"/>
  </si>
  <si>
    <r>
      <t>3</t>
    </r>
    <r>
      <rPr>
        <sz val="9"/>
        <color indexed="8"/>
        <rFont val="宋体"/>
        <family val="3"/>
        <charset val="134"/>
      </rPr>
      <t>20P</t>
    </r>
    <phoneticPr fontId="53" type="noConversion"/>
  </si>
  <si>
    <t>盒</t>
    <phoneticPr fontId="53" type="noConversion"/>
  </si>
  <si>
    <r>
      <t>3</t>
    </r>
    <r>
      <rPr>
        <sz val="9"/>
        <color indexed="8"/>
        <rFont val="宋体"/>
        <family val="3"/>
        <charset val="134"/>
      </rPr>
      <t>20D</t>
    </r>
    <phoneticPr fontId="53" type="noConversion"/>
  </si>
  <si>
    <r>
      <t>9</t>
    </r>
    <r>
      <rPr>
        <sz val="9"/>
        <color indexed="8"/>
        <rFont val="宋体"/>
        <family val="3"/>
        <charset val="134"/>
      </rPr>
      <t>002A</t>
    </r>
    <phoneticPr fontId="53" type="noConversion"/>
  </si>
  <si>
    <r>
      <t>9</t>
    </r>
    <r>
      <rPr>
        <sz val="9"/>
        <color indexed="8"/>
        <rFont val="宋体"/>
        <family val="3"/>
        <charset val="134"/>
      </rPr>
      <t>042A</t>
    </r>
    <phoneticPr fontId="53" type="noConversion"/>
  </si>
  <si>
    <r>
      <t>9</t>
    </r>
    <r>
      <rPr>
        <sz val="9"/>
        <color indexed="8"/>
        <rFont val="宋体"/>
        <family val="3"/>
        <charset val="134"/>
      </rPr>
      <t>002V</t>
    </r>
    <phoneticPr fontId="53" type="noConversion"/>
  </si>
  <si>
    <r>
      <t>4</t>
    </r>
    <r>
      <rPr>
        <sz val="9"/>
        <color indexed="8"/>
        <rFont val="宋体"/>
        <family val="3"/>
        <charset val="134"/>
      </rPr>
      <t>620 L</t>
    </r>
    <phoneticPr fontId="53" type="noConversion"/>
  </si>
  <si>
    <t>个</t>
    <phoneticPr fontId="22" type="noConversion"/>
  </si>
  <si>
    <t>/</t>
    <phoneticPr fontId="22" type="noConversion"/>
  </si>
  <si>
    <t>组</t>
    <phoneticPr fontId="22" type="noConversion"/>
  </si>
  <si>
    <t>成都万方机电有限公司</t>
  </si>
  <si>
    <t>52000183617</t>
    <phoneticPr fontId="22" type="noConversion"/>
  </si>
  <si>
    <t>03568333</t>
    <phoneticPr fontId="22" type="noConversion"/>
  </si>
  <si>
    <t>385CN</t>
    <phoneticPr fontId="22" type="noConversion"/>
  </si>
  <si>
    <t>03472764</t>
    <phoneticPr fontId="22" type="noConversion"/>
  </si>
  <si>
    <t>防护口罩舒适型</t>
    <phoneticPr fontId="53" type="noConversion"/>
  </si>
  <si>
    <t>样品</t>
    <phoneticPr fontId="53" type="noConversion"/>
  </si>
  <si>
    <t>尘毒呼吸防护套装经济型</t>
    <phoneticPr fontId="53" type="noConversion"/>
  </si>
  <si>
    <t>颗粒物呼吸防护套装经济型</t>
    <phoneticPr fontId="53" type="noConversion"/>
  </si>
  <si>
    <t>防护口罩舒适版</t>
    <phoneticPr fontId="53" type="noConversion"/>
  </si>
  <si>
    <t>白色带帽连体防护服</t>
    <phoneticPr fontId="53" type="noConversion"/>
  </si>
  <si>
    <t>防护眼镜（防刮擦涂层）</t>
    <phoneticPr fontId="53" type="noConversion"/>
  </si>
  <si>
    <t>件</t>
    <phoneticPr fontId="53" type="noConversion"/>
  </si>
  <si>
    <t>个</t>
    <phoneticPr fontId="22" type="noConversion"/>
  </si>
  <si>
    <t>付</t>
    <phoneticPr fontId="22" type="noConversion"/>
  </si>
  <si>
    <t>9042A</t>
    <phoneticPr fontId="22" type="noConversion"/>
  </si>
  <si>
    <t>1621AF</t>
    <phoneticPr fontId="22" type="noConversion"/>
  </si>
  <si>
    <t>0005620</t>
    <phoneticPr fontId="22" type="noConversion"/>
  </si>
  <si>
    <t>0005082</t>
    <phoneticPr fontId="22" type="noConversion"/>
  </si>
  <si>
    <t>00479850</t>
    <phoneticPr fontId="60" type="noConversion"/>
  </si>
  <si>
    <t>0005084</t>
    <phoneticPr fontId="22" type="noConversion"/>
  </si>
  <si>
    <t>经济型轻便防护眼镜</t>
  </si>
  <si>
    <t>个</t>
    <phoneticPr fontId="22" type="noConversion"/>
  </si>
  <si>
    <t>0027806</t>
    <phoneticPr fontId="22" type="noConversion"/>
  </si>
  <si>
    <t>个</t>
    <phoneticPr fontId="22" type="noConversion"/>
  </si>
  <si>
    <t>片</t>
    <phoneticPr fontId="22" type="noConversion"/>
  </si>
  <si>
    <t>3701CN</t>
    <phoneticPr fontId="22" type="noConversion"/>
  </si>
  <si>
    <t>0005088</t>
    <phoneticPr fontId="22" type="noConversion"/>
  </si>
  <si>
    <t>个</t>
    <phoneticPr fontId="22" type="noConversion"/>
  </si>
  <si>
    <t>6001CN</t>
    <phoneticPr fontId="22" type="noConversion"/>
  </si>
  <si>
    <t>0027810</t>
    <phoneticPr fontId="22" type="noConversion"/>
  </si>
  <si>
    <t>3301CN</t>
    <phoneticPr fontId="22" type="noConversion"/>
  </si>
  <si>
    <t>3N11CN</t>
    <phoneticPr fontId="22" type="noConversion"/>
  </si>
  <si>
    <t>3301CN</t>
    <phoneticPr fontId="22" type="noConversion"/>
  </si>
  <si>
    <t>个</t>
    <phoneticPr fontId="22" type="noConversion"/>
  </si>
  <si>
    <t>0005044</t>
    <phoneticPr fontId="22" type="noConversion"/>
  </si>
  <si>
    <t>delte plus</t>
    <phoneticPr fontId="22" type="noConversion"/>
  </si>
  <si>
    <t>0005051</t>
    <phoneticPr fontId="22" type="noConversion"/>
  </si>
  <si>
    <t>个</t>
    <phoneticPr fontId="22" type="noConversion"/>
  </si>
  <si>
    <t>XSD-2012-09-26-00199</t>
    <phoneticPr fontId="22" type="noConversion"/>
  </si>
  <si>
    <t>农行对私</t>
    <phoneticPr fontId="22" type="noConversion"/>
  </si>
  <si>
    <t>0005093</t>
    <phoneticPr fontId="22" type="noConversion"/>
  </si>
  <si>
    <t>CB-D-7.5-26</t>
    <phoneticPr fontId="22" type="noConversion"/>
  </si>
  <si>
    <t>03472812</t>
    <phoneticPr fontId="22" type="noConversion"/>
  </si>
  <si>
    <t>03472813</t>
    <phoneticPr fontId="22" type="noConversion"/>
  </si>
  <si>
    <t>中行对公</t>
    <phoneticPr fontId="22" type="noConversion"/>
  </si>
  <si>
    <t>0005059</t>
    <phoneticPr fontId="22" type="noConversion"/>
  </si>
  <si>
    <t>0003409</t>
    <phoneticPr fontId="22" type="noConversion"/>
  </si>
  <si>
    <t>中行对公</t>
    <phoneticPr fontId="22" type="noConversion"/>
  </si>
  <si>
    <t>01571703</t>
    <phoneticPr fontId="22" type="noConversion"/>
  </si>
  <si>
    <t>07633851</t>
    <phoneticPr fontId="22" type="noConversion"/>
  </si>
  <si>
    <t>0004069</t>
    <phoneticPr fontId="22" type="noConversion"/>
  </si>
  <si>
    <r>
      <t>1</t>
    </r>
    <r>
      <rPr>
        <sz val="10"/>
        <color indexed="8"/>
        <rFont val="宋体"/>
        <family val="3"/>
        <charset val="134"/>
      </rPr>
      <t>623AF</t>
    </r>
    <phoneticPr fontId="22" type="noConversion"/>
  </si>
  <si>
    <t>付</t>
    <phoneticPr fontId="22" type="noConversion"/>
  </si>
  <si>
    <t>出库</t>
    <phoneticPr fontId="22" type="noConversion"/>
  </si>
  <si>
    <t>样品</t>
    <phoneticPr fontId="22" type="noConversion"/>
  </si>
  <si>
    <t>亚洲款舒适型防化学护目镜（透明镜片，防雾涂层 )</t>
    <phoneticPr fontId="22" type="noConversion"/>
  </si>
  <si>
    <t>重庆北部新区消防支队消防装备器材采购</t>
  </si>
  <si>
    <t>0004073</t>
    <phoneticPr fontId="22" type="noConversion"/>
  </si>
  <si>
    <t>付</t>
    <phoneticPr fontId="22" type="noConversion"/>
  </si>
  <si>
    <t>重庆诚济医疗器械有限公司</t>
  </si>
  <si>
    <t>中行对公</t>
    <phoneticPr fontId="22" type="noConversion"/>
  </si>
  <si>
    <t>023-62837132</t>
  </si>
  <si>
    <t>重庆市南岸区金山支路21号附4号</t>
  </si>
  <si>
    <t>/</t>
    <phoneticPr fontId="22" type="noConversion"/>
  </si>
  <si>
    <t>不开票</t>
    <phoneticPr fontId="22" type="noConversion"/>
  </si>
  <si>
    <t>出库</t>
    <phoneticPr fontId="22" type="noConversion"/>
  </si>
  <si>
    <t>自贡市正信物资有限公司</t>
  </si>
  <si>
    <t>0004078</t>
    <phoneticPr fontId="22" type="noConversion"/>
  </si>
  <si>
    <t>03472836</t>
    <phoneticPr fontId="22" type="noConversion"/>
  </si>
  <si>
    <t>发票金额</t>
    <phoneticPr fontId="22" type="noConversion"/>
  </si>
  <si>
    <t>0004082</t>
    <phoneticPr fontId="22" type="noConversion"/>
  </si>
  <si>
    <t>农行对私</t>
    <phoneticPr fontId="22" type="noConversion"/>
  </si>
  <si>
    <t>永安</t>
    <phoneticPr fontId="22" type="noConversion"/>
  </si>
  <si>
    <t>0020344</t>
    <phoneticPr fontId="22" type="noConversion"/>
  </si>
  <si>
    <t>现金</t>
    <phoneticPr fontId="22" type="noConversion"/>
  </si>
  <si>
    <t>重庆宇立金属化工有限公司</t>
  </si>
  <si>
    <t>型号</t>
    <phoneticPr fontId="22" type="noConversion"/>
  </si>
  <si>
    <t>重庆宇立金属化工有限公司</t>
    <phoneticPr fontId="22" type="noConversion"/>
  </si>
  <si>
    <t>0004087</t>
    <phoneticPr fontId="22" type="noConversion"/>
  </si>
  <si>
    <t>S0201210100056</t>
    <phoneticPr fontId="22" type="noConversion"/>
  </si>
  <si>
    <t>重庆远东门窗有限公司</t>
  </si>
  <si>
    <t>中行对公</t>
    <phoneticPr fontId="22" type="noConversion"/>
  </si>
  <si>
    <t>0004098</t>
    <phoneticPr fontId="22" type="noConversion"/>
  </si>
  <si>
    <t>0004099</t>
  </si>
  <si>
    <t>0005426</t>
    <phoneticPr fontId="22" type="noConversion"/>
  </si>
  <si>
    <t>隔热焊工手套</t>
  </si>
  <si>
    <t>52000183617</t>
    <phoneticPr fontId="22" type="noConversion"/>
  </si>
  <si>
    <t>全面型防护面罩</t>
  </si>
  <si>
    <t>V型安全帽</t>
  </si>
  <si>
    <t>防护眼镜</t>
    <phoneticPr fontId="22" type="noConversion"/>
  </si>
  <si>
    <t>重庆川田门厂有限责任公司</t>
  </si>
  <si>
    <t>391-1000</t>
    <phoneticPr fontId="22" type="noConversion"/>
  </si>
  <si>
    <t>/</t>
    <phoneticPr fontId="22" type="noConversion"/>
  </si>
  <si>
    <t>S0201210100064</t>
    <phoneticPr fontId="22" type="noConversion"/>
  </si>
  <si>
    <t>中行对公</t>
    <phoneticPr fontId="22" type="noConversion"/>
  </si>
  <si>
    <t>付</t>
    <phoneticPr fontId="22" type="noConversion"/>
  </si>
  <si>
    <t>中行对公</t>
    <phoneticPr fontId="22" type="noConversion"/>
  </si>
  <si>
    <t>391-1001</t>
    <phoneticPr fontId="22" type="noConversion"/>
  </si>
  <si>
    <t>/</t>
    <phoneticPr fontId="22" type="noConversion"/>
  </si>
  <si>
    <t>个</t>
    <phoneticPr fontId="22" type="noConversion"/>
  </si>
  <si>
    <t>0005445</t>
    <phoneticPr fontId="22" type="noConversion"/>
  </si>
  <si>
    <t>5N11</t>
    <phoneticPr fontId="22" type="noConversion"/>
  </si>
  <si>
    <t>/</t>
    <phoneticPr fontId="22" type="noConversion"/>
  </si>
  <si>
    <t>0027820</t>
    <phoneticPr fontId="22" type="noConversion"/>
  </si>
  <si>
    <t>01427459</t>
    <phoneticPr fontId="22" type="noConversion"/>
  </si>
  <si>
    <t>6001CN</t>
    <phoneticPr fontId="22" type="noConversion"/>
  </si>
  <si>
    <t>5N11</t>
    <phoneticPr fontId="60" type="noConversion"/>
  </si>
  <si>
    <t>6001CN</t>
    <phoneticPr fontId="60" type="noConversion"/>
  </si>
  <si>
    <t>3M</t>
    <phoneticPr fontId="22" type="noConversion"/>
  </si>
  <si>
    <t>付</t>
    <phoneticPr fontId="22" type="noConversion"/>
  </si>
  <si>
    <t>0003283</t>
    <phoneticPr fontId="22" type="noConversion"/>
  </si>
  <si>
    <t>不开票</t>
    <phoneticPr fontId="22" type="noConversion"/>
  </si>
  <si>
    <t>385CN</t>
    <phoneticPr fontId="22" type="noConversion"/>
  </si>
  <si>
    <t>个</t>
    <phoneticPr fontId="22" type="noConversion"/>
  </si>
  <si>
    <t>0005435</t>
    <phoneticPr fontId="22" type="noConversion"/>
  </si>
  <si>
    <t>00203318</t>
    <phoneticPr fontId="22" type="noConversion"/>
  </si>
  <si>
    <t>重庆紫泉包装有限公司</t>
  </si>
  <si>
    <t>西斯贝尔</t>
    <phoneticPr fontId="22" type="noConversion"/>
  </si>
  <si>
    <t>WG6001</t>
    <phoneticPr fontId="22" type="noConversion"/>
  </si>
  <si>
    <t>台</t>
    <phoneticPr fontId="22" type="noConversion"/>
  </si>
  <si>
    <t>/</t>
    <phoneticPr fontId="22" type="noConversion"/>
  </si>
  <si>
    <t>中行对公</t>
    <phoneticPr fontId="22" type="noConversion"/>
  </si>
  <si>
    <t>3M</t>
    <phoneticPr fontId="22" type="noConversion"/>
  </si>
  <si>
    <t>XSD-2012-10-19-00106</t>
    <phoneticPr fontId="22" type="noConversion"/>
  </si>
  <si>
    <t>组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</si>
  <si>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18-1005</t>
    </r>
    <phoneticPr fontId="22" type="noConversion"/>
  </si>
  <si>
    <t>付</t>
    <phoneticPr fontId="22" type="noConversion"/>
  </si>
  <si>
    <t>出库</t>
    <phoneticPr fontId="22" type="noConversion"/>
  </si>
  <si>
    <t>样品</t>
    <phoneticPr fontId="22" type="noConversion"/>
  </si>
  <si>
    <t>云南省红河州开远市西北路18号</t>
  </si>
  <si>
    <t>付</t>
    <phoneticPr fontId="22" type="noConversion"/>
  </si>
  <si>
    <t>现金</t>
    <phoneticPr fontId="22" type="noConversion"/>
  </si>
  <si>
    <t>6001CN</t>
    <phoneticPr fontId="22" type="noConversion"/>
  </si>
  <si>
    <t>个</t>
    <phoneticPr fontId="22" type="noConversion"/>
  </si>
  <si>
    <t>2134121</t>
    <phoneticPr fontId="22" type="noConversion"/>
  </si>
  <si>
    <t>005473</t>
    <phoneticPr fontId="22" type="noConversion"/>
  </si>
  <si>
    <t>00614747</t>
    <phoneticPr fontId="22" type="noConversion"/>
  </si>
  <si>
    <t>MDSIN</t>
    <phoneticPr fontId="22" type="noConversion"/>
  </si>
  <si>
    <t>K-1001B</t>
    <phoneticPr fontId="22" type="noConversion"/>
  </si>
  <si>
    <t>mdsin-1350980916228</t>
    <phoneticPr fontId="22" type="noConversion"/>
  </si>
  <si>
    <t>不开票</t>
    <phoneticPr fontId="22" type="noConversion"/>
  </si>
  <si>
    <t>1711AF</t>
    <phoneticPr fontId="22" type="noConversion"/>
  </si>
  <si>
    <t>付</t>
    <phoneticPr fontId="22" type="noConversion"/>
  </si>
  <si>
    <t>100V自动变光焊接面罩</t>
  </si>
  <si>
    <t>3M</t>
    <phoneticPr fontId="22" type="noConversion"/>
  </si>
  <si>
    <t>XOUT147840</t>
    <phoneticPr fontId="22" type="noConversion"/>
  </si>
  <si>
    <t>农行对私</t>
    <phoneticPr fontId="22" type="noConversion"/>
  </si>
  <si>
    <t>防护服F级</t>
  </si>
  <si>
    <t>01616635-01616636</t>
    <phoneticPr fontId="22" type="noConversion"/>
  </si>
  <si>
    <t>6554-503</t>
    <phoneticPr fontId="22" type="noConversion"/>
  </si>
  <si>
    <t>运费230</t>
    <phoneticPr fontId="22" type="noConversion"/>
  </si>
  <si>
    <t>中行对公</t>
    <phoneticPr fontId="22" type="noConversion"/>
  </si>
  <si>
    <t>9001A</t>
    <phoneticPr fontId="22" type="noConversion"/>
  </si>
  <si>
    <t>片</t>
    <phoneticPr fontId="22" type="noConversion"/>
  </si>
  <si>
    <t>385CN</t>
    <phoneticPr fontId="22" type="noConversion"/>
  </si>
  <si>
    <t>XOUT147979</t>
    <phoneticPr fontId="22" type="noConversion"/>
  </si>
  <si>
    <t>个</t>
    <phoneticPr fontId="22" type="noConversion"/>
  </si>
  <si>
    <t>9042A</t>
    <phoneticPr fontId="22" type="noConversion"/>
  </si>
  <si>
    <t>0001604</t>
    <phoneticPr fontId="22" type="noConversion"/>
  </si>
  <si>
    <t>0001605</t>
    <phoneticPr fontId="22" type="noConversion"/>
  </si>
  <si>
    <t>不开票</t>
    <phoneticPr fontId="22" type="noConversion"/>
  </si>
  <si>
    <t>01571737</t>
    <phoneticPr fontId="22" type="noConversion"/>
  </si>
  <si>
    <t>sa201210240097</t>
    <phoneticPr fontId="22" type="noConversion"/>
  </si>
  <si>
    <t>/</t>
    <phoneticPr fontId="22" type="noConversion"/>
  </si>
  <si>
    <t>XSD-2012-10-24-00134</t>
    <phoneticPr fontId="22" type="noConversion"/>
  </si>
  <si>
    <t>片</t>
    <phoneticPr fontId="22" type="noConversion"/>
  </si>
  <si>
    <t>付</t>
    <phoneticPr fontId="22" type="noConversion"/>
  </si>
  <si>
    <t>0001617</t>
    <phoneticPr fontId="22" type="noConversion"/>
  </si>
  <si>
    <t>个</t>
    <phoneticPr fontId="22" type="noConversion"/>
  </si>
  <si>
    <t>0001613</t>
    <phoneticPr fontId="22" type="noConversion"/>
  </si>
  <si>
    <t>不开票</t>
    <phoneticPr fontId="22" type="noConversion"/>
  </si>
  <si>
    <t>tychem-F</t>
    <phoneticPr fontId="22" type="noConversion"/>
  </si>
  <si>
    <t>sa201210240096</t>
    <phoneticPr fontId="22" type="noConversion"/>
  </si>
  <si>
    <t>3701CN</t>
    <phoneticPr fontId="22" type="noConversion"/>
  </si>
  <si>
    <t>0001618</t>
    <phoneticPr fontId="22" type="noConversion"/>
  </si>
  <si>
    <t>条</t>
    <phoneticPr fontId="22" type="noConversion"/>
  </si>
  <si>
    <t>XOUT148325</t>
    <phoneticPr fontId="22" type="noConversion"/>
  </si>
  <si>
    <t>个</t>
    <phoneticPr fontId="22" type="noConversion"/>
  </si>
  <si>
    <t>0001864</t>
    <phoneticPr fontId="22" type="noConversion"/>
  </si>
  <si>
    <t>片</t>
    <phoneticPr fontId="22" type="noConversion"/>
  </si>
  <si>
    <t>/</t>
    <phoneticPr fontId="22" type="noConversion"/>
  </si>
  <si>
    <t>C-FL550DD</t>
    <phoneticPr fontId="22" type="noConversion"/>
  </si>
  <si>
    <t>盒</t>
    <phoneticPr fontId="22" type="noConversion"/>
  </si>
  <si>
    <t>00788691</t>
    <phoneticPr fontId="22" type="noConversion"/>
  </si>
  <si>
    <t>0000099</t>
    <phoneticPr fontId="22" type="noConversion"/>
  </si>
  <si>
    <t>0001871</t>
    <phoneticPr fontId="22" type="noConversion"/>
  </si>
  <si>
    <t>2134134</t>
    <phoneticPr fontId="22" type="noConversion"/>
  </si>
  <si>
    <t>9041A</t>
    <phoneticPr fontId="22" type="noConversion"/>
  </si>
  <si>
    <t>XOUT148741</t>
    <phoneticPr fontId="22" type="noConversion"/>
  </si>
  <si>
    <t>301508 44</t>
    <phoneticPr fontId="22" type="noConversion"/>
  </si>
  <si>
    <t>301508 37</t>
    <phoneticPr fontId="22" type="noConversion"/>
  </si>
  <si>
    <t>301508 38</t>
    <phoneticPr fontId="22" type="noConversion"/>
  </si>
  <si>
    <t>301508 39</t>
    <phoneticPr fontId="22" type="noConversion"/>
  </si>
  <si>
    <t>301508 40</t>
    <phoneticPr fontId="22" type="noConversion"/>
  </si>
  <si>
    <t>301508 41</t>
    <phoneticPr fontId="22" type="noConversion"/>
  </si>
  <si>
    <t>301508 42</t>
    <phoneticPr fontId="22" type="noConversion"/>
  </si>
  <si>
    <t>CDZX20121031</t>
    <phoneticPr fontId="22" type="noConversion"/>
  </si>
  <si>
    <t>301508 36</t>
    <phoneticPr fontId="22" type="noConversion"/>
  </si>
  <si>
    <t>S0201210300040</t>
    <phoneticPr fontId="22" type="noConversion"/>
  </si>
  <si>
    <t>中行对公</t>
    <phoneticPr fontId="22" type="noConversion"/>
  </si>
  <si>
    <t>件</t>
    <phoneticPr fontId="22" type="noConversion"/>
  </si>
  <si>
    <t>付</t>
    <phoneticPr fontId="22" type="noConversion"/>
  </si>
  <si>
    <t>0001875</t>
    <phoneticPr fontId="22" type="noConversion"/>
  </si>
  <si>
    <t>B290</t>
    <phoneticPr fontId="22" type="noConversion"/>
  </si>
  <si>
    <t>G104</t>
    <phoneticPr fontId="22" type="noConversion"/>
  </si>
  <si>
    <t>S0201211020016</t>
    <phoneticPr fontId="22" type="noConversion"/>
  </si>
  <si>
    <t>GM1211-1-02</t>
    <phoneticPr fontId="22" type="noConversion"/>
  </si>
  <si>
    <t>K-014B</t>
    <phoneticPr fontId="22" type="noConversion"/>
  </si>
  <si>
    <t>mdsin-1351752769600</t>
    <phoneticPr fontId="22" type="noConversion"/>
  </si>
  <si>
    <t>GM1211-2-04</t>
    <phoneticPr fontId="22" type="noConversion"/>
  </si>
  <si>
    <t>S0201211020079</t>
    <phoneticPr fontId="22" type="noConversion"/>
  </si>
  <si>
    <t>0006562</t>
    <phoneticPr fontId="22" type="noConversion"/>
  </si>
  <si>
    <t>品名</t>
    <phoneticPr fontId="22" type="noConversion"/>
  </si>
  <si>
    <t>0006564</t>
    <phoneticPr fontId="22" type="noConversion"/>
  </si>
  <si>
    <t>XSD-2012-11-01-00001</t>
    <phoneticPr fontId="22" type="noConversion"/>
  </si>
  <si>
    <t>名称</t>
    <phoneticPr fontId="60" type="noConversion"/>
  </si>
  <si>
    <t>型号</t>
    <phoneticPr fontId="60" type="noConversion"/>
  </si>
  <si>
    <t>库存数</t>
    <phoneticPr fontId="60" type="noConversion"/>
  </si>
  <si>
    <t>成本</t>
    <phoneticPr fontId="60" type="noConversion"/>
  </si>
  <si>
    <t>总成本</t>
    <phoneticPr fontId="60" type="noConversion"/>
  </si>
  <si>
    <t>颗粒物滤棉</t>
    <phoneticPr fontId="60" type="noConversion"/>
  </si>
  <si>
    <t>3701CN</t>
    <phoneticPr fontId="60" type="noConversion"/>
  </si>
  <si>
    <t>有机蒸气滤毒盒</t>
    <phoneticPr fontId="60" type="noConversion"/>
  </si>
  <si>
    <t>3301CN</t>
    <phoneticPr fontId="60" type="noConversion"/>
  </si>
  <si>
    <t>预过滤棉</t>
    <phoneticPr fontId="60" type="noConversion"/>
  </si>
  <si>
    <t>3N11CN</t>
    <phoneticPr fontId="60" type="noConversion"/>
  </si>
  <si>
    <t>滤棉盖（新）</t>
    <phoneticPr fontId="60" type="noConversion"/>
  </si>
  <si>
    <t>385CN</t>
    <phoneticPr fontId="60" type="noConversion"/>
  </si>
  <si>
    <t>半面型防护面罩（中号）</t>
    <phoneticPr fontId="60" type="noConversion"/>
  </si>
  <si>
    <t>半面型防护面罩（小号）</t>
    <phoneticPr fontId="60" type="noConversion"/>
  </si>
  <si>
    <t>酸性气体滤毒盒</t>
    <phoneticPr fontId="60" type="noConversion"/>
  </si>
  <si>
    <t>6002CN</t>
    <phoneticPr fontId="60" type="noConversion"/>
  </si>
  <si>
    <t>多用气体虑毒盒</t>
    <phoneticPr fontId="60" type="noConversion"/>
  </si>
  <si>
    <t>有机蒸汽滤毒盒</t>
    <phoneticPr fontId="60" type="noConversion"/>
  </si>
  <si>
    <t>滤毒盒</t>
    <phoneticPr fontId="60" type="noConversion"/>
  </si>
  <si>
    <t>半面型防护面罩</t>
    <phoneticPr fontId="60" type="noConversion"/>
  </si>
  <si>
    <t>滤棉盖</t>
    <phoneticPr fontId="60" type="noConversion"/>
  </si>
  <si>
    <t>3000系列组合喷漆型</t>
    <phoneticPr fontId="60" type="noConversion"/>
  </si>
  <si>
    <t>6000系列组合半面喷漆型</t>
    <phoneticPr fontId="60" type="noConversion"/>
  </si>
  <si>
    <t>防护口罩 (带呼气阀）</t>
    <phoneticPr fontId="60" type="noConversion"/>
  </si>
  <si>
    <t>7008CN</t>
    <phoneticPr fontId="60" type="noConversion"/>
  </si>
  <si>
    <t>滤棉</t>
    <phoneticPr fontId="60" type="noConversion"/>
  </si>
  <si>
    <t>有机及酸性气体异味颗粒物滤棉</t>
    <phoneticPr fontId="60" type="noConversion"/>
  </si>
  <si>
    <t>异味颗粒物滤棉</t>
    <phoneticPr fontId="60" type="noConversion"/>
  </si>
  <si>
    <t>2076HF</t>
    <phoneticPr fontId="60" type="noConversion"/>
  </si>
  <si>
    <t>7001CN</t>
    <phoneticPr fontId="60" type="noConversion"/>
  </si>
  <si>
    <t>3001CN</t>
    <phoneticPr fontId="60" type="noConversion"/>
  </si>
  <si>
    <t>有机蒸气异味及颗粒物过滤棉</t>
    <phoneticPr fontId="60" type="noConversion"/>
  </si>
  <si>
    <t>7744CC</t>
    <phoneticPr fontId="60" type="noConversion"/>
  </si>
  <si>
    <t>颗粒物过滤棉</t>
    <phoneticPr fontId="60" type="noConversion"/>
  </si>
  <si>
    <t>3744K</t>
    <phoneticPr fontId="60" type="noConversion"/>
  </si>
  <si>
    <t>折叠式防尘口罩( 小号)</t>
    <phoneticPr fontId="60" type="noConversion"/>
  </si>
  <si>
    <t>9102CS</t>
    <phoneticPr fontId="60" type="noConversion"/>
  </si>
  <si>
    <t>9002A</t>
    <phoneticPr fontId="60" type="noConversion"/>
  </si>
  <si>
    <t>防雾护目镜</t>
    <phoneticPr fontId="60" type="noConversion"/>
  </si>
  <si>
    <t>1623AF</t>
    <phoneticPr fontId="60" type="noConversion"/>
  </si>
  <si>
    <t>颈带式防护口罩( 颈带式/ 标准号）</t>
    <phoneticPr fontId="60" type="noConversion"/>
  </si>
  <si>
    <t>折叠式带阀防护口罩( 耳带式/ 标准号）</t>
    <phoneticPr fontId="60" type="noConversion"/>
  </si>
  <si>
    <t>9001V</t>
    <phoneticPr fontId="60" type="noConversion"/>
  </si>
  <si>
    <t>9002V</t>
    <phoneticPr fontId="60" type="noConversion"/>
  </si>
  <si>
    <t>防护服 L</t>
    <phoneticPr fontId="60" type="noConversion"/>
  </si>
  <si>
    <t>4680L</t>
    <phoneticPr fontId="60" type="noConversion"/>
  </si>
  <si>
    <t>防护服</t>
    <phoneticPr fontId="60" type="noConversion"/>
  </si>
  <si>
    <t>防护服XXL</t>
    <phoneticPr fontId="60" type="noConversion"/>
  </si>
  <si>
    <t>4690XXL</t>
    <phoneticPr fontId="60" type="noConversion"/>
  </si>
  <si>
    <t>4650套装</t>
    <phoneticPr fontId="60" type="noConversion"/>
  </si>
  <si>
    <t>防护服XL</t>
    <phoneticPr fontId="60" type="noConversion"/>
  </si>
  <si>
    <t>4650M</t>
    <phoneticPr fontId="60" type="noConversion"/>
  </si>
  <si>
    <t>4650XL</t>
    <phoneticPr fontId="60" type="noConversion"/>
  </si>
  <si>
    <t>4545XL</t>
    <phoneticPr fontId="60" type="noConversion"/>
  </si>
  <si>
    <t>滤棉适配器</t>
    <phoneticPr fontId="60" type="noConversion"/>
  </si>
  <si>
    <t>挂安全帽式耳罩</t>
    <phoneticPr fontId="60" type="noConversion"/>
  </si>
  <si>
    <t>H10A</t>
    <phoneticPr fontId="60" type="noConversion"/>
  </si>
  <si>
    <t>311-1101</t>
    <phoneticPr fontId="60" type="noConversion"/>
  </si>
  <si>
    <t>318-1005</t>
    <phoneticPr fontId="60" type="noConversion"/>
  </si>
  <si>
    <t>311-1250</t>
    <phoneticPr fontId="60" type="noConversion"/>
  </si>
  <si>
    <t>圣诞树型带线耳塞</t>
    <phoneticPr fontId="60" type="noConversion"/>
  </si>
  <si>
    <t>眼镜</t>
    <phoneticPr fontId="60" type="noConversion"/>
  </si>
  <si>
    <t>防护眼镜（舒适型，防雾）</t>
    <phoneticPr fontId="60" type="noConversion"/>
  </si>
  <si>
    <t>37-176</t>
    <phoneticPr fontId="60" type="noConversion"/>
  </si>
  <si>
    <t>头戴式耳罩</t>
    <phoneticPr fontId="60" type="noConversion"/>
  </si>
  <si>
    <t>H6A/V</t>
    <phoneticPr fontId="60" type="noConversion"/>
  </si>
  <si>
    <t>套装耳塞</t>
    <phoneticPr fontId="60" type="noConversion"/>
  </si>
  <si>
    <t>双片包装</t>
    <phoneticPr fontId="60" type="noConversion"/>
  </si>
  <si>
    <t>9022A</t>
    <phoneticPr fontId="60" type="noConversion"/>
  </si>
  <si>
    <t>防护口罩</t>
    <phoneticPr fontId="60" type="noConversion"/>
  </si>
  <si>
    <t>9913A</t>
    <phoneticPr fontId="60" type="noConversion"/>
  </si>
  <si>
    <t>防护口罩 (双片）</t>
    <phoneticPr fontId="60" type="noConversion"/>
  </si>
  <si>
    <t>9021A</t>
    <phoneticPr fontId="60" type="noConversion"/>
  </si>
  <si>
    <t>焊接用防尘口罩</t>
    <phoneticPr fontId="60" type="noConversion"/>
  </si>
  <si>
    <t>有机气体防护口罩( 中文包装）</t>
    <phoneticPr fontId="60" type="noConversion"/>
  </si>
  <si>
    <t>酸性气体防护口罩</t>
    <phoneticPr fontId="60" type="noConversion"/>
  </si>
  <si>
    <t>经济型焊接用防尘口罩</t>
    <phoneticPr fontId="60" type="noConversion"/>
  </si>
  <si>
    <t>折叠式防护口罩 (灰色，耳带式）</t>
    <phoneticPr fontId="60" type="noConversion"/>
  </si>
  <si>
    <t>流线型防护眼镜</t>
    <phoneticPr fontId="60" type="noConversion"/>
  </si>
  <si>
    <t>中国款防护眼镜</t>
    <phoneticPr fontId="60" type="noConversion"/>
  </si>
  <si>
    <t>中国款流线型防护眼镜</t>
    <phoneticPr fontId="60" type="noConversion"/>
  </si>
  <si>
    <t>轻便型防护眼镜</t>
    <phoneticPr fontId="60" type="noConversion"/>
  </si>
  <si>
    <t>防护眼镜</t>
    <phoneticPr fontId="60" type="noConversion"/>
  </si>
  <si>
    <t>1711AF</t>
    <phoneticPr fontId="60" type="noConversion"/>
  </si>
  <si>
    <t>防化学护目镜（防雾）</t>
    <phoneticPr fontId="60" type="noConversion"/>
  </si>
  <si>
    <t>时尚型防护眼镜</t>
    <phoneticPr fontId="60" type="noConversion"/>
  </si>
  <si>
    <t>11782 1790G</t>
    <phoneticPr fontId="60" type="noConversion"/>
  </si>
  <si>
    <t>12283 时尚舒适型防护眼镜</t>
    <phoneticPr fontId="60" type="noConversion"/>
  </si>
  <si>
    <t>防护眼镜（带侧翼通风口，防雾）</t>
    <phoneticPr fontId="60" type="noConversion"/>
  </si>
  <si>
    <t>防尘护目镜</t>
    <phoneticPr fontId="60" type="noConversion"/>
  </si>
  <si>
    <t>超轻舒适型防护眼镜 (防雾防刮擦涂层）</t>
    <phoneticPr fontId="60" type="noConversion"/>
  </si>
  <si>
    <t>访客用防护眼镜（防刮擦涂层）</t>
    <phoneticPr fontId="60" type="noConversion"/>
  </si>
  <si>
    <t>防护眼镜（带双射灯，防雾）</t>
    <phoneticPr fontId="60" type="noConversion"/>
  </si>
  <si>
    <t>GM1211-5-07</t>
    <phoneticPr fontId="22" type="noConversion"/>
  </si>
  <si>
    <t>01616681</t>
    <phoneticPr fontId="22" type="noConversion"/>
  </si>
  <si>
    <t>换货</t>
    <phoneticPr fontId="22" type="noConversion"/>
  </si>
  <si>
    <t>XOUT149296</t>
    <phoneticPr fontId="22" type="noConversion"/>
  </si>
  <si>
    <t>0006566</t>
    <phoneticPr fontId="22" type="noConversion"/>
  </si>
  <si>
    <t>半面型防护面罩（中/大号）</t>
  </si>
  <si>
    <t>折叠式防尘口罩(小号)</t>
  </si>
  <si>
    <t>绿色带帽连体防护服XL</t>
  </si>
  <si>
    <t>防雾护目镜（防化学物飞溅，防雾）</t>
  </si>
  <si>
    <t>橙色带帽连体防护服M</t>
  </si>
  <si>
    <t>橙色带帽连体防护服L</t>
  </si>
  <si>
    <t>PolarGrip-手套</t>
  </si>
  <si>
    <t>防护口罩(带呼吸阀）</t>
  </si>
  <si>
    <t>氨气/甲胺滤毒盒</t>
  </si>
  <si>
    <t>有机蒸气异味及颗粒物防护口罩(头带式)</t>
  </si>
  <si>
    <t>甲醛/有机蒸气滤毒盒</t>
  </si>
  <si>
    <t>有机/酸性气体滤毒盒</t>
  </si>
  <si>
    <t>有机/无机/酸性气体滤毒盒</t>
  </si>
  <si>
    <t>汞蒸气/氯气滤毒盒</t>
  </si>
  <si>
    <t>GM1211-6-07</t>
    <phoneticPr fontId="22" type="noConversion"/>
  </si>
  <si>
    <t>0000062</t>
    <phoneticPr fontId="22" type="noConversion"/>
  </si>
  <si>
    <t>XOUT149587</t>
    <phoneticPr fontId="22" type="noConversion"/>
  </si>
  <si>
    <t>0006571</t>
    <phoneticPr fontId="22" type="noConversion"/>
  </si>
  <si>
    <t>320P</t>
    <phoneticPr fontId="60" type="noConversion"/>
  </si>
  <si>
    <t>斯博瑞安</t>
    <phoneticPr fontId="22" type="noConversion"/>
  </si>
  <si>
    <t>BC6240470</t>
    <phoneticPr fontId="22" type="noConversion"/>
  </si>
  <si>
    <t>双</t>
  </si>
  <si>
    <t>35*2 37*2 38*2 39*4 40*4 41*4 42*4</t>
    <phoneticPr fontId="22" type="noConversion"/>
  </si>
  <si>
    <t>9250P</t>
    <phoneticPr fontId="22" type="noConversion"/>
  </si>
  <si>
    <t>瓶</t>
    <phoneticPr fontId="22" type="noConversion"/>
  </si>
  <si>
    <t>XS20121108000384</t>
    <phoneticPr fontId="22" type="noConversion"/>
  </si>
  <si>
    <t>0000064</t>
    <phoneticPr fontId="22" type="noConversion"/>
  </si>
  <si>
    <t>S0201211080069</t>
    <phoneticPr fontId="22" type="noConversion"/>
  </si>
  <si>
    <t>0006574</t>
    <phoneticPr fontId="22" type="noConversion"/>
  </si>
  <si>
    <t>02216427</t>
    <phoneticPr fontId="22" type="noConversion"/>
  </si>
  <si>
    <t>100V自动变光焊接面罩</t>
    <phoneticPr fontId="60" type="noConversion"/>
  </si>
  <si>
    <t>有机/ 酸性气体滤毒盒</t>
    <phoneticPr fontId="60" type="noConversion"/>
  </si>
  <si>
    <t>手提挂墙急救箱</t>
    <phoneticPr fontId="60" type="noConversion"/>
  </si>
  <si>
    <t>有机气体及颗粒物防护口罩</t>
    <phoneticPr fontId="60" type="noConversion"/>
  </si>
  <si>
    <t>折叠式吸收棉</t>
    <phoneticPr fontId="60" type="noConversion"/>
  </si>
  <si>
    <t>代尔塔安全鞋</t>
    <phoneticPr fontId="60" type="noConversion"/>
  </si>
  <si>
    <t>防毒口罩</t>
    <phoneticPr fontId="60" type="noConversion"/>
  </si>
  <si>
    <t>01706651</t>
    <phoneticPr fontId="22" type="noConversion"/>
  </si>
  <si>
    <t>重庆綦江区四方建材有限公司</t>
  </si>
  <si>
    <t>2012-11-1/2012-11-9</t>
    <phoneticPr fontId="22" type="noConversion"/>
  </si>
  <si>
    <t>重庆武隆顺达运输到付</t>
  </si>
  <si>
    <t>德邦物流到付</t>
  </si>
  <si>
    <t>重庆笛洋物流到付</t>
  </si>
  <si>
    <t>重庆万事达快运到付</t>
  </si>
  <si>
    <t>重庆飞毛腿货运到付</t>
  </si>
  <si>
    <t>重庆恒耀杨四物流到付</t>
  </si>
  <si>
    <t>世纪兴货运到付</t>
  </si>
  <si>
    <t>顺丰到付</t>
  </si>
  <si>
    <t>重庆力宏物流到付</t>
  </si>
  <si>
    <t>铁轩快运到付</t>
  </si>
  <si>
    <t>重庆高新物流到付</t>
  </si>
  <si>
    <t>重庆飞达货运到付</t>
  </si>
  <si>
    <t>重庆秋实货运到付、圆通快递</t>
  </si>
  <si>
    <t>雷达货运到付</t>
  </si>
  <si>
    <t>重庆顺昌建辉运输到付</t>
  </si>
  <si>
    <t>铁轩物流到付</t>
  </si>
  <si>
    <t>01634385CN</t>
  </si>
  <si>
    <t>重庆市黔江区正阳街道办事处桐坪居委3组</t>
  </si>
  <si>
    <t>重庆市黔江区正阳街道办事处桐坪居委4组</t>
  </si>
  <si>
    <t>重庆市黔江区正阳街道办事处桐坪居委5组</t>
  </si>
  <si>
    <t>340-4004</t>
    <phoneticPr fontId="60" type="noConversion"/>
  </si>
  <si>
    <t>中行对公</t>
    <phoneticPr fontId="22" type="noConversion"/>
  </si>
  <si>
    <t>件</t>
    <phoneticPr fontId="22" type="noConversion"/>
  </si>
  <si>
    <t>0001632</t>
    <phoneticPr fontId="22" type="noConversion"/>
  </si>
  <si>
    <t>3744K</t>
    <phoneticPr fontId="22" type="noConversion"/>
  </si>
  <si>
    <t>颗粒物滤尘盒</t>
  </si>
  <si>
    <t>代尔塔</t>
  </si>
  <si>
    <t>代尔塔</t>
    <phoneticPr fontId="22" type="noConversion"/>
  </si>
  <si>
    <t>付</t>
    <phoneticPr fontId="22" type="noConversion"/>
  </si>
  <si>
    <t>0001636</t>
    <phoneticPr fontId="22" type="noConversion"/>
  </si>
  <si>
    <t>9022A</t>
    <phoneticPr fontId="22" type="noConversion"/>
  </si>
  <si>
    <t>S0201211210029</t>
    <phoneticPr fontId="22" type="noConversion"/>
  </si>
  <si>
    <t>13400538</t>
    <phoneticPr fontId="22" type="noConversion"/>
  </si>
  <si>
    <t>00269116</t>
  </si>
  <si>
    <t>CDZX20121121</t>
    <phoneticPr fontId="22" type="noConversion"/>
  </si>
  <si>
    <t>2嘉烨</t>
    <phoneticPr fontId="60" type="noConversion"/>
  </si>
  <si>
    <t>1嘉烨</t>
    <phoneticPr fontId="60" type="noConversion"/>
  </si>
  <si>
    <t>8嘉烨</t>
    <phoneticPr fontId="60" type="noConversion"/>
  </si>
  <si>
    <t>嘉烨</t>
    <phoneticPr fontId="60" type="noConversion"/>
  </si>
  <si>
    <t>颗粒物防护口罩-蓝色</t>
    <phoneticPr fontId="60" type="noConversion"/>
  </si>
  <si>
    <t>云阳荣明页岩砖有限公司</t>
  </si>
  <si>
    <r>
      <t>3</t>
    </r>
    <r>
      <rPr>
        <sz val="9"/>
        <color indexed="8"/>
        <rFont val="宋体"/>
        <family val="3"/>
        <charset val="134"/>
      </rPr>
      <t>7-176</t>
    </r>
    <phoneticPr fontId="53" type="noConversion"/>
  </si>
  <si>
    <t>耳塞</t>
    <phoneticPr fontId="53" type="noConversion"/>
  </si>
  <si>
    <t>子弹型带线耳塞</t>
    <phoneticPr fontId="53" type="noConversion"/>
  </si>
  <si>
    <t>手套</t>
    <phoneticPr fontId="53" type="noConversion"/>
  </si>
  <si>
    <t>套装耳塞</t>
    <phoneticPr fontId="53" type="noConversion"/>
  </si>
  <si>
    <t>双</t>
    <phoneticPr fontId="53" type="noConversion"/>
  </si>
  <si>
    <t>是</t>
    <phoneticPr fontId="53" type="noConversion"/>
  </si>
  <si>
    <t>有机蒸气异味及颗粒物防护口罩( 头带式)</t>
    <phoneticPr fontId="60" type="noConversion"/>
  </si>
  <si>
    <t>9042A</t>
    <phoneticPr fontId="60" type="noConversion"/>
  </si>
  <si>
    <t>样品</t>
    <phoneticPr fontId="60" type="noConversion"/>
  </si>
  <si>
    <t>4680XXL</t>
    <phoneticPr fontId="60" type="noConversion"/>
  </si>
  <si>
    <t>焊接防护眼罩</t>
    <phoneticPr fontId="60" type="noConversion"/>
  </si>
  <si>
    <t>防护服L</t>
    <phoneticPr fontId="60" type="noConversion"/>
  </si>
  <si>
    <t>4640L</t>
    <phoneticPr fontId="60" type="noConversion"/>
  </si>
  <si>
    <t>4620XL</t>
    <phoneticPr fontId="60" type="noConversion"/>
  </si>
  <si>
    <t>4650A L</t>
    <phoneticPr fontId="60" type="noConversion"/>
  </si>
  <si>
    <t>防护服M</t>
    <phoneticPr fontId="60" type="noConversion"/>
  </si>
  <si>
    <t>4650L</t>
    <phoneticPr fontId="60" type="noConversion"/>
  </si>
  <si>
    <t>H7P3E</t>
    <phoneticPr fontId="60" type="noConversion"/>
  </si>
  <si>
    <t>耳罩</t>
    <phoneticPr fontId="60" type="noConversion"/>
  </si>
  <si>
    <t>经济型耳罩</t>
    <phoneticPr fontId="60" type="noConversion"/>
  </si>
  <si>
    <t>00881040</t>
    <phoneticPr fontId="22" type="noConversion"/>
  </si>
  <si>
    <t>头带式耳罩</t>
    <phoneticPr fontId="60" type="noConversion"/>
  </si>
  <si>
    <t>圆柱型带线耳塞</t>
    <phoneticPr fontId="60" type="noConversion"/>
  </si>
  <si>
    <t>高降噪子弹型带线耳塞</t>
    <phoneticPr fontId="60" type="noConversion"/>
  </si>
  <si>
    <t>XOUT151393</t>
    <phoneticPr fontId="22" type="noConversion"/>
  </si>
  <si>
    <t>01299191</t>
  </si>
  <si>
    <t>中行对公</t>
    <phoneticPr fontId="22" type="noConversion"/>
  </si>
  <si>
    <t xml:space="preserve">320D </t>
    <phoneticPr fontId="22" type="noConversion"/>
  </si>
  <si>
    <t xml:space="preserve">320P </t>
    <phoneticPr fontId="22" type="noConversion"/>
  </si>
  <si>
    <t xml:space="preserve">620P </t>
    <phoneticPr fontId="22" type="noConversion"/>
  </si>
  <si>
    <t>01740437-01740438-01740439-0174040-0174041-0174042-0174043</t>
    <phoneticPr fontId="22" type="noConversion"/>
  </si>
  <si>
    <t>11664-11664-11664-11664-11664-11664-11016</t>
    <phoneticPr fontId="22" type="noConversion"/>
  </si>
  <si>
    <t>9002V</t>
    <phoneticPr fontId="22" type="noConversion"/>
  </si>
  <si>
    <t>片</t>
    <phoneticPr fontId="22" type="noConversion"/>
  </si>
  <si>
    <t>0000101</t>
    <phoneticPr fontId="22" type="noConversion"/>
  </si>
  <si>
    <t>XOUT151701</t>
    <phoneticPr fontId="22" type="noConversion"/>
  </si>
  <si>
    <t>19192535</t>
    <phoneticPr fontId="22" type="noConversion"/>
  </si>
  <si>
    <t>Ansell</t>
  </si>
  <si>
    <t>00645940</t>
    <phoneticPr fontId="22" type="noConversion"/>
  </si>
  <si>
    <t>酸性气体及颗粒物防护口罩</t>
    <phoneticPr fontId="22" type="noConversion"/>
  </si>
  <si>
    <t>301508 43</t>
    <phoneticPr fontId="22" type="noConversion"/>
  </si>
  <si>
    <t>S0201211010023</t>
    <phoneticPr fontId="22" type="noConversion"/>
  </si>
  <si>
    <t>3N11CN</t>
    <phoneticPr fontId="22" type="noConversion"/>
  </si>
  <si>
    <t>片</t>
    <phoneticPr fontId="22" type="noConversion"/>
  </si>
  <si>
    <t>0006574</t>
    <phoneticPr fontId="22" type="noConversion"/>
  </si>
  <si>
    <t>中行对公</t>
    <phoneticPr fontId="22" type="noConversion"/>
  </si>
  <si>
    <t>3M</t>
    <phoneticPr fontId="22" type="noConversion"/>
  </si>
  <si>
    <t>个</t>
    <phoneticPr fontId="22" type="noConversion"/>
  </si>
  <si>
    <t>3701CN</t>
    <phoneticPr fontId="22" type="noConversion"/>
  </si>
  <si>
    <t>付</t>
    <phoneticPr fontId="22" type="noConversion"/>
  </si>
  <si>
    <t>0016230</t>
    <phoneticPr fontId="22" type="noConversion"/>
  </si>
  <si>
    <t>9002A</t>
    <phoneticPr fontId="22" type="noConversion"/>
  </si>
  <si>
    <t>GM1211-12-03</t>
    <phoneticPr fontId="22" type="noConversion"/>
  </si>
  <si>
    <t>00645940</t>
    <phoneticPr fontId="22" type="noConversion"/>
  </si>
  <si>
    <t>GM1211-13-07</t>
    <phoneticPr fontId="22" type="noConversion"/>
  </si>
  <si>
    <t>2134140</t>
    <phoneticPr fontId="22" type="noConversion"/>
  </si>
  <si>
    <t>00788696</t>
    <phoneticPr fontId="22" type="noConversion"/>
  </si>
  <si>
    <t>9022A</t>
    <phoneticPr fontId="22" type="noConversion"/>
  </si>
  <si>
    <t>0001781</t>
    <phoneticPr fontId="22" type="noConversion"/>
  </si>
  <si>
    <t>2134151</t>
    <phoneticPr fontId="22" type="noConversion"/>
  </si>
  <si>
    <t>0001790</t>
    <phoneticPr fontId="22" type="noConversion"/>
  </si>
  <si>
    <t>340-4004</t>
    <phoneticPr fontId="22" type="noConversion"/>
  </si>
  <si>
    <t>1790G</t>
    <phoneticPr fontId="22" type="noConversion"/>
  </si>
  <si>
    <t>0700020</t>
    <phoneticPr fontId="22" type="noConversion"/>
  </si>
  <si>
    <t>1621AF</t>
    <phoneticPr fontId="22" type="noConversion"/>
  </si>
  <si>
    <t>0001630</t>
    <phoneticPr fontId="22" type="noConversion"/>
  </si>
  <si>
    <t>0001795</t>
    <phoneticPr fontId="22" type="noConversion"/>
  </si>
  <si>
    <t>/</t>
    <phoneticPr fontId="22" type="noConversion"/>
  </si>
  <si>
    <t>农行对私</t>
    <phoneticPr fontId="22" type="noConversion"/>
  </si>
  <si>
    <t>不开票</t>
    <phoneticPr fontId="22" type="noConversion"/>
  </si>
  <si>
    <t>XOUT150977</t>
    <phoneticPr fontId="22" type="noConversion"/>
  </si>
  <si>
    <t>2134158</t>
    <phoneticPr fontId="22" type="noConversion"/>
  </si>
  <si>
    <t>3003K-100</t>
    <phoneticPr fontId="22" type="noConversion"/>
  </si>
  <si>
    <t>中行对公</t>
    <phoneticPr fontId="22" type="noConversion"/>
  </si>
  <si>
    <t>1.4929</t>
    <phoneticPr fontId="60" type="noConversion"/>
  </si>
  <si>
    <t>3251CNS</t>
    <phoneticPr fontId="22" type="noConversion"/>
  </si>
  <si>
    <t>颗粒物呼吸防护组合</t>
    <phoneticPr fontId="22" type="noConversion"/>
  </si>
  <si>
    <t>套</t>
    <phoneticPr fontId="22" type="noConversion"/>
  </si>
  <si>
    <t>个</t>
    <phoneticPr fontId="22" type="noConversion"/>
  </si>
  <si>
    <t>1.17</t>
    <phoneticPr fontId="60" type="noConversion"/>
  </si>
  <si>
    <t>6001CN</t>
    <phoneticPr fontId="22" type="noConversion"/>
  </si>
  <si>
    <t>GM1211-27-02</t>
    <phoneticPr fontId="22" type="noConversion"/>
  </si>
  <si>
    <t>鸿宝</t>
    <phoneticPr fontId="22" type="noConversion"/>
  </si>
  <si>
    <t>1.24</t>
    <phoneticPr fontId="60" type="noConversion"/>
  </si>
  <si>
    <t>中行对公</t>
    <phoneticPr fontId="22" type="noConversion"/>
  </si>
  <si>
    <t>01248862</t>
    <phoneticPr fontId="22" type="noConversion"/>
  </si>
  <si>
    <t>07454659</t>
    <phoneticPr fontId="22" type="noConversion"/>
  </si>
  <si>
    <t>00885023</t>
    <phoneticPr fontId="22" type="noConversion"/>
  </si>
  <si>
    <t>3301CN</t>
    <phoneticPr fontId="22" type="noConversion"/>
  </si>
  <si>
    <t>3N11CN</t>
    <phoneticPr fontId="22" type="noConversion"/>
  </si>
  <si>
    <t>385CN</t>
    <phoneticPr fontId="22" type="noConversion"/>
  </si>
  <si>
    <t>个</t>
    <phoneticPr fontId="22" type="noConversion"/>
  </si>
  <si>
    <t>片</t>
    <phoneticPr fontId="22" type="noConversion"/>
  </si>
  <si>
    <t>0000289</t>
    <phoneticPr fontId="22" type="noConversion"/>
  </si>
  <si>
    <t>01299202</t>
  </si>
  <si>
    <t>00646492-00646493-00646494</t>
    <phoneticPr fontId="22" type="noConversion"/>
  </si>
  <si>
    <t>10905.18-10905-18-2420.82</t>
    <phoneticPr fontId="22" type="noConversion"/>
  </si>
  <si>
    <t>谭利华</t>
  </si>
  <si>
    <t>5KV</t>
    <phoneticPr fontId="22" type="noConversion"/>
  </si>
  <si>
    <t>合计</t>
    <phoneticPr fontId="60" type="noConversion"/>
  </si>
  <si>
    <t>朕尔科技</t>
    <phoneticPr fontId="22" type="noConversion"/>
  </si>
  <si>
    <t>片</t>
    <phoneticPr fontId="22" type="noConversion"/>
  </si>
  <si>
    <t>发给客户</t>
    <phoneticPr fontId="22" type="noConversion"/>
  </si>
  <si>
    <t>出库</t>
    <phoneticPr fontId="22" type="noConversion"/>
  </si>
  <si>
    <t>样品</t>
    <phoneticPr fontId="22" type="noConversion"/>
  </si>
  <si>
    <r>
      <t>3</t>
    </r>
    <r>
      <rPr>
        <sz val="9"/>
        <color indexed="8"/>
        <rFont val="宋体"/>
        <family val="3"/>
        <charset val="134"/>
      </rPr>
      <t>301CN</t>
    </r>
    <phoneticPr fontId="53" type="noConversion"/>
  </si>
  <si>
    <t>3501CN</t>
    <phoneticPr fontId="60" type="noConversion"/>
  </si>
  <si>
    <t>绿色带帽连体防护服 XXL</t>
    <phoneticPr fontId="60" type="noConversion"/>
  </si>
  <si>
    <t>1嘉烨 5样品</t>
    <phoneticPr fontId="60" type="noConversion"/>
  </si>
  <si>
    <t>子弹型耳塞（10付装）</t>
    <phoneticPr fontId="60" type="noConversion"/>
  </si>
  <si>
    <t>29.66</t>
    <phoneticPr fontId="60" type="noConversion"/>
  </si>
  <si>
    <r>
      <t xml:space="preserve">白色带帽连体防护服 </t>
    </r>
    <r>
      <rPr>
        <sz val="10"/>
        <color rgb="FFFF0000"/>
        <rFont val="宋体"/>
        <family val="3"/>
        <charset val="134"/>
      </rPr>
      <t>无型号</t>
    </r>
    <phoneticPr fontId="60" type="noConversion"/>
  </si>
  <si>
    <t>4540+</t>
    <phoneticPr fontId="22" type="noConversion"/>
  </si>
  <si>
    <t>4540+</t>
    <phoneticPr fontId="60" type="noConversion"/>
  </si>
  <si>
    <t>3003K-100</t>
    <phoneticPr fontId="60" type="noConversion"/>
  </si>
  <si>
    <t>C-FL550DD</t>
    <phoneticPr fontId="60" type="noConversion"/>
  </si>
  <si>
    <t>酸性气体及颗粒物防护口罩</t>
    <phoneticPr fontId="60" type="noConversion"/>
  </si>
  <si>
    <t>1621AF</t>
    <phoneticPr fontId="60" type="noConversion"/>
  </si>
  <si>
    <t>爱护佳免洗手消毒液</t>
    <phoneticPr fontId="60" type="noConversion"/>
  </si>
  <si>
    <t>9250P</t>
    <phoneticPr fontId="60" type="noConversion"/>
  </si>
  <si>
    <t>320D</t>
    <phoneticPr fontId="60" type="noConversion"/>
  </si>
  <si>
    <t>620P</t>
    <phoneticPr fontId="60" type="noConversion"/>
  </si>
  <si>
    <t>S0201212040038</t>
    <phoneticPr fontId="22" type="noConversion"/>
  </si>
  <si>
    <t>0000132</t>
    <phoneticPr fontId="22" type="noConversion"/>
  </si>
  <si>
    <t>巫溪县凤凰工业园区</t>
  </si>
  <si>
    <t>曾益明</t>
  </si>
  <si>
    <t>9042A</t>
    <phoneticPr fontId="22" type="noConversion"/>
  </si>
  <si>
    <t>片</t>
    <phoneticPr fontId="22" type="noConversion"/>
  </si>
  <si>
    <t>0000137</t>
    <phoneticPr fontId="22" type="noConversion"/>
  </si>
  <si>
    <t>不开票</t>
    <phoneticPr fontId="22" type="noConversion"/>
  </si>
  <si>
    <t>S0201212050030</t>
    <phoneticPr fontId="22" type="noConversion"/>
  </si>
  <si>
    <t>08320007</t>
    <phoneticPr fontId="22" type="noConversion"/>
  </si>
  <si>
    <t>全面罩鼻罩组</t>
  </si>
  <si>
    <t>面罩吸气口垫圈</t>
  </si>
  <si>
    <t>不开票</t>
    <phoneticPr fontId="22" type="noConversion"/>
  </si>
  <si>
    <t>片</t>
    <phoneticPr fontId="22" type="noConversion"/>
  </si>
  <si>
    <t>个</t>
    <phoneticPr fontId="22" type="noConversion"/>
  </si>
  <si>
    <t>0000299</t>
    <phoneticPr fontId="22" type="noConversion"/>
  </si>
  <si>
    <t>圆柱型耳塞</t>
  </si>
  <si>
    <t>00881141</t>
    <phoneticPr fontId="22" type="noConversion"/>
  </si>
  <si>
    <t>391-1001</t>
    <phoneticPr fontId="22" type="noConversion"/>
  </si>
  <si>
    <t>面罩吸气阀</t>
  </si>
  <si>
    <t>片</t>
    <phoneticPr fontId="22" type="noConversion"/>
  </si>
  <si>
    <t>付</t>
    <phoneticPr fontId="22" type="noConversion"/>
  </si>
  <si>
    <t>中行对公</t>
    <phoneticPr fontId="22" type="noConversion"/>
  </si>
  <si>
    <t>9002A</t>
    <phoneticPr fontId="22" type="noConversion"/>
  </si>
  <si>
    <t>9042A</t>
    <phoneticPr fontId="22" type="noConversion"/>
  </si>
  <si>
    <t>3701CN</t>
    <phoneticPr fontId="22" type="noConversion"/>
  </si>
  <si>
    <t>个</t>
    <phoneticPr fontId="22" type="noConversion"/>
  </si>
  <si>
    <t>0000151</t>
    <phoneticPr fontId="22" type="noConversion"/>
  </si>
  <si>
    <t>XOUT153071</t>
    <phoneticPr fontId="22" type="noConversion"/>
  </si>
  <si>
    <t>XOUT153095</t>
    <phoneticPr fontId="22" type="noConversion"/>
  </si>
  <si>
    <t>GM1212-06-02</t>
    <phoneticPr fontId="22" type="noConversion"/>
  </si>
  <si>
    <t xml:space="preserve">720P </t>
    <phoneticPr fontId="22" type="noConversion"/>
  </si>
  <si>
    <t>套</t>
    <phoneticPr fontId="22" type="noConversion"/>
  </si>
  <si>
    <t>37-175</t>
    <phoneticPr fontId="22" type="noConversion"/>
  </si>
  <si>
    <t>S0201212070072</t>
    <phoneticPr fontId="22" type="noConversion"/>
  </si>
  <si>
    <t>19193221</t>
  </si>
  <si>
    <t>16681110</t>
  </si>
  <si>
    <t>0000261</t>
    <phoneticPr fontId="22" type="noConversion"/>
  </si>
  <si>
    <t>XSD-2012-12-07</t>
    <phoneticPr fontId="22" type="noConversion"/>
  </si>
  <si>
    <t>19195091</t>
    <phoneticPr fontId="22" type="noConversion"/>
  </si>
  <si>
    <t>09538483</t>
    <phoneticPr fontId="22" type="noConversion"/>
  </si>
  <si>
    <t>09538484</t>
    <phoneticPr fontId="22" type="noConversion"/>
  </si>
  <si>
    <t>01312815</t>
    <phoneticPr fontId="22" type="noConversion"/>
  </si>
  <si>
    <t>重庆海兰服装劳保有限公司</t>
  </si>
  <si>
    <t>套</t>
    <phoneticPr fontId="22" type="noConversion"/>
  </si>
  <si>
    <t>重庆松藻矿山机械厂</t>
    <phoneticPr fontId="22" type="noConversion"/>
  </si>
  <si>
    <t>片</t>
    <phoneticPr fontId="22" type="noConversion"/>
  </si>
  <si>
    <t>48-125</t>
    <phoneticPr fontId="22" type="noConversion"/>
  </si>
  <si>
    <t>76-200</t>
    <phoneticPr fontId="22" type="noConversion"/>
  </si>
  <si>
    <t>手套</t>
    <phoneticPr fontId="22" type="noConversion"/>
  </si>
  <si>
    <t>重庆慧能标普科技有限公司</t>
    <phoneticPr fontId="22" type="noConversion"/>
  </si>
  <si>
    <t>00941201</t>
    <phoneticPr fontId="22" type="noConversion"/>
  </si>
  <si>
    <t>大竹县竹阳镇欣宏副食门市</t>
  </si>
  <si>
    <t>3501CN</t>
  </si>
  <si>
    <t xml:space="preserve">3N11CN </t>
  </si>
  <si>
    <t>自贡市汇东路西段春天花园A栋一层7号</t>
  </si>
  <si>
    <t>自贡市汇东路西段春天花园A栋一层8号</t>
  </si>
  <si>
    <t>自贡市汇东路西段春天花园A栋一层9号</t>
  </si>
  <si>
    <t>07046758</t>
    <phoneticPr fontId="22" type="noConversion"/>
  </si>
  <si>
    <t>颗粒物滤棉</t>
    <phoneticPr fontId="60" type="noConversion"/>
  </si>
  <si>
    <t>件</t>
    <phoneticPr fontId="22" type="noConversion"/>
  </si>
  <si>
    <t>XOUT153742</t>
    <phoneticPr fontId="22" type="noConversion"/>
  </si>
  <si>
    <t>易燃液体安全储存柜</t>
  </si>
  <si>
    <t>2012-12-6/2012-12-12</t>
    <phoneticPr fontId="22" type="noConversion"/>
  </si>
  <si>
    <t>WA810450</t>
  </si>
  <si>
    <t>青岛市威海路284号</t>
  </si>
  <si>
    <t>1*52  9样品</t>
    <phoneticPr fontId="60" type="noConversion"/>
  </si>
  <si>
    <t>00269135</t>
  </si>
  <si>
    <r>
      <t>3</t>
    </r>
    <r>
      <rPr>
        <sz val="10"/>
        <color indexed="8"/>
        <rFont val="宋体"/>
        <family val="3"/>
        <charset val="134"/>
      </rPr>
      <t>20D</t>
    </r>
    <phoneticPr fontId="22" type="noConversion"/>
  </si>
  <si>
    <t>焊接用防尘口罩</t>
    <phoneticPr fontId="22" type="noConversion"/>
  </si>
  <si>
    <t>颗粒物呼吸防护套</t>
    <phoneticPr fontId="22" type="noConversion"/>
  </si>
  <si>
    <t>经济型耳罩</t>
    <phoneticPr fontId="22" type="noConversion"/>
  </si>
  <si>
    <t>展架</t>
    <phoneticPr fontId="22" type="noConversion"/>
  </si>
  <si>
    <t>00084736</t>
    <phoneticPr fontId="22" type="noConversion"/>
  </si>
  <si>
    <t>自贡市双安劳动防护用品有限公司</t>
  </si>
  <si>
    <t>中行对公</t>
    <phoneticPr fontId="22" type="noConversion"/>
  </si>
  <si>
    <t>片</t>
    <phoneticPr fontId="22" type="noConversion"/>
  </si>
  <si>
    <t>出库</t>
    <phoneticPr fontId="22" type="noConversion"/>
  </si>
  <si>
    <t>样品</t>
    <phoneticPr fontId="22" type="noConversion"/>
  </si>
  <si>
    <t>罗丽取走</t>
    <phoneticPr fontId="22" type="noConversion"/>
  </si>
  <si>
    <t>76-501</t>
    <phoneticPr fontId="22" type="noConversion"/>
  </si>
  <si>
    <t>个</t>
    <phoneticPr fontId="22" type="noConversion"/>
  </si>
  <si>
    <t>片</t>
    <phoneticPr fontId="22" type="noConversion"/>
  </si>
  <si>
    <t>双</t>
    <phoneticPr fontId="22" type="noConversion"/>
  </si>
  <si>
    <t>3701CN</t>
    <phoneticPr fontId="22" type="noConversion"/>
  </si>
  <si>
    <t>0000182</t>
    <phoneticPr fontId="22" type="noConversion"/>
  </si>
  <si>
    <t>00941253</t>
    <phoneticPr fontId="22" type="noConversion"/>
  </si>
  <si>
    <t>01616716</t>
    <phoneticPr fontId="22" type="noConversion"/>
  </si>
  <si>
    <t>展架</t>
    <phoneticPr fontId="22" type="noConversion"/>
  </si>
  <si>
    <t>1621AF</t>
    <phoneticPr fontId="22" type="noConversion"/>
  </si>
  <si>
    <t>KY</t>
    <phoneticPr fontId="22" type="noConversion"/>
  </si>
  <si>
    <t>XHZLC30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</si>
  <si>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7-175</t>
    </r>
    <phoneticPr fontId="22" type="noConversion"/>
  </si>
  <si>
    <r>
      <t>7</t>
    </r>
    <r>
      <rPr>
        <sz val="10"/>
        <color indexed="8"/>
        <rFont val="宋体"/>
        <family val="3"/>
        <charset val="134"/>
      </rPr>
      <t>6-200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</si>
  <si>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8-700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</si>
  <si>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8-126</t>
    </r>
    <phoneticPr fontId="22" type="noConversion"/>
  </si>
  <si>
    <r>
      <t>1</t>
    </r>
    <r>
      <rPr>
        <sz val="10"/>
        <color indexed="8"/>
        <rFont val="宋体"/>
        <family val="3"/>
        <charset val="134"/>
      </rPr>
      <t>1-800</t>
    </r>
    <phoneticPr fontId="22" type="noConversion"/>
  </si>
  <si>
    <r>
      <t>7</t>
    </r>
    <r>
      <rPr>
        <sz val="10"/>
        <color indexed="8"/>
        <rFont val="宋体"/>
        <family val="3"/>
        <charset val="134"/>
      </rPr>
      <t>0-225</t>
    </r>
    <phoneticPr fontId="22" type="noConversion"/>
  </si>
  <si>
    <r>
      <t>6</t>
    </r>
    <r>
      <rPr>
        <sz val="10"/>
        <color indexed="8"/>
        <rFont val="宋体"/>
        <family val="3"/>
        <charset val="134"/>
      </rPr>
      <t>20P</t>
    </r>
    <phoneticPr fontId="22" type="noConversion"/>
  </si>
  <si>
    <r>
      <t>7</t>
    </r>
    <r>
      <rPr>
        <sz val="10"/>
        <color indexed="8"/>
        <rFont val="宋体"/>
        <family val="3"/>
        <charset val="134"/>
      </rPr>
      <t>20P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</si>
  <si>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20P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</si>
  <si>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501CN</t>
    </r>
    <phoneticPr fontId="22" type="noConversion"/>
  </si>
  <si>
    <r>
      <t>9</t>
    </r>
    <r>
      <rPr>
        <sz val="10"/>
        <color indexed="8"/>
        <rFont val="宋体"/>
        <family val="3"/>
        <charset val="134"/>
      </rPr>
      <t>002V</t>
    </r>
    <phoneticPr fontId="22" type="noConversion"/>
  </si>
  <si>
    <r>
      <t>9</t>
    </r>
    <r>
      <rPr>
        <sz val="10"/>
        <color indexed="8"/>
        <rFont val="宋体"/>
        <family val="3"/>
        <charset val="134"/>
      </rPr>
      <t>002A</t>
    </r>
    <phoneticPr fontId="22" type="noConversion"/>
  </si>
  <si>
    <r>
      <t>7</t>
    </r>
    <r>
      <rPr>
        <sz val="10"/>
        <color indexed="8"/>
        <rFont val="宋体"/>
        <family val="3"/>
        <charset val="134"/>
      </rPr>
      <t>0-340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</si>
  <si>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7-176</t>
    </r>
    <phoneticPr fontId="22" type="noConversion"/>
  </si>
  <si>
    <r>
      <t>7</t>
    </r>
    <r>
      <rPr>
        <sz val="10"/>
        <color indexed="8"/>
        <rFont val="宋体"/>
        <family val="3"/>
        <charset val="134"/>
      </rPr>
      <t>6-204</t>
    </r>
    <phoneticPr fontId="22" type="noConversion"/>
  </si>
  <si>
    <r>
      <t>1</t>
    </r>
    <r>
      <rPr>
        <sz val="10"/>
        <color indexed="8"/>
        <rFont val="宋体"/>
        <family val="3"/>
        <charset val="134"/>
      </rPr>
      <t>623AF</t>
    </r>
    <phoneticPr fontId="22" type="noConversion"/>
  </si>
  <si>
    <t>防化学透明丙酸酯面屏</t>
  </si>
  <si>
    <t>市场价</t>
    <phoneticPr fontId="22" type="noConversion"/>
  </si>
  <si>
    <t>铝制面屏支架</t>
  </si>
  <si>
    <t>免保养逃生呼吸器-氨气/甲胺气体</t>
    <phoneticPr fontId="22" type="noConversion"/>
  </si>
  <si>
    <t>可更换式逃生呼吸酸性气体</t>
    <phoneticPr fontId="22" type="noConversion"/>
  </si>
  <si>
    <t>7001CN</t>
    <phoneticPr fontId="22" type="noConversion"/>
  </si>
  <si>
    <t>340-8002</t>
    <phoneticPr fontId="22" type="noConversion"/>
  </si>
  <si>
    <t>7093C P100</t>
    <phoneticPr fontId="22" type="noConversion"/>
  </si>
  <si>
    <t>有机/无机/酸性气体滤盒</t>
    <phoneticPr fontId="22" type="noConversion"/>
  </si>
  <si>
    <t>ADFLO</t>
    <phoneticPr fontId="22" type="noConversion"/>
  </si>
  <si>
    <t>异味过滤棉</t>
    <phoneticPr fontId="22" type="noConversion"/>
  </si>
  <si>
    <t>3M_100</t>
    <phoneticPr fontId="22" type="noConversion"/>
  </si>
  <si>
    <t>全面罩</t>
    <phoneticPr fontId="22" type="noConversion"/>
  </si>
  <si>
    <t>H_110-10</t>
    <phoneticPr fontId="22" type="noConversion"/>
  </si>
  <si>
    <t>防护面屏</t>
  </si>
  <si>
    <t>防护头罩</t>
    <phoneticPr fontId="22" type="noConversion"/>
  </si>
  <si>
    <t>杜邦防护服</t>
    <phoneticPr fontId="22" type="noConversion"/>
  </si>
  <si>
    <t>macrobond5/6</t>
    <phoneticPr fontId="22" type="noConversion"/>
  </si>
  <si>
    <t>macrobond fr ultra</t>
    <phoneticPr fontId="22" type="noConversion"/>
  </si>
  <si>
    <t>candex</t>
    <phoneticPr fontId="22" type="noConversion"/>
  </si>
  <si>
    <t>头罩</t>
    <phoneticPr fontId="22" type="noConversion"/>
  </si>
  <si>
    <t>DSC3636</t>
    <phoneticPr fontId="22" type="noConversion"/>
  </si>
  <si>
    <t>L-132-10</t>
    <phoneticPr fontId="22" type="noConversion"/>
  </si>
  <si>
    <t>头盔镜片</t>
    <phoneticPr fontId="22" type="noConversion"/>
  </si>
  <si>
    <t>付</t>
    <phoneticPr fontId="22" type="noConversion"/>
  </si>
  <si>
    <t>0000191</t>
    <phoneticPr fontId="22" type="noConversion"/>
  </si>
  <si>
    <t>H_412</t>
    <phoneticPr fontId="22" type="noConversion"/>
  </si>
  <si>
    <t>BT_20S</t>
    <phoneticPr fontId="22" type="noConversion"/>
  </si>
  <si>
    <t>V_300</t>
    <phoneticPr fontId="22" type="noConversion"/>
  </si>
  <si>
    <t>5*0.8</t>
    <phoneticPr fontId="22" type="noConversion"/>
  </si>
  <si>
    <t>SOL-VEX-手套（9码）</t>
    <phoneticPr fontId="22" type="noConversion"/>
  </si>
  <si>
    <t>718102646483</t>
  </si>
  <si>
    <t>01432312</t>
    <phoneticPr fontId="22" type="noConversion"/>
  </si>
  <si>
    <t>718102646478</t>
  </si>
  <si>
    <t>718102646477</t>
  </si>
  <si>
    <t>戴奇林</t>
  </si>
  <si>
    <t>13984860222</t>
  </si>
  <si>
    <t>贵州省贵阳市中曹路97号</t>
  </si>
  <si>
    <t>320D</t>
    <phoneticPr fontId="22" type="noConversion"/>
  </si>
  <si>
    <t>渠道</t>
    <phoneticPr fontId="22" type="noConversion"/>
  </si>
  <si>
    <t>自提</t>
    <phoneticPr fontId="22" type="noConversion"/>
  </si>
  <si>
    <t>重庆海电风能集团有限公司</t>
    <phoneticPr fontId="22" type="noConversion"/>
  </si>
  <si>
    <t>退货</t>
    <phoneticPr fontId="22" type="noConversion"/>
  </si>
  <si>
    <t>9022A</t>
    <phoneticPr fontId="22" type="noConversion"/>
  </si>
  <si>
    <t>尘毒呼吸防护套装经济型</t>
    <phoneticPr fontId="22" type="noConversion"/>
  </si>
  <si>
    <t>320P</t>
    <phoneticPr fontId="22" type="noConversion"/>
  </si>
  <si>
    <t>9016255</t>
  </si>
  <si>
    <t>重庆国俊物资有限公司</t>
    <phoneticPr fontId="22" type="noConversion"/>
  </si>
  <si>
    <t>伍亮</t>
    <phoneticPr fontId="22" type="noConversion"/>
  </si>
  <si>
    <t xml:space="preserve">送货上门 </t>
    <phoneticPr fontId="22" type="noConversion"/>
  </si>
  <si>
    <t>品牌</t>
    <phoneticPr fontId="22" type="noConversion"/>
  </si>
  <si>
    <t>0000192</t>
    <phoneticPr fontId="22" type="noConversion"/>
  </si>
  <si>
    <t>01678482</t>
    <phoneticPr fontId="22" type="noConversion"/>
  </si>
  <si>
    <t>0000246</t>
    <phoneticPr fontId="22" type="noConversion"/>
  </si>
  <si>
    <t>0000168980</t>
    <phoneticPr fontId="22" type="noConversion"/>
  </si>
  <si>
    <r>
      <t>6</t>
    </r>
    <r>
      <rPr>
        <sz val="10"/>
        <color indexed="8"/>
        <rFont val="宋体"/>
        <family val="3"/>
        <charset val="134"/>
      </rPr>
      <t>20P</t>
    </r>
    <phoneticPr fontId="22" type="noConversion"/>
  </si>
  <si>
    <t>套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</si>
  <si>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M叶青</t>
    </r>
    <phoneticPr fontId="22" type="noConversion"/>
  </si>
  <si>
    <t>入库</t>
    <phoneticPr fontId="22" type="noConversion"/>
  </si>
  <si>
    <t>样品</t>
    <phoneticPr fontId="22" type="noConversion"/>
  </si>
  <si>
    <t>1*0.8</t>
    <phoneticPr fontId="22" type="noConversion"/>
  </si>
  <si>
    <t>4*0.8</t>
    <phoneticPr fontId="22" type="noConversion"/>
  </si>
  <si>
    <t>中行对公</t>
    <phoneticPr fontId="22" type="noConversion"/>
  </si>
  <si>
    <t>5006868</t>
    <phoneticPr fontId="22" type="noConversion"/>
  </si>
  <si>
    <t>00788706</t>
    <phoneticPr fontId="22" type="noConversion"/>
  </si>
  <si>
    <t>付</t>
    <phoneticPr fontId="22" type="noConversion"/>
  </si>
  <si>
    <t>0000250</t>
    <phoneticPr fontId="22" type="noConversion"/>
  </si>
  <si>
    <t>0000254</t>
    <phoneticPr fontId="22" type="noConversion"/>
  </si>
  <si>
    <t>条</t>
    <phoneticPr fontId="22" type="noConversion"/>
  </si>
  <si>
    <t>XOUT155215</t>
    <phoneticPr fontId="22" type="noConversion"/>
  </si>
  <si>
    <t>不开票</t>
    <phoneticPr fontId="22" type="noConversion"/>
  </si>
  <si>
    <t>3200CN</t>
    <phoneticPr fontId="60" type="noConversion"/>
  </si>
  <si>
    <r>
      <t>3</t>
    </r>
    <r>
      <rPr>
        <sz val="10"/>
        <color indexed="8"/>
        <rFont val="宋体"/>
        <family val="3"/>
        <charset val="134"/>
      </rPr>
      <t>200CN</t>
    </r>
    <phoneticPr fontId="22" type="noConversion"/>
  </si>
  <si>
    <t>赠送于远新商贸</t>
    <phoneticPr fontId="22" type="noConversion"/>
  </si>
  <si>
    <t xml:space="preserve">嘉烨 </t>
    <phoneticPr fontId="60" type="noConversion"/>
  </si>
  <si>
    <t>03569295</t>
    <phoneticPr fontId="22" type="noConversion"/>
  </si>
  <si>
    <t>金佰利</t>
    <phoneticPr fontId="22" type="noConversion"/>
  </si>
  <si>
    <t>06179</t>
    <phoneticPr fontId="22" type="noConversion"/>
  </si>
  <si>
    <t>5006869</t>
    <phoneticPr fontId="22" type="noConversion"/>
  </si>
  <si>
    <t>00528776</t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</si>
  <si>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8-125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</si>
  <si>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7-175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</si>
  <si>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8-913</t>
    </r>
    <phoneticPr fontId="22" type="noConversion"/>
  </si>
  <si>
    <r>
      <t>8</t>
    </r>
    <r>
      <rPr>
        <sz val="10"/>
        <color indexed="8"/>
        <rFont val="宋体"/>
        <family val="3"/>
        <charset val="134"/>
      </rPr>
      <t>7-650</t>
    </r>
    <phoneticPr fontId="22" type="noConversion"/>
  </si>
  <si>
    <t>Ansell手套</t>
    <phoneticPr fontId="22" type="noConversion"/>
  </si>
  <si>
    <t>双</t>
    <phoneticPr fontId="22" type="noConversion"/>
  </si>
  <si>
    <t>赠与黎安平</t>
    <phoneticPr fontId="22" type="noConversion"/>
  </si>
  <si>
    <t>不开票</t>
    <phoneticPr fontId="22" type="noConversion"/>
  </si>
  <si>
    <t>付</t>
    <phoneticPr fontId="22" type="noConversion"/>
  </si>
  <si>
    <t>亿捷通少给我们5付</t>
    <phoneticPr fontId="22" type="noConversion"/>
  </si>
  <si>
    <t>眼镜</t>
    <phoneticPr fontId="22" type="noConversion"/>
  </si>
  <si>
    <t>420D</t>
    <phoneticPr fontId="22" type="noConversion"/>
  </si>
  <si>
    <t>03569211</t>
    <phoneticPr fontId="22" type="noConversion"/>
  </si>
  <si>
    <t>0.43mm*1.0*1.0m</t>
    <phoneticPr fontId="22" type="noConversion"/>
  </si>
  <si>
    <t>00788710</t>
    <phoneticPr fontId="22" type="noConversion"/>
  </si>
  <si>
    <t>Ansell手套耐磨耐油手套 9号</t>
    <phoneticPr fontId="60" type="noConversion"/>
  </si>
  <si>
    <t>Ansell家用手套 7-8号</t>
    <phoneticPr fontId="60" type="noConversion"/>
  </si>
  <si>
    <t>业务员</t>
    <phoneticPr fontId="22" type="noConversion"/>
  </si>
  <si>
    <r>
      <t>8</t>
    </r>
    <r>
      <rPr>
        <sz val="10"/>
        <color indexed="8"/>
        <rFont val="宋体"/>
        <family val="3"/>
        <charset val="134"/>
      </rPr>
      <t>7-650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</si>
  <si>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8-913</t>
    </r>
    <phoneticPr fontId="22" type="noConversion"/>
  </si>
  <si>
    <t>赠与宗申</t>
    <phoneticPr fontId="22" type="noConversion"/>
  </si>
  <si>
    <t>殷千兵</t>
    <phoneticPr fontId="22" type="noConversion"/>
  </si>
  <si>
    <t>KY</t>
    <phoneticPr fontId="22" type="noConversion"/>
  </si>
  <si>
    <t>农行对私</t>
    <phoneticPr fontId="22" type="noConversion"/>
  </si>
  <si>
    <t>只</t>
    <phoneticPr fontId="22" type="noConversion"/>
  </si>
  <si>
    <t>14093616</t>
    <phoneticPr fontId="22" type="noConversion"/>
  </si>
  <si>
    <t>7014149</t>
    <phoneticPr fontId="22" type="noConversion"/>
  </si>
  <si>
    <t>06658708</t>
    <phoneticPr fontId="22" type="noConversion"/>
  </si>
  <si>
    <t>/</t>
    <phoneticPr fontId="22" type="noConversion"/>
  </si>
  <si>
    <t>19335442</t>
    <phoneticPr fontId="22" type="noConversion"/>
  </si>
  <si>
    <t>3251CNL</t>
    <phoneticPr fontId="22" type="noConversion"/>
  </si>
  <si>
    <t>销售员</t>
    <phoneticPr fontId="53" type="noConversion"/>
  </si>
  <si>
    <t>品名</t>
    <phoneticPr fontId="53" type="noConversion"/>
  </si>
  <si>
    <t>型号</t>
    <phoneticPr fontId="53" type="noConversion"/>
  </si>
  <si>
    <t>单位</t>
    <phoneticPr fontId="53" type="noConversion"/>
  </si>
  <si>
    <t>备注</t>
    <phoneticPr fontId="53" type="noConversion"/>
  </si>
  <si>
    <t>高降噪子弹型带线耳塞</t>
    <phoneticPr fontId="53" type="noConversion"/>
  </si>
  <si>
    <t>半面型防护面罩（中号）</t>
    <phoneticPr fontId="53" type="noConversion"/>
  </si>
  <si>
    <t>硅胶半面型防护面罩</t>
    <phoneticPr fontId="53" type="noConversion"/>
  </si>
  <si>
    <t>颗粒物滤棉</t>
    <phoneticPr fontId="53" type="noConversion"/>
  </si>
  <si>
    <t>中国款防护眼镜</t>
    <phoneticPr fontId="53" type="noConversion"/>
  </si>
  <si>
    <t>亚洲款舒适型防化学护目镜</t>
    <phoneticPr fontId="53" type="noConversion"/>
  </si>
  <si>
    <t>有机气体防护口罩</t>
    <phoneticPr fontId="53" type="noConversion"/>
  </si>
  <si>
    <t>酸性气体防护口罩</t>
    <phoneticPr fontId="53" type="noConversion"/>
  </si>
  <si>
    <t>折叠式防护口罩( 头带式/ 标准号）</t>
    <phoneticPr fontId="53" type="noConversion"/>
  </si>
  <si>
    <t>防护口罩 (带呼吸阀）</t>
    <phoneticPr fontId="53" type="noConversion"/>
  </si>
  <si>
    <t>焊接用防尘口罩</t>
    <phoneticPr fontId="53" type="noConversion"/>
  </si>
  <si>
    <t>折叠式防护口罩 (灰色，头带式）</t>
    <phoneticPr fontId="53" type="noConversion"/>
  </si>
  <si>
    <t>有机蒸气异味及颗粒物防护口罩( 头带式)</t>
    <phoneticPr fontId="53" type="noConversion"/>
  </si>
  <si>
    <t>折叠式带阀防护口罩( 头带式/ 标准号）</t>
    <phoneticPr fontId="53" type="noConversion"/>
  </si>
  <si>
    <t>中国款流线型防护眼镜</t>
    <phoneticPr fontId="53" type="noConversion"/>
  </si>
  <si>
    <t>折叠式防护口罩</t>
    <phoneticPr fontId="53" type="noConversion"/>
  </si>
  <si>
    <t>焊接防护眼罩</t>
    <phoneticPr fontId="53" type="noConversion"/>
  </si>
  <si>
    <t>开会当展用</t>
    <phoneticPr fontId="53" type="noConversion"/>
  </si>
  <si>
    <t>李端</t>
    <phoneticPr fontId="53" type="noConversion"/>
  </si>
  <si>
    <t>流向</t>
    <phoneticPr fontId="22" type="noConversion"/>
  </si>
  <si>
    <t>个</t>
    <phoneticPr fontId="22" type="noConversion"/>
  </si>
  <si>
    <t>42-474</t>
    <phoneticPr fontId="22" type="noConversion"/>
  </si>
  <si>
    <t>件</t>
    <phoneticPr fontId="22" type="noConversion"/>
  </si>
  <si>
    <t>0003083</t>
    <phoneticPr fontId="22" type="noConversion"/>
  </si>
  <si>
    <t>个</t>
    <phoneticPr fontId="22" type="noConversion"/>
  </si>
  <si>
    <t>丁腈涂层防高温手套</t>
    <phoneticPr fontId="22" type="noConversion"/>
  </si>
  <si>
    <r>
      <t>3</t>
    </r>
    <r>
      <rPr>
        <sz val="9"/>
        <color indexed="8"/>
        <rFont val="宋体"/>
        <family val="3"/>
        <charset val="134"/>
      </rPr>
      <t>7-176</t>
    </r>
    <phoneticPr fontId="53" type="noConversion"/>
  </si>
  <si>
    <t>双</t>
    <phoneticPr fontId="53" type="noConversion"/>
  </si>
  <si>
    <t>样品</t>
    <phoneticPr fontId="53" type="noConversion"/>
  </si>
  <si>
    <t>殷千兵</t>
    <phoneticPr fontId="53" type="noConversion"/>
  </si>
  <si>
    <t>个</t>
    <phoneticPr fontId="22" type="noConversion"/>
  </si>
  <si>
    <t>件</t>
    <phoneticPr fontId="22" type="noConversion"/>
  </si>
  <si>
    <t>0001860</t>
    <phoneticPr fontId="22" type="noConversion"/>
  </si>
  <si>
    <t>0001857</t>
    <phoneticPr fontId="22" type="noConversion"/>
  </si>
  <si>
    <t>CB-D-7.5-26</t>
    <phoneticPr fontId="22" type="noConversion"/>
  </si>
  <si>
    <t>S02012122700008</t>
    <phoneticPr fontId="22" type="noConversion"/>
  </si>
  <si>
    <t>0006592</t>
    <phoneticPr fontId="22" type="noConversion"/>
  </si>
  <si>
    <t>GTY-GD-802</t>
    <phoneticPr fontId="22" type="noConversion"/>
  </si>
  <si>
    <t>CB-D-7.2-09</t>
    <phoneticPr fontId="22" type="noConversion"/>
  </si>
  <si>
    <t>312-1213</t>
    <phoneticPr fontId="60" type="noConversion"/>
  </si>
  <si>
    <t>312-1214</t>
    <phoneticPr fontId="60" type="noConversion"/>
  </si>
  <si>
    <t>圆柱型耳塞</t>
    <phoneticPr fontId="22" type="noConversion"/>
  </si>
  <si>
    <t>312-1214</t>
    <phoneticPr fontId="22" type="noConversion"/>
  </si>
  <si>
    <t>永兴赠送</t>
    <phoneticPr fontId="22" type="noConversion"/>
  </si>
  <si>
    <t>11263610</t>
    <phoneticPr fontId="22" type="noConversion"/>
  </si>
  <si>
    <t>个</t>
    <phoneticPr fontId="22" type="noConversion"/>
  </si>
  <si>
    <t>XSD-2013-01-06</t>
    <phoneticPr fontId="22" type="noConversion"/>
  </si>
  <si>
    <t>420D</t>
  </si>
  <si>
    <t>3701CN</t>
    <phoneticPr fontId="22" type="noConversion"/>
  </si>
  <si>
    <t>0001823</t>
    <phoneticPr fontId="22" type="noConversion"/>
  </si>
  <si>
    <t>02130139</t>
    <phoneticPr fontId="22" type="noConversion"/>
  </si>
  <si>
    <t>02129688</t>
    <phoneticPr fontId="22" type="noConversion"/>
  </si>
  <si>
    <t>宜宾市上走马街28号3楼A座</t>
  </si>
  <si>
    <t>18683180818</t>
  </si>
  <si>
    <t>S0201212210063</t>
    <phoneticPr fontId="22" type="noConversion"/>
  </si>
  <si>
    <t>0001834</t>
    <phoneticPr fontId="22" type="noConversion"/>
  </si>
  <si>
    <t>不开票</t>
    <phoneticPr fontId="22" type="noConversion"/>
  </si>
  <si>
    <t>片</t>
    <phoneticPr fontId="22" type="noConversion"/>
  </si>
  <si>
    <t>48.555</t>
    <phoneticPr fontId="60" type="noConversion"/>
  </si>
  <si>
    <t>24980392</t>
    <phoneticPr fontId="22" type="noConversion"/>
  </si>
  <si>
    <t>24980109/24980393</t>
    <phoneticPr fontId="22" type="noConversion"/>
  </si>
  <si>
    <t>8435.7/25307.1</t>
    <phoneticPr fontId="22" type="noConversion"/>
  </si>
  <si>
    <t>双</t>
    <phoneticPr fontId="22" type="noConversion"/>
  </si>
  <si>
    <t>小殷拿给客户看</t>
    <phoneticPr fontId="22" type="noConversion"/>
  </si>
  <si>
    <t>出库</t>
    <phoneticPr fontId="22" type="noConversion"/>
  </si>
  <si>
    <r>
      <t>1</t>
    </r>
    <r>
      <rPr>
        <sz val="10"/>
        <color indexed="8"/>
        <rFont val="宋体"/>
        <family val="3"/>
        <charset val="134"/>
      </rPr>
      <t>1-801</t>
    </r>
    <phoneticPr fontId="22" type="noConversion"/>
  </si>
  <si>
    <t>37-175</t>
    <phoneticPr fontId="22" type="noConversion"/>
  </si>
  <si>
    <t>09152068</t>
    <phoneticPr fontId="22" type="noConversion"/>
  </si>
  <si>
    <t>顺丰：112503820672</t>
    <phoneticPr fontId="22" type="noConversion"/>
  </si>
  <si>
    <t>折叠式防护口罩（双片包装）</t>
    <phoneticPr fontId="60" type="noConversion"/>
  </si>
  <si>
    <t>个</t>
    <phoneticPr fontId="22" type="noConversion"/>
  </si>
  <si>
    <t>李总给客户看</t>
    <phoneticPr fontId="22" type="noConversion"/>
  </si>
  <si>
    <t>P95 颗粒物滤棉</t>
  </si>
  <si>
    <t>舒适版 N95 防护口罩</t>
  </si>
  <si>
    <t>N95 防护罩（中英文防伪包装）</t>
  </si>
  <si>
    <t>( 带把手)</t>
  </si>
  <si>
    <t>Ultrafit27 圣诞树型带线耳塞( 带把手)</t>
    <phoneticPr fontId="60" type="noConversion"/>
  </si>
  <si>
    <t>Ultrafit 圣诞树型带线耳塞</t>
    <phoneticPr fontId="60" type="noConversion"/>
  </si>
  <si>
    <t>P95 酸性气体及颗粒物防护口罩</t>
  </si>
  <si>
    <t>中国款流线型防护眼镜（灰色镜片，防雾）</t>
    <phoneticPr fontId="22" type="noConversion"/>
  </si>
  <si>
    <t>入库单</t>
    <phoneticPr fontId="22" type="noConversion"/>
  </si>
  <si>
    <t>0001805</t>
    <phoneticPr fontId="22" type="noConversion"/>
  </si>
  <si>
    <t>个</t>
    <phoneticPr fontId="22" type="noConversion"/>
  </si>
  <si>
    <t>手套耐磨耐油手套 9号</t>
  </si>
  <si>
    <t>镀铝防护面屏（透明）</t>
    <phoneticPr fontId="60" type="noConversion"/>
  </si>
  <si>
    <t>聚碳酸酯面屏</t>
    <phoneticPr fontId="60" type="noConversion"/>
  </si>
  <si>
    <t>镀铝防护面屏</t>
    <phoneticPr fontId="60" type="noConversion"/>
  </si>
  <si>
    <t>Ansell手套</t>
    <phoneticPr fontId="60" type="noConversion"/>
  </si>
  <si>
    <t>Ansell家用手套 8-9号</t>
    <phoneticPr fontId="60" type="noConversion"/>
  </si>
  <si>
    <t>可更换式逃生呼吸酸性气体</t>
    <phoneticPr fontId="60" type="noConversion"/>
  </si>
  <si>
    <t>有机蒸气滤毒盒</t>
    <phoneticPr fontId="60" type="noConversion"/>
  </si>
  <si>
    <t>全面型防护面罩</t>
    <phoneticPr fontId="60" type="noConversion"/>
  </si>
  <si>
    <t>颗粒物呼吸防护套装经济型</t>
    <phoneticPr fontId="60" type="noConversion"/>
  </si>
  <si>
    <t>急救包</t>
    <phoneticPr fontId="60" type="noConversion"/>
  </si>
  <si>
    <t>颗粒物滤尘盒</t>
    <phoneticPr fontId="60" type="noConversion"/>
  </si>
  <si>
    <t>620P 尘毒呼吸防护套装(MRO)实用型</t>
    <phoneticPr fontId="60" type="noConversion"/>
  </si>
  <si>
    <t>待查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</si>
  <si>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7-175</t>
    </r>
    <phoneticPr fontId="22" type="noConversion"/>
  </si>
  <si>
    <r>
      <t>1</t>
    </r>
    <r>
      <rPr>
        <sz val="9"/>
        <color indexed="8"/>
        <rFont val="宋体"/>
        <family val="3"/>
        <charset val="134"/>
      </rPr>
      <t>1-801</t>
    </r>
    <phoneticPr fontId="53" type="noConversion"/>
  </si>
  <si>
    <t>SOL-VEX-手套</t>
    <phoneticPr fontId="53" type="noConversion"/>
  </si>
  <si>
    <t>Ansell手套</t>
    <phoneticPr fontId="53" type="noConversion"/>
  </si>
  <si>
    <r>
      <t>3</t>
    </r>
    <r>
      <rPr>
        <sz val="9"/>
        <color indexed="8"/>
        <rFont val="宋体"/>
        <family val="3"/>
        <charset val="134"/>
      </rPr>
      <t>7-175</t>
    </r>
    <phoneticPr fontId="53" type="noConversion"/>
  </si>
  <si>
    <t>颗粒物防尘口罩-蓝色</t>
    <phoneticPr fontId="53" type="noConversion"/>
  </si>
  <si>
    <t>SOL-VEX-手套（9码）</t>
    <phoneticPr fontId="53" type="noConversion"/>
  </si>
  <si>
    <t>391-1001</t>
    <phoneticPr fontId="22" type="noConversion"/>
  </si>
  <si>
    <t>付</t>
    <phoneticPr fontId="22" type="noConversion"/>
  </si>
  <si>
    <t>/</t>
    <phoneticPr fontId="22" type="noConversion"/>
  </si>
  <si>
    <t>顺丰：112723792597</t>
    <phoneticPr fontId="22" type="noConversion"/>
  </si>
  <si>
    <t>退货</t>
    <phoneticPr fontId="22" type="noConversion"/>
  </si>
  <si>
    <t>个</t>
    <phoneticPr fontId="22" type="noConversion"/>
  </si>
  <si>
    <t>围腰</t>
  </si>
  <si>
    <t>护目镜（防化学物飞溅）</t>
  </si>
  <si>
    <t>XSD-2013-01-15</t>
    <phoneticPr fontId="22" type="noConversion"/>
  </si>
  <si>
    <t>个</t>
    <phoneticPr fontId="22" type="noConversion"/>
  </si>
  <si>
    <t>防雾护目镜（防化学物飞溅，防雾）</t>
    <phoneticPr fontId="60" type="noConversion"/>
  </si>
  <si>
    <t>付</t>
    <phoneticPr fontId="22" type="noConversion"/>
  </si>
  <si>
    <t>11-800</t>
    <phoneticPr fontId="22" type="noConversion"/>
  </si>
  <si>
    <t>双</t>
    <phoneticPr fontId="22" type="noConversion"/>
  </si>
  <si>
    <t>0001811</t>
    <phoneticPr fontId="22" type="noConversion"/>
  </si>
  <si>
    <t>XK-T-20130109-0019</t>
    <phoneticPr fontId="22" type="noConversion"/>
  </si>
  <si>
    <t>XOUT157398</t>
    <phoneticPr fontId="22" type="noConversion"/>
  </si>
  <si>
    <t>/</t>
    <phoneticPr fontId="22" type="noConversion"/>
  </si>
  <si>
    <t>折叠式防尘口罩</t>
    <phoneticPr fontId="22" type="noConversion"/>
  </si>
  <si>
    <t>发货日期</t>
    <phoneticPr fontId="22" type="noConversion"/>
  </si>
  <si>
    <t>N95 焊接用防尘口罩( 防臭氧）</t>
  </si>
  <si>
    <t>N95 医用防护口罩</t>
  </si>
  <si>
    <t>环保包装折叠式防护口罩（灰色，头带式）</t>
    <phoneticPr fontId="22" type="noConversion"/>
  </si>
  <si>
    <t>SA201301100103</t>
    <phoneticPr fontId="22" type="noConversion"/>
  </si>
  <si>
    <t>0001816</t>
    <phoneticPr fontId="22" type="noConversion"/>
  </si>
  <si>
    <t>6001CN</t>
    <phoneticPr fontId="22" type="noConversion"/>
  </si>
  <si>
    <t>GM1301-17-01</t>
    <phoneticPr fontId="22" type="noConversion"/>
  </si>
  <si>
    <t>9042A</t>
    <phoneticPr fontId="22" type="noConversion"/>
  </si>
  <si>
    <t>9002A</t>
    <phoneticPr fontId="22" type="noConversion"/>
  </si>
  <si>
    <t>/</t>
    <phoneticPr fontId="22" type="noConversion"/>
  </si>
  <si>
    <t>SA201301110114</t>
    <phoneticPr fontId="22" type="noConversion"/>
  </si>
  <si>
    <t>02006730</t>
    <phoneticPr fontId="22" type="noConversion"/>
  </si>
  <si>
    <t>1621AF</t>
    <phoneticPr fontId="22" type="noConversion"/>
  </si>
  <si>
    <t>02006729</t>
    <phoneticPr fontId="22" type="noConversion"/>
  </si>
  <si>
    <r>
      <t>9</t>
    </r>
    <r>
      <rPr>
        <sz val="10"/>
        <color indexed="8"/>
        <rFont val="宋体"/>
        <family val="3"/>
        <charset val="134"/>
      </rPr>
      <t>042A</t>
    </r>
    <phoneticPr fontId="22" type="noConversion"/>
  </si>
  <si>
    <t>个</t>
    <phoneticPr fontId="22" type="noConversion"/>
  </si>
  <si>
    <t>罗丽</t>
    <phoneticPr fontId="22" type="noConversion"/>
  </si>
  <si>
    <t>CB-D-7.5-26</t>
    <phoneticPr fontId="22" type="noConversion"/>
  </si>
  <si>
    <t>做展架</t>
    <phoneticPr fontId="22" type="noConversion"/>
  </si>
  <si>
    <t>双片包装折叠式防护口罩（耳带式/ 标准号）</t>
    <phoneticPr fontId="60" type="noConversion"/>
  </si>
  <si>
    <t>9001A</t>
    <phoneticPr fontId="60" type="noConversion"/>
  </si>
  <si>
    <t>1.5</t>
    <phoneticPr fontId="60" type="noConversion"/>
  </si>
  <si>
    <t>渝北广源退货</t>
    <phoneticPr fontId="60" type="noConversion"/>
  </si>
  <si>
    <t>9002A</t>
    <phoneticPr fontId="22" type="noConversion"/>
  </si>
  <si>
    <t>农行对私</t>
    <phoneticPr fontId="22" type="noConversion"/>
  </si>
  <si>
    <t>JTY-GD-802</t>
  </si>
  <si>
    <t>GA502Q</t>
  </si>
  <si>
    <t>独立式燃气报警器</t>
  </si>
  <si>
    <t>深圳市铠卫安全技术有限公司</t>
  </si>
  <si>
    <t>2嘉烨  0*35.6</t>
    <phoneticPr fontId="22" type="noConversion"/>
  </si>
  <si>
    <t>P100 颗粒物滤棉</t>
    <phoneticPr fontId="60" type="noConversion"/>
  </si>
  <si>
    <t>片</t>
    <phoneticPr fontId="22" type="noConversion"/>
  </si>
  <si>
    <t>0003307</t>
    <phoneticPr fontId="22" type="noConversion"/>
  </si>
  <si>
    <t>03655796</t>
    <phoneticPr fontId="22" type="noConversion"/>
  </si>
  <si>
    <t>00238732</t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</si>
  <si>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8-913</t>
    </r>
    <phoneticPr fontId="22" type="noConversion"/>
  </si>
  <si>
    <t>双</t>
    <phoneticPr fontId="22" type="noConversion"/>
  </si>
  <si>
    <t>出库</t>
    <phoneticPr fontId="22" type="noConversion"/>
  </si>
  <si>
    <t>样品</t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</si>
  <si>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8-126</t>
    </r>
    <phoneticPr fontId="22" type="noConversion"/>
  </si>
  <si>
    <t>有机气体防护口罩( 中文包装）</t>
    <phoneticPr fontId="22" type="noConversion"/>
  </si>
  <si>
    <t>Ansell手套耐磨耐油手套 9号</t>
    <phoneticPr fontId="22" type="noConversion"/>
  </si>
  <si>
    <t>Edge</t>
  </si>
  <si>
    <r>
      <t>1</t>
    </r>
    <r>
      <rPr>
        <sz val="11"/>
        <color indexed="8"/>
        <rFont val="宋体"/>
        <family val="3"/>
        <charset val="134"/>
      </rPr>
      <t>1-624</t>
    </r>
    <phoneticPr fontId="68" type="noConversion"/>
  </si>
  <si>
    <r>
      <t>3</t>
    </r>
    <r>
      <rPr>
        <sz val="11"/>
        <color indexed="8"/>
        <rFont val="宋体"/>
        <family val="3"/>
        <charset val="134"/>
      </rPr>
      <t>7-176</t>
    </r>
    <phoneticPr fontId="68" type="noConversion"/>
  </si>
  <si>
    <r>
      <t>4</t>
    </r>
    <r>
      <rPr>
        <sz val="11"/>
        <color indexed="8"/>
        <rFont val="宋体"/>
        <family val="3"/>
        <charset val="134"/>
      </rPr>
      <t>8-125</t>
    </r>
    <phoneticPr fontId="68" type="noConversion"/>
  </si>
  <si>
    <r>
      <t>4</t>
    </r>
    <r>
      <rPr>
        <sz val="11"/>
        <color indexed="8"/>
        <rFont val="宋体"/>
        <family val="3"/>
        <charset val="134"/>
      </rPr>
      <t>8-126</t>
    </r>
    <phoneticPr fontId="68" type="noConversion"/>
  </si>
  <si>
    <r>
      <t>4</t>
    </r>
    <r>
      <rPr>
        <sz val="11"/>
        <color indexed="8"/>
        <rFont val="宋体"/>
        <family val="3"/>
        <charset val="134"/>
      </rPr>
      <t>8-305</t>
    </r>
    <phoneticPr fontId="68" type="noConversion"/>
  </si>
  <si>
    <r>
      <t>4</t>
    </r>
    <r>
      <rPr>
        <sz val="11"/>
        <color indexed="8"/>
        <rFont val="宋体"/>
        <family val="3"/>
        <charset val="134"/>
      </rPr>
      <t>8-500</t>
    </r>
    <phoneticPr fontId="68" type="noConversion"/>
  </si>
  <si>
    <r>
      <t>4</t>
    </r>
    <r>
      <rPr>
        <sz val="11"/>
        <color indexed="8"/>
        <rFont val="宋体"/>
        <family val="3"/>
        <charset val="134"/>
      </rPr>
      <t>8-501</t>
    </r>
    <phoneticPr fontId="68" type="noConversion"/>
  </si>
  <si>
    <r>
      <t>4</t>
    </r>
    <r>
      <rPr>
        <sz val="11"/>
        <color indexed="8"/>
        <rFont val="宋体"/>
        <family val="3"/>
        <charset val="134"/>
      </rPr>
      <t>8-700</t>
    </r>
    <phoneticPr fontId="68" type="noConversion"/>
  </si>
  <si>
    <r>
      <t>7</t>
    </r>
    <r>
      <rPr>
        <sz val="11"/>
        <color indexed="8"/>
        <rFont val="宋体"/>
        <family val="3"/>
        <charset val="134"/>
      </rPr>
      <t>6-202</t>
    </r>
    <phoneticPr fontId="68" type="noConversion"/>
  </si>
  <si>
    <r>
      <t>7</t>
    </r>
    <r>
      <rPr>
        <sz val="11"/>
        <color indexed="8"/>
        <rFont val="宋体"/>
        <family val="3"/>
        <charset val="134"/>
      </rPr>
      <t>6-501</t>
    </r>
    <phoneticPr fontId="68" type="noConversion"/>
  </si>
  <si>
    <r>
      <t>8</t>
    </r>
    <r>
      <rPr>
        <sz val="11"/>
        <color indexed="8"/>
        <rFont val="宋体"/>
        <family val="3"/>
        <charset val="134"/>
      </rPr>
      <t>7-650</t>
    </r>
    <phoneticPr fontId="68" type="noConversion"/>
  </si>
  <si>
    <r>
      <t>8</t>
    </r>
    <r>
      <rPr>
        <sz val="11"/>
        <color indexed="8"/>
        <rFont val="宋体"/>
        <family val="3"/>
        <charset val="134"/>
      </rPr>
      <t>7-950</t>
    </r>
    <phoneticPr fontId="68" type="noConversion"/>
  </si>
  <si>
    <t>个</t>
    <phoneticPr fontId="22" type="noConversion"/>
  </si>
  <si>
    <t>19.8</t>
    <phoneticPr fontId="60" type="noConversion"/>
  </si>
  <si>
    <t>/</t>
    <phoneticPr fontId="22" type="noConversion"/>
  </si>
  <si>
    <t>消防过滤式自救式呼吸器</t>
  </si>
  <si>
    <t>个</t>
    <phoneticPr fontId="22" type="noConversion"/>
  </si>
  <si>
    <t>07199924</t>
    <phoneticPr fontId="22" type="noConversion"/>
  </si>
  <si>
    <t>11263621/11263623</t>
    <phoneticPr fontId="22" type="noConversion"/>
  </si>
  <si>
    <t>020006762</t>
    <phoneticPr fontId="22" type="noConversion"/>
  </si>
  <si>
    <t>02627897</t>
    <phoneticPr fontId="22" type="noConversion"/>
  </si>
  <si>
    <t>滤棉承接盒</t>
  </si>
  <si>
    <t>340-4004</t>
    <phoneticPr fontId="22" type="noConversion"/>
  </si>
  <si>
    <t>付</t>
    <phoneticPr fontId="22" type="noConversion"/>
  </si>
  <si>
    <t>43-116</t>
    <phoneticPr fontId="22" type="noConversion"/>
  </si>
  <si>
    <t>双</t>
    <phoneticPr fontId="22" type="noConversion"/>
  </si>
  <si>
    <t>个</t>
    <phoneticPr fontId="22" type="noConversion"/>
  </si>
  <si>
    <t>92-670</t>
    <phoneticPr fontId="22" type="noConversion"/>
  </si>
  <si>
    <t>盒</t>
    <phoneticPr fontId="22" type="noConversion"/>
  </si>
  <si>
    <t>3701CN</t>
    <phoneticPr fontId="22" type="noConversion"/>
  </si>
  <si>
    <t>片</t>
    <phoneticPr fontId="22" type="noConversion"/>
  </si>
  <si>
    <t>无纺布手提袋</t>
    <phoneticPr fontId="68" type="noConversion"/>
  </si>
  <si>
    <t>单价成本</t>
    <phoneticPr fontId="60" type="noConversion"/>
  </si>
  <si>
    <t>合计</t>
    <phoneticPr fontId="68" type="noConversion"/>
  </si>
  <si>
    <t>0003330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</si>
  <si>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701CN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</si>
  <si>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8-501</t>
    </r>
    <phoneticPr fontId="22" type="noConversion"/>
  </si>
  <si>
    <t>双</t>
    <phoneticPr fontId="22" type="noConversion"/>
  </si>
  <si>
    <t>已付</t>
    <phoneticPr fontId="22" type="noConversion"/>
  </si>
  <si>
    <t>2013-1-24</t>
    <phoneticPr fontId="22" type="noConversion"/>
  </si>
  <si>
    <t>不开票</t>
    <phoneticPr fontId="22" type="noConversion"/>
  </si>
  <si>
    <t>01871941</t>
    <phoneticPr fontId="22" type="noConversion"/>
  </si>
  <si>
    <t>7093 P100</t>
    <phoneticPr fontId="22" type="noConversion"/>
  </si>
  <si>
    <t>付</t>
    <phoneticPr fontId="22" type="noConversion"/>
  </si>
  <si>
    <t>XOUT158302</t>
    <phoneticPr fontId="22" type="noConversion"/>
  </si>
  <si>
    <t>淮海牌</t>
  </si>
  <si>
    <t>1公斤</t>
  </si>
  <si>
    <t>1公斤</t>
    <phoneticPr fontId="22" type="noConversion"/>
  </si>
  <si>
    <t>2公斤</t>
  </si>
  <si>
    <t>只</t>
    <phoneticPr fontId="22" type="noConversion"/>
  </si>
  <si>
    <t>/</t>
    <phoneticPr fontId="22" type="noConversion"/>
  </si>
  <si>
    <t>0003340</t>
    <phoneticPr fontId="22" type="noConversion"/>
  </si>
  <si>
    <t>02196787-788</t>
    <phoneticPr fontId="22" type="noConversion"/>
  </si>
  <si>
    <t>个</t>
    <phoneticPr fontId="22" type="noConversion"/>
  </si>
  <si>
    <t>7093 P100</t>
    <phoneticPr fontId="22" type="noConversion"/>
  </si>
  <si>
    <t>片</t>
    <phoneticPr fontId="22" type="noConversion"/>
  </si>
  <si>
    <t>农行对私</t>
    <phoneticPr fontId="22" type="noConversion"/>
  </si>
  <si>
    <t>2091 P100</t>
    <phoneticPr fontId="22" type="noConversion"/>
  </si>
  <si>
    <t>/</t>
    <phoneticPr fontId="22" type="noConversion"/>
  </si>
  <si>
    <t>中行对公</t>
    <phoneticPr fontId="22" type="noConversion"/>
  </si>
  <si>
    <t>折叠式防尘口罩</t>
    <phoneticPr fontId="22" type="noConversion"/>
  </si>
  <si>
    <t>预过滤棉</t>
    <phoneticPr fontId="22" type="noConversion"/>
  </si>
  <si>
    <t>多用气体/蒸气滤毒盒</t>
    <phoneticPr fontId="22" type="noConversion"/>
  </si>
  <si>
    <t>中国款流线型防护眼镜（灰色镜片，防雾）</t>
    <phoneticPr fontId="22" type="noConversion"/>
  </si>
  <si>
    <t>滤棉盖</t>
    <phoneticPr fontId="22" type="noConversion"/>
  </si>
  <si>
    <t>舒适型防尘口罩</t>
    <phoneticPr fontId="22" type="noConversion"/>
  </si>
  <si>
    <t>有机气体防护口罩( 中文包装）</t>
    <phoneticPr fontId="60" type="noConversion"/>
  </si>
  <si>
    <t>防护眼镜（防雾），蓝色镜架</t>
    <phoneticPr fontId="22" type="noConversion"/>
  </si>
  <si>
    <t>双面胶</t>
    <phoneticPr fontId="22" type="noConversion"/>
  </si>
  <si>
    <t>颗粒物滤棉</t>
    <phoneticPr fontId="22" type="noConversion"/>
  </si>
  <si>
    <t>绿色带帽连体防护服 L</t>
    <phoneticPr fontId="22" type="noConversion"/>
  </si>
  <si>
    <t>绿色带帽连体防护服 XL</t>
    <phoneticPr fontId="22" type="noConversion"/>
  </si>
  <si>
    <t>绿色带帽连体防护服 M</t>
    <phoneticPr fontId="22" type="noConversion"/>
  </si>
  <si>
    <t>防护口罩( 头带式/ 标准号）</t>
    <phoneticPr fontId="22" type="noConversion"/>
  </si>
  <si>
    <t>防护服M</t>
    <phoneticPr fontId="22" type="noConversion"/>
  </si>
  <si>
    <t>防护服L</t>
    <phoneticPr fontId="22" type="noConversion"/>
  </si>
  <si>
    <t>口罩</t>
    <phoneticPr fontId="22" type="noConversion"/>
  </si>
  <si>
    <t>有机蒸气滤毒盒</t>
    <phoneticPr fontId="22" type="noConversion"/>
  </si>
  <si>
    <t>中国款流线型防护眼镜（防刮擦）</t>
    <phoneticPr fontId="22" type="noConversion"/>
  </si>
  <si>
    <t>口罩（环保包装）</t>
    <phoneticPr fontId="22" type="noConversion"/>
  </si>
  <si>
    <t>Polar Grip-手套</t>
    <phoneticPr fontId="22" type="noConversion"/>
  </si>
  <si>
    <t>有机气体滤毒盒</t>
    <phoneticPr fontId="22" type="noConversion"/>
  </si>
  <si>
    <t>耳罩</t>
    <phoneticPr fontId="22" type="noConversion"/>
  </si>
  <si>
    <t>颗粒物呼吸防护套装(MRO)经济</t>
    <phoneticPr fontId="22" type="noConversion"/>
  </si>
  <si>
    <t>尘毒呼吸防护套装(MRO)经济型</t>
    <phoneticPr fontId="22" type="noConversion"/>
  </si>
  <si>
    <t>尘毒呼吸防护套装(MRO)舒适型</t>
    <phoneticPr fontId="22" type="noConversion"/>
  </si>
  <si>
    <t>尘毒呼吸防护套装(MRO)实用型</t>
    <phoneticPr fontId="22" type="noConversion"/>
  </si>
  <si>
    <t>颗粒物防尘口罩-蓝色</t>
    <phoneticPr fontId="22" type="noConversion"/>
  </si>
  <si>
    <t>颗粒物防护口罩-蓝色</t>
    <phoneticPr fontId="22" type="noConversion"/>
  </si>
  <si>
    <t>折叠式耳罩 - 中文包装</t>
    <phoneticPr fontId="22" type="noConversion"/>
  </si>
  <si>
    <t>焊接眼罩（IR5.0)</t>
    <phoneticPr fontId="22" type="noConversion"/>
  </si>
  <si>
    <t>下水服42码</t>
    <phoneticPr fontId="22" type="noConversion"/>
  </si>
  <si>
    <t>Ultrafit 圣诞树型带线耳塞</t>
    <phoneticPr fontId="22" type="noConversion"/>
  </si>
  <si>
    <t>有机及酸性气体滤毒盒</t>
    <phoneticPr fontId="22" type="noConversion"/>
  </si>
  <si>
    <t>半面型防护面罩</t>
    <phoneticPr fontId="22" type="noConversion"/>
  </si>
  <si>
    <t>防化服</t>
    <phoneticPr fontId="22" type="noConversion"/>
  </si>
  <si>
    <t>100V自动变光焊接面罩</t>
    <phoneticPr fontId="22" type="noConversion"/>
  </si>
  <si>
    <t>圣诞树型带线耳塞</t>
    <phoneticPr fontId="22" type="noConversion"/>
  </si>
  <si>
    <t>舒适型头箍</t>
    <phoneticPr fontId="22" type="noConversion"/>
  </si>
  <si>
    <t>防化学透明聚碳酸酯面屏</t>
    <phoneticPr fontId="22" type="noConversion"/>
  </si>
  <si>
    <t>耳塞分配器底座</t>
    <phoneticPr fontId="22" type="noConversion"/>
  </si>
  <si>
    <t>便携式洗眼器</t>
    <phoneticPr fontId="22" type="noConversion"/>
  </si>
  <si>
    <t>办公室急救箱</t>
    <phoneticPr fontId="22" type="noConversion"/>
  </si>
  <si>
    <t>酸性气体防护口罩</t>
    <phoneticPr fontId="22" type="noConversion"/>
  </si>
  <si>
    <t>折叠式防护口罩</t>
    <phoneticPr fontId="22" type="noConversion"/>
  </si>
  <si>
    <t>滤棉盖（旧）</t>
    <phoneticPr fontId="22" type="noConversion"/>
  </si>
  <si>
    <t>下水裤（40#）</t>
    <phoneticPr fontId="22" type="noConversion"/>
  </si>
  <si>
    <t>下水裤（38#）</t>
    <phoneticPr fontId="22" type="noConversion"/>
  </si>
  <si>
    <t>化纤单上衣</t>
    <phoneticPr fontId="22" type="noConversion"/>
  </si>
  <si>
    <t>镀铝防护面屏</t>
    <phoneticPr fontId="22" type="noConversion"/>
  </si>
  <si>
    <t>颗粒物滤尘盒</t>
    <phoneticPr fontId="22" type="noConversion"/>
  </si>
  <si>
    <t>全面型防护面罩</t>
    <phoneticPr fontId="22" type="noConversion"/>
  </si>
  <si>
    <t>圆柱型耳塞( 配合耳塞分配器使用）</t>
    <phoneticPr fontId="22" type="noConversion"/>
  </si>
  <si>
    <t>有机蒸汽滤毒盒</t>
    <phoneticPr fontId="22" type="noConversion"/>
  </si>
  <si>
    <t>有机气体及颗粒物防护口罩</t>
    <phoneticPr fontId="22" type="noConversion"/>
  </si>
  <si>
    <t>折叠式吸收棉</t>
    <phoneticPr fontId="22" type="noConversion"/>
  </si>
  <si>
    <t>有机蒸气异味及颗粒物防护口罩</t>
    <phoneticPr fontId="22" type="noConversion"/>
  </si>
  <si>
    <t>代尔塔安全鞋</t>
    <phoneticPr fontId="22" type="noConversion"/>
  </si>
  <si>
    <t>中国款流线型防护眼镜</t>
    <phoneticPr fontId="22" type="noConversion"/>
  </si>
  <si>
    <t>白色带帽连体防护服 XL</t>
    <phoneticPr fontId="22" type="noConversion"/>
  </si>
  <si>
    <t>防护口罩 (灰色，头带式）</t>
    <phoneticPr fontId="22" type="noConversion"/>
  </si>
  <si>
    <t>双滤盒半面罩</t>
    <phoneticPr fontId="22" type="noConversion"/>
  </si>
  <si>
    <t>滤毒盒</t>
    <phoneticPr fontId="22" type="noConversion"/>
  </si>
  <si>
    <t>全面具视窗保护膜</t>
    <phoneticPr fontId="22" type="noConversion"/>
  </si>
  <si>
    <t>手提挂墙急救箱</t>
    <phoneticPr fontId="22" type="noConversion"/>
  </si>
  <si>
    <t>有机蒸气异味及颗粒物滤棉</t>
    <phoneticPr fontId="22" type="noConversion"/>
  </si>
  <si>
    <t>滤棉承接座</t>
    <phoneticPr fontId="22" type="noConversion"/>
  </si>
  <si>
    <t>斯博瑞安 安全鞋</t>
    <phoneticPr fontId="22" type="noConversion"/>
  </si>
  <si>
    <t>爱护佳免洗手消毒液</t>
    <phoneticPr fontId="22" type="noConversion"/>
  </si>
  <si>
    <t>子弹型带线耳塞</t>
    <phoneticPr fontId="22" type="noConversion"/>
  </si>
  <si>
    <t>时尚型防护眼镜</t>
    <phoneticPr fontId="22" type="noConversion"/>
  </si>
  <si>
    <t>汞蒸气/ 氯气滤毒盒</t>
    <phoneticPr fontId="22" type="noConversion"/>
  </si>
  <si>
    <t>有机/无机/酸性气体滤毒盒</t>
    <phoneticPr fontId="22" type="noConversion"/>
  </si>
  <si>
    <t>消防电绝缘服</t>
    <phoneticPr fontId="22" type="noConversion"/>
  </si>
  <si>
    <t>折叠式带阀防护口罩</t>
    <phoneticPr fontId="22" type="noConversion"/>
  </si>
  <si>
    <t>颗粒物呼吸防护组合</t>
    <phoneticPr fontId="22" type="noConversion"/>
  </si>
  <si>
    <t>中国款防护眼镜</t>
    <phoneticPr fontId="22" type="noConversion"/>
  </si>
  <si>
    <t>面罩吸气口垫圈</t>
    <phoneticPr fontId="22" type="noConversion"/>
  </si>
  <si>
    <t>面罩吸气阀</t>
    <phoneticPr fontId="22" type="noConversion"/>
  </si>
  <si>
    <t>经济型焊接用防尘口罩</t>
    <phoneticPr fontId="22" type="noConversion"/>
  </si>
  <si>
    <t>100V自动变光焊接面罩保护片</t>
    <phoneticPr fontId="22" type="noConversion"/>
  </si>
  <si>
    <t>白色带帽连体防护服 L</t>
    <phoneticPr fontId="22" type="noConversion"/>
  </si>
  <si>
    <t>素色长雨衣</t>
    <phoneticPr fontId="22" type="noConversion"/>
  </si>
  <si>
    <t>深蓝色耐用聚酯纤维带PVC点塑</t>
    <phoneticPr fontId="22" type="noConversion"/>
  </si>
  <si>
    <t>消防过滤式自救式呼吸器</t>
    <phoneticPr fontId="22" type="noConversion"/>
  </si>
  <si>
    <t>头罩组合</t>
    <phoneticPr fontId="22" type="noConversion"/>
  </si>
  <si>
    <t>呼吸管</t>
    <phoneticPr fontId="22" type="noConversion"/>
  </si>
  <si>
    <t>空气调节阀</t>
    <phoneticPr fontId="22" type="noConversion"/>
  </si>
  <si>
    <t>连体防护服 L号</t>
    <phoneticPr fontId="22" type="noConversion"/>
  </si>
  <si>
    <t>Ultrafit27 圣诞树型带线耳塞( 带把手)</t>
    <phoneticPr fontId="22" type="noConversion"/>
  </si>
  <si>
    <t>双胶围腰</t>
    <phoneticPr fontId="22" type="noConversion"/>
  </si>
  <si>
    <t>白帆布围腰</t>
    <phoneticPr fontId="22" type="noConversion"/>
  </si>
  <si>
    <t>牛仔布围腰</t>
    <phoneticPr fontId="22" type="noConversion"/>
  </si>
  <si>
    <t>防水围腰</t>
    <phoneticPr fontId="22" type="noConversion"/>
  </si>
  <si>
    <t>防水皮围腰</t>
    <phoneticPr fontId="22" type="noConversion"/>
  </si>
  <si>
    <t>经济型耳罩</t>
    <phoneticPr fontId="22" type="noConversion"/>
  </si>
  <si>
    <t>W5无尘擦拭布</t>
    <phoneticPr fontId="22" type="noConversion"/>
  </si>
  <si>
    <t>舒适型面屏支架</t>
    <phoneticPr fontId="22" type="noConversion"/>
  </si>
  <si>
    <t>急救包</t>
    <phoneticPr fontId="22" type="noConversion"/>
  </si>
  <si>
    <t>独立式光电感烟探测器</t>
    <phoneticPr fontId="22" type="noConversion"/>
  </si>
  <si>
    <t>灭火毯</t>
    <phoneticPr fontId="22" type="noConversion"/>
  </si>
  <si>
    <t>丁腈涂层防高温手套</t>
    <phoneticPr fontId="22" type="noConversion"/>
  </si>
  <si>
    <t>杜邦防护服</t>
    <phoneticPr fontId="22" type="noConversion"/>
  </si>
  <si>
    <t>N100 高效防护口罩</t>
    <phoneticPr fontId="22" type="noConversion"/>
  </si>
  <si>
    <t>HyFlex11-800</t>
    <phoneticPr fontId="22" type="noConversion"/>
  </si>
  <si>
    <t>折叠式防护口罩（双片包装）</t>
    <phoneticPr fontId="22" type="noConversion"/>
  </si>
  <si>
    <t>1公斤干粉灭火器</t>
    <phoneticPr fontId="22" type="noConversion"/>
  </si>
  <si>
    <t>2公斤干粉灭火器</t>
    <phoneticPr fontId="22" type="noConversion"/>
  </si>
  <si>
    <t>耐高温手套</t>
    <phoneticPr fontId="22" type="noConversion"/>
  </si>
  <si>
    <t>无粉蓝色丁腈橡胶手套</t>
    <phoneticPr fontId="22" type="noConversion"/>
  </si>
  <si>
    <t>重庆市昊泽工贸有限公司</t>
    <phoneticPr fontId="22" type="noConversion"/>
  </si>
  <si>
    <t>个体经营户</t>
    <phoneticPr fontId="22" type="noConversion"/>
  </si>
  <si>
    <t>重庆亿捷通工业品股份有限公司</t>
    <phoneticPr fontId="22" type="noConversion"/>
  </si>
  <si>
    <t>四川高木安防设备有限公司</t>
    <phoneticPr fontId="22" type="noConversion"/>
  </si>
  <si>
    <t>重庆南洋劳保用品有限公司</t>
    <phoneticPr fontId="22" type="noConversion"/>
  </si>
  <si>
    <t>重庆百货大楼股份有限公司劳保用品分公司</t>
    <phoneticPr fontId="22" type="noConversion"/>
  </si>
  <si>
    <t>上海航利实业有限公司</t>
    <phoneticPr fontId="22" type="noConversion"/>
  </si>
  <si>
    <t>3M中国有限公司</t>
    <phoneticPr fontId="22" type="noConversion"/>
  </si>
  <si>
    <t>明尼苏达矿业制造（上海）国际贸易有限公司</t>
    <phoneticPr fontId="22" type="noConversion"/>
  </si>
  <si>
    <t>3M国际贸易（深圳）有限公司</t>
    <phoneticPr fontId="22" type="noConversion"/>
  </si>
  <si>
    <t>深圳市鹏亮工贸有限公司</t>
    <phoneticPr fontId="22" type="noConversion"/>
  </si>
  <si>
    <t>成都市钲鑫商贸有限公司</t>
    <phoneticPr fontId="22" type="noConversion"/>
  </si>
  <si>
    <t>重庆索科焊接设备有限公司</t>
    <phoneticPr fontId="22" type="noConversion"/>
  </si>
  <si>
    <t>重庆永安劳保用品有限公司</t>
    <phoneticPr fontId="22" type="noConversion"/>
  </si>
  <si>
    <t>广州市南方劳保用品供应有限公司</t>
    <phoneticPr fontId="22" type="noConversion"/>
  </si>
  <si>
    <t>西安信腾实验室装备有限公司</t>
    <phoneticPr fontId="22" type="noConversion"/>
  </si>
  <si>
    <t>成都万方机电有限公司</t>
    <phoneticPr fontId="22" type="noConversion"/>
  </si>
  <si>
    <t>上海麦森医疗科技有限公司</t>
    <phoneticPr fontId="22" type="noConversion"/>
  </si>
  <si>
    <t>贵阳腾马贸易有限公司</t>
    <phoneticPr fontId="22" type="noConversion"/>
  </si>
  <si>
    <t>广州市南越劳保用品有限公司</t>
    <phoneticPr fontId="22" type="noConversion"/>
  </si>
  <si>
    <t>重庆诚济医疗器械有限公司</t>
    <phoneticPr fontId="22" type="noConversion"/>
  </si>
  <si>
    <t>深圳市永兴劳保胶粘制品有限公司</t>
    <phoneticPr fontId="22" type="noConversion"/>
  </si>
  <si>
    <t>上海杰韦弗实业有限公司</t>
    <phoneticPr fontId="22" type="noConversion"/>
  </si>
  <si>
    <t>3M 国际贸易（深圳）有限公司</t>
    <phoneticPr fontId="22" type="noConversion"/>
  </si>
  <si>
    <t>上海西斯贝尔工业科技有限公司</t>
    <phoneticPr fontId="22" type="noConversion"/>
  </si>
  <si>
    <t>临沂新明辉安全科技有限公司</t>
    <phoneticPr fontId="22" type="noConversion"/>
  </si>
  <si>
    <t>云南金运通泰商贸有限公司</t>
    <phoneticPr fontId="22" type="noConversion"/>
  </si>
  <si>
    <t>上海凯悦安全消防器材有限公司</t>
    <phoneticPr fontId="22" type="noConversion"/>
  </si>
  <si>
    <t>徐州市广通科技发展有限公司</t>
    <phoneticPr fontId="22" type="noConversion"/>
  </si>
  <si>
    <t>重庆全好五金有限公司</t>
    <phoneticPr fontId="22" type="noConversion"/>
  </si>
  <si>
    <t>深圳市保科医疗器械有限公司</t>
    <phoneticPr fontId="22" type="noConversion"/>
  </si>
  <si>
    <t>深圳市铠卫安全技术有限公司</t>
    <phoneticPr fontId="22" type="noConversion"/>
  </si>
  <si>
    <t>慈溪市倍达耐火材料有限公司</t>
    <phoneticPr fontId="22" type="noConversion"/>
  </si>
  <si>
    <t>德阳市万达物资供应站</t>
    <phoneticPr fontId="22" type="noConversion"/>
  </si>
  <si>
    <t>亚洲款舒适型防化学护目镜</t>
    <phoneticPr fontId="22" type="noConversion"/>
  </si>
  <si>
    <t>中国款流线型防护眼镜（透明镜片，防雾）</t>
    <phoneticPr fontId="22" type="noConversion"/>
  </si>
  <si>
    <t>折叠式防尘口罩( 标准号)</t>
    <phoneticPr fontId="22" type="noConversion"/>
  </si>
  <si>
    <t>折叠式防护口罩(环保包装)</t>
    <phoneticPr fontId="22" type="noConversion"/>
  </si>
  <si>
    <t>颗粒物呼吸防护套装经济型</t>
    <phoneticPr fontId="22" type="noConversion"/>
  </si>
  <si>
    <t>硅胶半面型防护面罩（中号）</t>
    <phoneticPr fontId="22" type="noConversion"/>
  </si>
  <si>
    <t>硅胶半面型防护面罩（小号）</t>
    <phoneticPr fontId="22" type="noConversion"/>
  </si>
  <si>
    <t>折叠式带阀防护口罩（耳带式/ 标准号）</t>
    <phoneticPr fontId="22" type="noConversion"/>
  </si>
  <si>
    <t>白色带帽连体防护服</t>
    <phoneticPr fontId="22" type="noConversion"/>
  </si>
  <si>
    <t>环保包装折叠式防护口罩（灰色，头带式）</t>
    <phoneticPr fontId="22" type="noConversion"/>
  </si>
  <si>
    <t>橙色带帽连体防护服M</t>
    <phoneticPr fontId="22" type="noConversion"/>
  </si>
  <si>
    <t>橙色带帽连体防护服L</t>
    <phoneticPr fontId="22" type="noConversion"/>
  </si>
  <si>
    <t>双片包装折叠式防护口罩（耳带式/ 标准号）</t>
    <phoneticPr fontId="22" type="noConversion"/>
  </si>
  <si>
    <t>防护口罩</t>
    <phoneticPr fontId="22" type="noConversion"/>
  </si>
  <si>
    <t>有机蒸气异味及颗粒物防护口罩（耳带式）</t>
    <phoneticPr fontId="22" type="noConversion"/>
  </si>
  <si>
    <t>N95 焊接用防尘口罩（防臭氧）</t>
    <phoneticPr fontId="22" type="noConversion"/>
  </si>
  <si>
    <t>中国款流线型防护眼镜（反光镜片，防刮擦）</t>
    <phoneticPr fontId="22" type="noConversion"/>
  </si>
  <si>
    <t>定性适合性检验工具（苦味）</t>
    <phoneticPr fontId="22" type="noConversion"/>
  </si>
  <si>
    <t>带阀颗粒物防护口罩</t>
    <phoneticPr fontId="22" type="noConversion"/>
  </si>
  <si>
    <t>尘毒呼吸防护套装实用性</t>
    <phoneticPr fontId="22" type="noConversion"/>
  </si>
  <si>
    <t>轻便型防护眼镜（透明镜片，防雾）</t>
    <phoneticPr fontId="22" type="noConversion"/>
  </si>
  <si>
    <t>尘毒呼吸防护套装经济型</t>
    <phoneticPr fontId="22" type="noConversion"/>
  </si>
  <si>
    <t>颗粒物滤棉</t>
    <phoneticPr fontId="22" type="noConversion"/>
  </si>
  <si>
    <t>白色带帽连体防护服XL</t>
    <phoneticPr fontId="22" type="noConversion"/>
  </si>
  <si>
    <t>白色带帽连体防护服XXL</t>
    <phoneticPr fontId="22" type="noConversion"/>
  </si>
  <si>
    <t>隔热焊工手套</t>
    <phoneticPr fontId="22" type="noConversion"/>
  </si>
  <si>
    <t>V型安全帽</t>
    <phoneticPr fontId="22" type="noConversion"/>
  </si>
  <si>
    <t>白色带帽连体防护服（无码）</t>
    <phoneticPr fontId="22" type="noConversion"/>
  </si>
  <si>
    <t>耳塞分配器底座</t>
    <phoneticPr fontId="60" type="noConversion"/>
  </si>
  <si>
    <t>防护服F级</t>
    <phoneticPr fontId="22" type="noConversion"/>
  </si>
  <si>
    <t>11782 1790G时尚型防护眼镜</t>
    <phoneticPr fontId="22" type="noConversion"/>
  </si>
  <si>
    <t>圆柱型带线耳塞</t>
    <phoneticPr fontId="22" type="noConversion"/>
  </si>
  <si>
    <t>防滑手套</t>
    <phoneticPr fontId="22" type="noConversion"/>
  </si>
  <si>
    <t>中国款流线型防护眼镜（灰色镜片，防雾）</t>
    <phoneticPr fontId="22" type="noConversion"/>
  </si>
  <si>
    <t>37-175</t>
    <phoneticPr fontId="22" type="noConversion"/>
  </si>
  <si>
    <t>3003K-100</t>
    <phoneticPr fontId="22" type="noConversion"/>
  </si>
  <si>
    <t>9042A</t>
    <phoneticPr fontId="22" type="noConversion"/>
  </si>
  <si>
    <t>318-1005</t>
    <phoneticPr fontId="22" type="noConversion"/>
  </si>
  <si>
    <t>3701CN</t>
    <phoneticPr fontId="22" type="noConversion"/>
  </si>
  <si>
    <t>620P</t>
    <phoneticPr fontId="22" type="noConversion"/>
  </si>
  <si>
    <t>3501CN</t>
    <phoneticPr fontId="22" type="noConversion"/>
  </si>
  <si>
    <t>2091 P100</t>
    <phoneticPr fontId="22" type="noConversion"/>
  </si>
  <si>
    <t>6200CN</t>
    <phoneticPr fontId="22" type="noConversion"/>
  </si>
  <si>
    <t>76-202</t>
    <phoneticPr fontId="22" type="noConversion"/>
  </si>
  <si>
    <t>7093 P100</t>
    <phoneticPr fontId="22" type="noConversion"/>
  </si>
  <si>
    <t>3744K</t>
    <phoneticPr fontId="22" type="noConversion"/>
  </si>
  <si>
    <t>3N11CN</t>
    <phoneticPr fontId="22" type="noConversion"/>
  </si>
  <si>
    <t>收货地址</t>
    <phoneticPr fontId="22" type="noConversion"/>
  </si>
  <si>
    <t>税票号</t>
    <phoneticPr fontId="22" type="noConversion"/>
  </si>
  <si>
    <t>发票快递单号</t>
    <phoneticPr fontId="22" type="noConversion"/>
  </si>
  <si>
    <t>来源</t>
    <phoneticPr fontId="22" type="noConversion"/>
  </si>
  <si>
    <t>销售员</t>
    <phoneticPr fontId="22" type="noConversion"/>
  </si>
  <si>
    <t>3M</t>
    <phoneticPr fontId="22" type="noConversion"/>
  </si>
  <si>
    <t>中行对公</t>
    <phoneticPr fontId="22" type="noConversion"/>
  </si>
  <si>
    <t>01418130</t>
    <phoneticPr fontId="22" type="noConversion"/>
  </si>
  <si>
    <t>终端</t>
    <phoneticPr fontId="22" type="noConversion"/>
  </si>
  <si>
    <t>重庆戴卡捷力轮毂制造有限公司</t>
    <phoneticPr fontId="22" type="noConversion"/>
  </si>
  <si>
    <t>颗粒物滤棉</t>
    <phoneticPr fontId="22" type="noConversion"/>
  </si>
  <si>
    <t>2091 P100</t>
    <phoneticPr fontId="22" type="noConversion"/>
  </si>
  <si>
    <t>9102C</t>
    <phoneticPr fontId="22" type="noConversion"/>
  </si>
  <si>
    <t>个</t>
    <phoneticPr fontId="22" type="noConversion"/>
  </si>
  <si>
    <t>重庆戴卡捷力轮毂制造有限公司</t>
    <phoneticPr fontId="22" type="noConversion"/>
  </si>
  <si>
    <t>3M</t>
    <phoneticPr fontId="22" type="noConversion"/>
  </si>
  <si>
    <t>6001CN</t>
    <phoneticPr fontId="22" type="noConversion"/>
  </si>
  <si>
    <t>中行对公</t>
    <phoneticPr fontId="22" type="noConversion"/>
  </si>
  <si>
    <t>01418130</t>
    <phoneticPr fontId="22" type="noConversion"/>
  </si>
  <si>
    <t>终端</t>
    <phoneticPr fontId="22" type="noConversion"/>
  </si>
  <si>
    <t>5N11</t>
    <phoneticPr fontId="22" type="noConversion"/>
  </si>
  <si>
    <t>中行对公</t>
    <phoneticPr fontId="22" type="noConversion"/>
  </si>
  <si>
    <t>01418130</t>
    <phoneticPr fontId="22" type="noConversion"/>
  </si>
  <si>
    <t>终端</t>
    <phoneticPr fontId="22" type="noConversion"/>
  </si>
  <si>
    <t>3M</t>
    <phoneticPr fontId="22" type="noConversion"/>
  </si>
  <si>
    <t>1623AF</t>
    <phoneticPr fontId="22" type="noConversion"/>
  </si>
  <si>
    <t>/</t>
    <phoneticPr fontId="22" type="noConversion"/>
  </si>
  <si>
    <t>02962116</t>
    <phoneticPr fontId="22" type="noConversion"/>
  </si>
  <si>
    <t>重庆商祺商贸有限公司</t>
    <phoneticPr fontId="22" type="noConversion"/>
  </si>
  <si>
    <t>9102C</t>
    <phoneticPr fontId="22" type="noConversion"/>
  </si>
  <si>
    <t>个</t>
    <phoneticPr fontId="22" type="noConversion"/>
  </si>
  <si>
    <t>重庆商祺商贸有限公司</t>
    <phoneticPr fontId="22" type="noConversion"/>
  </si>
  <si>
    <t>折叠式防护口罩(环保包装)</t>
    <phoneticPr fontId="22" type="noConversion"/>
  </si>
  <si>
    <t>9002A</t>
    <phoneticPr fontId="22" type="noConversion"/>
  </si>
  <si>
    <t>颗粒物呼吸防护套装经济型</t>
    <phoneticPr fontId="22" type="noConversion"/>
  </si>
  <si>
    <t>320D</t>
    <phoneticPr fontId="22" type="noConversion"/>
  </si>
  <si>
    <t>套</t>
    <phoneticPr fontId="22" type="noConversion"/>
  </si>
  <si>
    <t>1711AF</t>
    <phoneticPr fontId="22" type="noConversion"/>
  </si>
  <si>
    <t>中国款防护眼镜</t>
    <phoneticPr fontId="22" type="noConversion"/>
  </si>
  <si>
    <t>中国款流线型防护眼镜（透明镜片，防雾）</t>
    <phoneticPr fontId="22" type="noConversion"/>
  </si>
  <si>
    <t>荣昌砖厂</t>
    <phoneticPr fontId="22" type="noConversion"/>
  </si>
  <si>
    <t>折叠式防尘口罩( 标准号)</t>
    <phoneticPr fontId="22" type="noConversion"/>
  </si>
  <si>
    <t>9102C</t>
    <phoneticPr fontId="22" type="noConversion"/>
  </si>
  <si>
    <t>个</t>
    <phoneticPr fontId="22" type="noConversion"/>
  </si>
  <si>
    <t>农行对私</t>
    <phoneticPr fontId="22" type="noConversion"/>
  </si>
  <si>
    <t>有机蒸气滤毒盒</t>
    <phoneticPr fontId="22" type="noConversion"/>
  </si>
  <si>
    <t>3301CN</t>
    <phoneticPr fontId="22" type="noConversion"/>
  </si>
  <si>
    <t>13452102967</t>
    <phoneticPr fontId="22" type="noConversion"/>
  </si>
  <si>
    <t>半面型防护面罩</t>
    <phoneticPr fontId="22" type="noConversion"/>
  </si>
  <si>
    <t>渝北区广源劳保用品经营部</t>
    <phoneticPr fontId="22" type="noConversion"/>
  </si>
  <si>
    <t>3N11CN</t>
    <phoneticPr fontId="22" type="noConversion"/>
  </si>
  <si>
    <t>5N11</t>
    <phoneticPr fontId="22" type="noConversion"/>
  </si>
  <si>
    <t>重庆铭冠劳保防护用品有限公司</t>
    <phoneticPr fontId="22" type="noConversion"/>
  </si>
  <si>
    <t>023143699826</t>
    <phoneticPr fontId="22" type="noConversion"/>
  </si>
  <si>
    <t>6002CN</t>
    <phoneticPr fontId="22" type="noConversion"/>
  </si>
  <si>
    <t>荣昌县天择劳保用品经营部</t>
    <phoneticPr fontId="22" type="noConversion"/>
  </si>
  <si>
    <t>荣昌县天择劳保用品经营部</t>
    <phoneticPr fontId="22" type="noConversion"/>
  </si>
  <si>
    <t>3701CN</t>
    <phoneticPr fontId="22" type="noConversion"/>
  </si>
  <si>
    <t>昆明尧安经贸有限公司</t>
    <phoneticPr fontId="22" type="noConversion"/>
  </si>
  <si>
    <t>/</t>
    <phoneticPr fontId="22" type="noConversion"/>
  </si>
  <si>
    <t>重庆嘉烨商贸有限公司</t>
    <phoneticPr fontId="22" type="noConversion"/>
  </si>
  <si>
    <t>01634371</t>
    <phoneticPr fontId="22" type="noConversion"/>
  </si>
  <si>
    <t>385CN</t>
    <phoneticPr fontId="22" type="noConversion"/>
  </si>
  <si>
    <t>01634371</t>
    <phoneticPr fontId="22" type="noConversion"/>
  </si>
  <si>
    <t>3N11CN</t>
    <phoneticPr fontId="22" type="noConversion"/>
  </si>
  <si>
    <t>曾长军</t>
    <phoneticPr fontId="22" type="noConversion"/>
  </si>
  <si>
    <t>曾长军</t>
    <phoneticPr fontId="22" type="noConversion"/>
  </si>
  <si>
    <t>龙溪镇劳保</t>
    <phoneticPr fontId="22" type="noConversion"/>
  </si>
  <si>
    <t>多用气体/蒸气滤毒盒</t>
    <phoneticPr fontId="22" type="noConversion"/>
  </si>
  <si>
    <t>中国款流线型防护眼镜（灰色镜片，防雾）</t>
    <phoneticPr fontId="22" type="noConversion"/>
  </si>
  <si>
    <t>311-1101</t>
    <phoneticPr fontId="22" type="noConversion"/>
  </si>
  <si>
    <t>H7F</t>
    <phoneticPr fontId="22" type="noConversion"/>
  </si>
  <si>
    <t>02962116</t>
    <phoneticPr fontId="22" type="noConversion"/>
  </si>
  <si>
    <t>00269122</t>
    <phoneticPr fontId="22" type="noConversion"/>
  </si>
  <si>
    <t>终端</t>
    <phoneticPr fontId="22" type="noConversion"/>
  </si>
  <si>
    <t>3M</t>
    <phoneticPr fontId="22" type="noConversion"/>
  </si>
  <si>
    <t>3701CN</t>
    <phoneticPr fontId="22" type="noConversion"/>
  </si>
  <si>
    <t>重庆嘉烨商贸有限公司</t>
    <phoneticPr fontId="22" type="noConversion"/>
  </si>
  <si>
    <t>中行对公</t>
    <phoneticPr fontId="22" type="noConversion"/>
  </si>
  <si>
    <t>02962111</t>
    <phoneticPr fontId="22" type="noConversion"/>
  </si>
  <si>
    <t>9002A</t>
    <phoneticPr fontId="22" type="noConversion"/>
  </si>
  <si>
    <t>薛松元</t>
    <phoneticPr fontId="22" type="noConversion"/>
  </si>
  <si>
    <t>重庆市江北区电测村231号</t>
    <phoneticPr fontId="22" type="noConversion"/>
  </si>
  <si>
    <t>00269118</t>
    <phoneticPr fontId="22" type="noConversion"/>
  </si>
  <si>
    <t>568105803531</t>
    <phoneticPr fontId="22" type="noConversion"/>
  </si>
  <si>
    <t>普票</t>
    <phoneticPr fontId="22" type="noConversion"/>
  </si>
  <si>
    <t>罗瑞</t>
    <phoneticPr fontId="22" type="noConversion"/>
  </si>
  <si>
    <t>15808057121</t>
    <phoneticPr fontId="22" type="noConversion"/>
  </si>
  <si>
    <t>02962117</t>
    <phoneticPr fontId="22" type="noConversion"/>
  </si>
  <si>
    <t>/</t>
    <phoneticPr fontId="22" type="noConversion"/>
  </si>
  <si>
    <t>1621AF</t>
    <phoneticPr fontId="22" type="noConversion"/>
  </si>
  <si>
    <t>王国祥</t>
    <phoneticPr fontId="22" type="noConversion"/>
  </si>
  <si>
    <t>46495065/13609403014</t>
    <phoneticPr fontId="22" type="noConversion"/>
  </si>
  <si>
    <t>荣昌县吴家镇</t>
    <phoneticPr fontId="22" type="noConversion"/>
  </si>
  <si>
    <t>02596881113</t>
    <phoneticPr fontId="22" type="noConversion"/>
  </si>
  <si>
    <t>H7A</t>
    <phoneticPr fontId="22" type="noConversion"/>
  </si>
  <si>
    <t>付</t>
    <phoneticPr fontId="22" type="noConversion"/>
  </si>
  <si>
    <t>罗瑞</t>
    <phoneticPr fontId="22" type="noConversion"/>
  </si>
  <si>
    <t>15808057121</t>
    <phoneticPr fontId="22" type="noConversion"/>
  </si>
  <si>
    <t>02962117</t>
    <phoneticPr fontId="22" type="noConversion"/>
  </si>
  <si>
    <t>01634391</t>
    <phoneticPr fontId="22" type="noConversion"/>
  </si>
  <si>
    <t>023143699880</t>
    <phoneticPr fontId="22" type="noConversion"/>
  </si>
  <si>
    <t>01634390</t>
    <phoneticPr fontId="22" type="noConversion"/>
  </si>
  <si>
    <t>不开票</t>
    <phoneticPr fontId="22" type="noConversion"/>
  </si>
  <si>
    <t>重庆诚济医疗器械有限公司</t>
    <phoneticPr fontId="22" type="noConversion"/>
  </si>
  <si>
    <t>1621AF</t>
    <phoneticPr fontId="22" type="noConversion"/>
  </si>
  <si>
    <t>023-62837132</t>
    <phoneticPr fontId="22" type="noConversion"/>
  </si>
  <si>
    <t>南岸区金山支路21号附4号</t>
    <phoneticPr fontId="22" type="noConversion"/>
  </si>
  <si>
    <t>02962115</t>
    <phoneticPr fontId="22" type="noConversion"/>
  </si>
  <si>
    <t>023140870005</t>
    <phoneticPr fontId="22" type="noConversion"/>
  </si>
  <si>
    <t>渠道</t>
    <phoneticPr fontId="22" type="noConversion"/>
  </si>
  <si>
    <t>3M</t>
    <phoneticPr fontId="22" type="noConversion"/>
  </si>
  <si>
    <t>02962116</t>
    <phoneticPr fontId="22" type="noConversion"/>
  </si>
  <si>
    <t>昆明海世定泰商贸有限公司</t>
    <phoneticPr fontId="22" type="noConversion"/>
  </si>
  <si>
    <t>023143699844</t>
    <phoneticPr fontId="22" type="noConversion"/>
  </si>
  <si>
    <t>023143699844</t>
    <phoneticPr fontId="22" type="noConversion"/>
  </si>
  <si>
    <t>3M</t>
    <phoneticPr fontId="22" type="noConversion"/>
  </si>
  <si>
    <t>5N11</t>
    <phoneticPr fontId="22" type="noConversion"/>
  </si>
  <si>
    <t>重庆贝浪物资有限公司</t>
    <phoneticPr fontId="22" type="noConversion"/>
  </si>
  <si>
    <t>个</t>
    <phoneticPr fontId="22" type="noConversion"/>
  </si>
  <si>
    <t>李（交易城建行对面）</t>
    <phoneticPr fontId="22" type="noConversion"/>
  </si>
  <si>
    <t>023-68608434</t>
    <phoneticPr fontId="22" type="noConversion"/>
  </si>
  <si>
    <t>13193118215</t>
    <phoneticPr fontId="22" type="noConversion"/>
  </si>
  <si>
    <t>璧山县胶合锄把厂</t>
    <phoneticPr fontId="22" type="noConversion"/>
  </si>
  <si>
    <t>曹老师</t>
    <phoneticPr fontId="22" type="noConversion"/>
  </si>
  <si>
    <t>13110110180</t>
    <phoneticPr fontId="22" type="noConversion"/>
  </si>
  <si>
    <t>13883068683</t>
    <phoneticPr fontId="22" type="noConversion"/>
  </si>
  <si>
    <t>13320334472</t>
    <phoneticPr fontId="22" type="noConversion"/>
  </si>
  <si>
    <t>18723481678</t>
    <phoneticPr fontId="22" type="noConversion"/>
  </si>
  <si>
    <t>雷建国</t>
    <phoneticPr fontId="22" type="noConversion"/>
  </si>
  <si>
    <t>15123603496、15223837387</t>
    <phoneticPr fontId="22" type="noConversion"/>
  </si>
  <si>
    <t>垫江城区正大街115号</t>
    <phoneticPr fontId="22" type="noConversion"/>
  </si>
  <si>
    <t>戴建平</t>
    <phoneticPr fontId="22" type="noConversion"/>
  </si>
  <si>
    <t>15523662639</t>
    <phoneticPr fontId="22" type="noConversion"/>
  </si>
  <si>
    <t>折叠式带阀防护口罩（耳带式/ 标准号）</t>
    <phoneticPr fontId="22" type="noConversion"/>
  </si>
  <si>
    <t>9001V</t>
    <phoneticPr fontId="22" type="noConversion"/>
  </si>
  <si>
    <t>318-1005</t>
    <phoneticPr fontId="22" type="noConversion"/>
  </si>
  <si>
    <t>3744K</t>
    <phoneticPr fontId="22" type="noConversion"/>
  </si>
  <si>
    <t>片</t>
    <phoneticPr fontId="22" type="noConversion"/>
  </si>
  <si>
    <t>渠道</t>
    <phoneticPr fontId="22" type="noConversion"/>
  </si>
  <si>
    <t>不开票</t>
    <phoneticPr fontId="22" type="noConversion"/>
  </si>
  <si>
    <t>3M</t>
    <phoneticPr fontId="22" type="noConversion"/>
  </si>
  <si>
    <t>6001CN</t>
    <phoneticPr fontId="22" type="noConversion"/>
  </si>
  <si>
    <t>5N11</t>
    <phoneticPr fontId="22" type="noConversion"/>
  </si>
  <si>
    <t>9002A</t>
    <phoneticPr fontId="22" type="noConversion"/>
  </si>
  <si>
    <t>白色带帽连体防护服</t>
    <phoneticPr fontId="22" type="noConversion"/>
  </si>
  <si>
    <t>亚洲款舒适型防化学护目镜</t>
    <phoneticPr fontId="22" type="noConversion"/>
  </si>
  <si>
    <t>1623AF</t>
    <phoneticPr fontId="22" type="noConversion"/>
  </si>
  <si>
    <t>孙成林</t>
    <phoneticPr fontId="22" type="noConversion"/>
  </si>
  <si>
    <t>薛松元</t>
    <phoneticPr fontId="22" type="noConversion"/>
  </si>
  <si>
    <t>重庆市江北区电测村231号</t>
    <phoneticPr fontId="22" type="noConversion"/>
  </si>
  <si>
    <t>00269118</t>
    <phoneticPr fontId="22" type="noConversion"/>
  </si>
  <si>
    <t>568105803531</t>
    <phoneticPr fontId="22" type="noConversion"/>
  </si>
  <si>
    <t>普票</t>
    <phoneticPr fontId="22" type="noConversion"/>
  </si>
  <si>
    <t>自提</t>
    <phoneticPr fontId="22" type="noConversion"/>
  </si>
  <si>
    <t>硅胶半面型防护面罩（中号）</t>
    <phoneticPr fontId="22" type="noConversion"/>
  </si>
  <si>
    <t>自提</t>
    <phoneticPr fontId="22" type="noConversion"/>
  </si>
  <si>
    <t>自提</t>
    <phoneticPr fontId="22" type="noConversion"/>
  </si>
  <si>
    <t>中国款流线型防护眼镜（透明镜片，防雾）</t>
    <phoneticPr fontId="22" type="noConversion"/>
  </si>
  <si>
    <t>有机气体防护口罩( 中文包装）</t>
    <phoneticPr fontId="60" type="noConversion"/>
  </si>
  <si>
    <t>02962111-01634395-01634394-01634393</t>
    <phoneticPr fontId="22" type="noConversion"/>
  </si>
  <si>
    <t>5445.25-11691.75-11691.75-11691.75</t>
    <phoneticPr fontId="22" type="noConversion"/>
  </si>
  <si>
    <t>昆明海世定泰商贸有限公司</t>
    <phoneticPr fontId="22" type="noConversion"/>
  </si>
  <si>
    <t>颗粒物滤棉</t>
    <phoneticPr fontId="22" type="noConversion"/>
  </si>
  <si>
    <t>9002A</t>
    <phoneticPr fontId="22" type="noConversion"/>
  </si>
  <si>
    <t>南岸区木材厂</t>
    <phoneticPr fontId="22" type="noConversion"/>
  </si>
  <si>
    <t>重庆巴南区花溪镇</t>
    <phoneticPr fontId="22" type="noConversion"/>
  </si>
  <si>
    <t>滤棉盖</t>
    <phoneticPr fontId="22" type="noConversion"/>
  </si>
  <si>
    <t>彭水</t>
    <phoneticPr fontId="22" type="noConversion"/>
  </si>
  <si>
    <t>0019254</t>
    <phoneticPr fontId="22" type="noConversion"/>
  </si>
  <si>
    <t>重庆武隆顺达运输到付</t>
    <phoneticPr fontId="22" type="noConversion"/>
  </si>
  <si>
    <t>重庆市江北区郭正街59号</t>
    <phoneticPr fontId="22" type="noConversion"/>
  </si>
  <si>
    <t>德邦物流到付</t>
    <phoneticPr fontId="22" type="noConversion"/>
  </si>
  <si>
    <t>德邦物流到付</t>
    <phoneticPr fontId="22" type="noConversion"/>
  </si>
  <si>
    <t>重庆健隆双庆运输到付</t>
    <phoneticPr fontId="22" type="noConversion"/>
  </si>
  <si>
    <t>重庆渝北回兴街道双湖路133号</t>
    <phoneticPr fontId="22" type="noConversion"/>
  </si>
  <si>
    <t>滤棉承接座</t>
    <phoneticPr fontId="22" type="noConversion"/>
  </si>
  <si>
    <t>巫山</t>
    <phoneticPr fontId="22" type="noConversion"/>
  </si>
  <si>
    <t>重庆笛洋物流到付</t>
    <phoneticPr fontId="22" type="noConversion"/>
  </si>
  <si>
    <t>重庆笛洋物流到付</t>
    <phoneticPr fontId="22" type="noConversion"/>
  </si>
  <si>
    <t>重庆跨越卓远机械制造有限公司</t>
    <phoneticPr fontId="22" type="noConversion"/>
  </si>
  <si>
    <t>万州</t>
    <phoneticPr fontId="22" type="noConversion"/>
  </si>
  <si>
    <t>02962112</t>
    <phoneticPr fontId="22" type="noConversion"/>
  </si>
  <si>
    <t>023149159695</t>
    <phoneticPr fontId="22" type="noConversion"/>
  </si>
  <si>
    <t>3M</t>
    <phoneticPr fontId="22" type="noConversion"/>
  </si>
  <si>
    <t>有机蒸气滤毒盒</t>
    <phoneticPr fontId="22" type="noConversion"/>
  </si>
  <si>
    <t>6001CN</t>
    <phoneticPr fontId="22" type="noConversion"/>
  </si>
  <si>
    <t>中行对公</t>
    <phoneticPr fontId="22" type="noConversion"/>
  </si>
  <si>
    <t>颗粒物滤棉</t>
    <phoneticPr fontId="22" type="noConversion"/>
  </si>
  <si>
    <t>5N11</t>
    <phoneticPr fontId="22" type="noConversion"/>
  </si>
  <si>
    <t>滤棉盖</t>
    <phoneticPr fontId="22" type="noConversion"/>
  </si>
  <si>
    <t>酉阳</t>
    <phoneticPr fontId="22" type="noConversion"/>
  </si>
  <si>
    <t>0002151</t>
    <phoneticPr fontId="22" type="noConversion"/>
  </si>
  <si>
    <t>重庆万事达快运到付</t>
    <phoneticPr fontId="22" type="noConversion"/>
  </si>
  <si>
    <t>酉阳县鹏程家具</t>
    <phoneticPr fontId="22" type="noConversion"/>
  </si>
  <si>
    <t>酉阳</t>
    <phoneticPr fontId="22" type="noConversion"/>
  </si>
  <si>
    <t>0002151</t>
    <phoneticPr fontId="22" type="noConversion"/>
  </si>
  <si>
    <t>重庆海电风能集团有限公司</t>
    <phoneticPr fontId="22" type="noConversion"/>
  </si>
  <si>
    <t>环保包装折叠式防护口罩（灰色，头带式）</t>
    <phoneticPr fontId="22" type="noConversion"/>
  </si>
  <si>
    <t>9022A</t>
    <phoneticPr fontId="22" type="noConversion"/>
  </si>
  <si>
    <t>北碚</t>
    <phoneticPr fontId="22" type="noConversion"/>
  </si>
  <si>
    <t>/</t>
    <phoneticPr fontId="22" type="noConversion"/>
  </si>
  <si>
    <t>01758440</t>
    <phoneticPr fontId="22" type="noConversion"/>
  </si>
  <si>
    <t>023162172409</t>
    <phoneticPr fontId="22" type="noConversion"/>
  </si>
  <si>
    <t>重庆海电风能集团有限公司</t>
    <phoneticPr fontId="22" type="noConversion"/>
  </si>
  <si>
    <t>硅胶半面型防护面罩（中号）</t>
    <phoneticPr fontId="22" type="noConversion"/>
  </si>
  <si>
    <t>9002A</t>
    <phoneticPr fontId="22" type="noConversion"/>
  </si>
  <si>
    <t>蔡老师</t>
    <phoneticPr fontId="22" type="noConversion"/>
  </si>
  <si>
    <t>13908315304、023-62847898</t>
    <phoneticPr fontId="22" type="noConversion"/>
  </si>
  <si>
    <t>巴南区南泉镇</t>
    <phoneticPr fontId="22" type="noConversion"/>
  </si>
  <si>
    <t>不开票</t>
    <phoneticPr fontId="22" type="noConversion"/>
  </si>
  <si>
    <t>防雾护目镜（防化学物飞溅，防雾）</t>
    <phoneticPr fontId="22" type="noConversion"/>
  </si>
  <si>
    <t>1621AF</t>
    <phoneticPr fontId="22" type="noConversion"/>
  </si>
  <si>
    <t>滤棉承接座</t>
    <phoneticPr fontId="22" type="noConversion"/>
  </si>
  <si>
    <t>3701CN</t>
    <phoneticPr fontId="22" type="noConversion"/>
  </si>
  <si>
    <t>1711AF</t>
    <phoneticPr fontId="22" type="noConversion"/>
  </si>
  <si>
    <t>世纪兴货运到付</t>
    <phoneticPr fontId="22" type="noConversion"/>
  </si>
  <si>
    <t>自贡</t>
    <phoneticPr fontId="22" type="noConversion"/>
  </si>
  <si>
    <t>0024281</t>
    <phoneticPr fontId="22" type="noConversion"/>
  </si>
  <si>
    <t>01634388</t>
    <phoneticPr fontId="22" type="noConversion"/>
  </si>
  <si>
    <t>023143699853</t>
    <phoneticPr fontId="22" type="noConversion"/>
  </si>
  <si>
    <t>3M</t>
    <phoneticPr fontId="22" type="noConversion"/>
  </si>
  <si>
    <t>中国款流线型防护眼镜（透明镜片，防雾）</t>
    <phoneticPr fontId="22" type="noConversion"/>
  </si>
  <si>
    <t>世纪兴货运到付</t>
    <phoneticPr fontId="22" type="noConversion"/>
  </si>
  <si>
    <t>折叠式防护口罩(灰色，耳带式）</t>
    <phoneticPr fontId="22" type="noConversion"/>
  </si>
  <si>
    <t>9021A</t>
    <phoneticPr fontId="22" type="noConversion"/>
  </si>
  <si>
    <t>3701CN</t>
    <phoneticPr fontId="22" type="noConversion"/>
  </si>
  <si>
    <t>9002A</t>
    <phoneticPr fontId="22" type="noConversion"/>
  </si>
  <si>
    <t>重庆飞毛腿货运到付</t>
    <phoneticPr fontId="22" type="noConversion"/>
  </si>
  <si>
    <t>梁平</t>
    <phoneticPr fontId="22" type="noConversion"/>
  </si>
  <si>
    <t>0034406</t>
    <phoneticPr fontId="22" type="noConversion"/>
  </si>
  <si>
    <t>重庆飞毛腿货运到付</t>
    <phoneticPr fontId="22" type="noConversion"/>
  </si>
  <si>
    <t>沙坪坝西永镇童善桥村</t>
    <phoneticPr fontId="22" type="noConversion"/>
  </si>
  <si>
    <t>折叠式防尘口罩(小号)</t>
    <phoneticPr fontId="22" type="noConversion"/>
  </si>
  <si>
    <t>9102CS</t>
    <phoneticPr fontId="22" type="noConversion"/>
  </si>
  <si>
    <t>云南群康商贸有限公司</t>
    <phoneticPr fontId="22" type="noConversion"/>
  </si>
  <si>
    <t>防雾护目镜（防化学物飞溅，防雾）</t>
    <phoneticPr fontId="22" type="noConversion"/>
  </si>
  <si>
    <t>圆通到付</t>
    <phoneticPr fontId="22" type="noConversion"/>
  </si>
  <si>
    <t>云南省昆明市广福路广福小区一期西区8栋1单元602室</t>
    <phoneticPr fontId="22" type="noConversion"/>
  </si>
  <si>
    <t>云南群康商贸有限公司</t>
    <phoneticPr fontId="22" type="noConversion"/>
  </si>
  <si>
    <t>圆通到付</t>
    <phoneticPr fontId="22" type="noConversion"/>
  </si>
  <si>
    <t>沙坪坝区劳动路坪桥</t>
    <phoneticPr fontId="22" type="noConversion"/>
  </si>
  <si>
    <t>云南省昆明东川新村凯通路</t>
    <phoneticPr fontId="22" type="noConversion"/>
  </si>
  <si>
    <t>酸性气体滤毒盒</t>
    <phoneticPr fontId="22" type="noConversion"/>
  </si>
  <si>
    <t>6002CN</t>
    <phoneticPr fontId="22" type="noConversion"/>
  </si>
  <si>
    <t>贵阳泰峰实业有限公司</t>
    <phoneticPr fontId="22" type="noConversion"/>
  </si>
  <si>
    <t>01634389-01634391</t>
    <phoneticPr fontId="22" type="noConversion"/>
  </si>
  <si>
    <t>11623-6121</t>
    <phoneticPr fontId="22" type="noConversion"/>
  </si>
  <si>
    <t>宝山木业</t>
    <phoneticPr fontId="22" type="noConversion"/>
  </si>
  <si>
    <t>/</t>
    <phoneticPr fontId="22" type="noConversion"/>
  </si>
  <si>
    <t>朱华伟</t>
    <phoneticPr fontId="22" type="noConversion"/>
  </si>
  <si>
    <t>朱华伟</t>
    <phoneticPr fontId="22" type="noConversion"/>
  </si>
  <si>
    <t>嘉烨</t>
    <phoneticPr fontId="22" type="noConversion"/>
  </si>
  <si>
    <t>重庆创新劳动防护用品有限公司</t>
    <phoneticPr fontId="22" type="noConversion"/>
  </si>
  <si>
    <t>半面型防护面罩（中/大号）</t>
    <phoneticPr fontId="22" type="noConversion"/>
  </si>
  <si>
    <t>重庆三恩科技发展有限公司</t>
    <phoneticPr fontId="22" type="noConversion"/>
  </si>
  <si>
    <t>385CN</t>
    <phoneticPr fontId="22" type="noConversion"/>
  </si>
  <si>
    <t>2002485</t>
    <phoneticPr fontId="22" type="noConversion"/>
  </si>
  <si>
    <t>邓一帆</t>
    <phoneticPr fontId="22" type="noConversion"/>
  </si>
  <si>
    <t>13883314110</t>
    <phoneticPr fontId="22" type="noConversion"/>
  </si>
  <si>
    <t>01634392</t>
    <phoneticPr fontId="22" type="noConversion"/>
  </si>
  <si>
    <t>有机/酸性气体滤毒盒</t>
    <phoneticPr fontId="22" type="noConversion"/>
  </si>
  <si>
    <t>3003K-100</t>
    <phoneticPr fontId="22" type="noConversion"/>
  </si>
  <si>
    <t>开县治东家具厂</t>
    <phoneticPr fontId="22" type="noConversion"/>
  </si>
  <si>
    <t>2002487</t>
    <phoneticPr fontId="22" type="noConversion"/>
  </si>
  <si>
    <t>重庆广汇（广天）货运</t>
    <phoneticPr fontId="22" type="noConversion"/>
  </si>
  <si>
    <t>催红中</t>
    <phoneticPr fontId="22" type="noConversion"/>
  </si>
  <si>
    <t>13709452103</t>
    <phoneticPr fontId="22" type="noConversion"/>
  </si>
  <si>
    <t>重庆市开县南湖家私市场</t>
    <phoneticPr fontId="22" type="noConversion"/>
  </si>
  <si>
    <t>0002393</t>
    <phoneticPr fontId="22" type="noConversion"/>
  </si>
  <si>
    <t>预过滤棉</t>
    <phoneticPr fontId="22" type="noConversion"/>
  </si>
  <si>
    <t>农行对私</t>
    <phoneticPr fontId="22" type="noConversion"/>
  </si>
  <si>
    <t>2002487</t>
    <phoneticPr fontId="22" type="noConversion"/>
  </si>
  <si>
    <t>重庆广汇（广天）货运</t>
    <phoneticPr fontId="22" type="noConversion"/>
  </si>
  <si>
    <t>催红中</t>
    <phoneticPr fontId="22" type="noConversion"/>
  </si>
  <si>
    <t>13709452103</t>
    <phoneticPr fontId="22" type="noConversion"/>
  </si>
  <si>
    <t>重庆市开县南湖家私市场</t>
    <phoneticPr fontId="22" type="noConversion"/>
  </si>
  <si>
    <t>0002393</t>
    <phoneticPr fontId="22" type="noConversion"/>
  </si>
  <si>
    <t>涪陵天龙家具厂</t>
    <phoneticPr fontId="22" type="noConversion"/>
  </si>
  <si>
    <t>2002502</t>
    <phoneticPr fontId="22" type="noConversion"/>
  </si>
  <si>
    <t>重庆恒耀杨四物流到付</t>
    <phoneticPr fontId="22" type="noConversion"/>
  </si>
  <si>
    <t>杨加林</t>
    <phoneticPr fontId="22" type="noConversion"/>
  </si>
  <si>
    <t>13709460827</t>
    <phoneticPr fontId="22" type="noConversion"/>
  </si>
  <si>
    <t>涪陵</t>
    <phoneticPr fontId="22" type="noConversion"/>
  </si>
  <si>
    <t>0009763</t>
    <phoneticPr fontId="22" type="noConversion"/>
  </si>
  <si>
    <t>免搓揉泡棉带线耳塞</t>
    <phoneticPr fontId="22" type="noConversion"/>
  </si>
  <si>
    <t>酉阳县星月木业有限公司</t>
    <phoneticPr fontId="22" type="noConversion"/>
  </si>
  <si>
    <t>2002503</t>
    <phoneticPr fontId="22" type="noConversion"/>
  </si>
  <si>
    <t>重庆万事达快运</t>
    <phoneticPr fontId="22" type="noConversion"/>
  </si>
  <si>
    <t>周兴瑜</t>
    <phoneticPr fontId="22" type="noConversion"/>
  </si>
  <si>
    <t>13709485581</t>
    <phoneticPr fontId="22" type="noConversion"/>
  </si>
  <si>
    <t>酉阳县小砍全民创业园25号</t>
    <phoneticPr fontId="22" type="noConversion"/>
  </si>
  <si>
    <t>0003267</t>
    <phoneticPr fontId="22" type="noConversion"/>
  </si>
  <si>
    <t>云南云津达商贸有限公司</t>
    <phoneticPr fontId="22" type="noConversion"/>
  </si>
  <si>
    <t>件</t>
    <phoneticPr fontId="22" type="noConversion"/>
  </si>
  <si>
    <t>2002489</t>
    <phoneticPr fontId="22" type="noConversion"/>
  </si>
  <si>
    <t>圆通快递</t>
    <phoneticPr fontId="22" type="noConversion"/>
  </si>
  <si>
    <t>D026730065</t>
    <phoneticPr fontId="22" type="noConversion"/>
  </si>
  <si>
    <t>02962118</t>
    <phoneticPr fontId="22" type="noConversion"/>
  </si>
  <si>
    <t>重庆远标机电有限公司</t>
    <phoneticPr fontId="22" type="noConversion"/>
  </si>
  <si>
    <t>折叠式防尘口罩(小号）</t>
    <phoneticPr fontId="22" type="noConversion"/>
  </si>
  <si>
    <t>现金</t>
    <phoneticPr fontId="22" type="noConversion"/>
  </si>
  <si>
    <t>2002488</t>
    <phoneticPr fontId="22" type="noConversion"/>
  </si>
  <si>
    <t>防护眼镜（防刮擦涂层）</t>
    <phoneticPr fontId="22" type="noConversion"/>
  </si>
  <si>
    <t>两路口</t>
    <phoneticPr fontId="22" type="noConversion"/>
  </si>
  <si>
    <t>02962111</t>
    <phoneticPr fontId="22" type="noConversion"/>
  </si>
  <si>
    <t>自贡市永顺化工建材有限公司</t>
    <phoneticPr fontId="22" type="noConversion"/>
  </si>
  <si>
    <t>2002492</t>
    <phoneticPr fontId="22" type="noConversion"/>
  </si>
  <si>
    <t>杨界红</t>
    <phoneticPr fontId="22" type="noConversion"/>
  </si>
  <si>
    <t>13390081003</t>
    <phoneticPr fontId="22" type="noConversion"/>
  </si>
  <si>
    <t>自贡</t>
    <phoneticPr fontId="22" type="noConversion"/>
  </si>
  <si>
    <t>0023242</t>
    <phoneticPr fontId="22" type="noConversion"/>
  </si>
  <si>
    <t>01634388</t>
    <phoneticPr fontId="22" type="noConversion"/>
  </si>
  <si>
    <t>023143699853</t>
    <phoneticPr fontId="22" type="noConversion"/>
  </si>
  <si>
    <t>世纪兴货运到付</t>
    <phoneticPr fontId="22" type="noConversion"/>
  </si>
  <si>
    <t>重庆尚层楼梯厂</t>
    <phoneticPr fontId="22" type="noConversion"/>
  </si>
  <si>
    <t>2002491</t>
    <phoneticPr fontId="22" type="noConversion"/>
  </si>
  <si>
    <t>何斌</t>
    <phoneticPr fontId="22" type="noConversion"/>
  </si>
  <si>
    <t>18696594447</t>
    <phoneticPr fontId="22" type="noConversion"/>
  </si>
  <si>
    <t>上桥</t>
    <phoneticPr fontId="22" type="noConversion"/>
  </si>
  <si>
    <t>双面胶</t>
    <phoneticPr fontId="22" type="noConversion"/>
  </si>
  <si>
    <t>平方米</t>
    <phoneticPr fontId="22" type="noConversion"/>
  </si>
  <si>
    <t>2002493</t>
    <phoneticPr fontId="22" type="noConversion"/>
  </si>
  <si>
    <t>龙柳昆</t>
    <phoneticPr fontId="22" type="noConversion"/>
  </si>
  <si>
    <t>15987175322</t>
    <phoneticPr fontId="22" type="noConversion"/>
  </si>
  <si>
    <t>7042628478</t>
    <phoneticPr fontId="22" type="noConversion"/>
  </si>
  <si>
    <t>00215923</t>
    <phoneticPr fontId="22" type="noConversion"/>
  </si>
  <si>
    <t>023155145740</t>
    <phoneticPr fontId="22" type="noConversion"/>
  </si>
  <si>
    <t>重庆多尔贝实业有限公司</t>
    <phoneticPr fontId="22" type="noConversion"/>
  </si>
  <si>
    <t>2002490</t>
    <phoneticPr fontId="22" type="noConversion"/>
  </si>
  <si>
    <t>王安</t>
    <phoneticPr fontId="22" type="noConversion"/>
  </si>
  <si>
    <t>023-60310119</t>
    <phoneticPr fontId="22" type="noConversion"/>
  </si>
  <si>
    <t>北碚</t>
    <phoneticPr fontId="22" type="noConversion"/>
  </si>
  <si>
    <t>01634387</t>
    <phoneticPr fontId="22" type="noConversion"/>
  </si>
  <si>
    <t>现金</t>
    <phoneticPr fontId="22" type="noConversion"/>
  </si>
  <si>
    <t>2002490</t>
    <phoneticPr fontId="22" type="noConversion"/>
  </si>
  <si>
    <t>王安</t>
    <phoneticPr fontId="22" type="noConversion"/>
  </si>
  <si>
    <t>023-60310119</t>
    <phoneticPr fontId="22" type="noConversion"/>
  </si>
  <si>
    <t>北碚</t>
    <phoneticPr fontId="22" type="noConversion"/>
  </si>
  <si>
    <t>01634387</t>
    <phoneticPr fontId="22" type="noConversion"/>
  </si>
  <si>
    <t>重庆多尔贝实业有限公司</t>
    <phoneticPr fontId="22" type="noConversion"/>
  </si>
  <si>
    <t>3301CN</t>
    <phoneticPr fontId="22" type="noConversion"/>
  </si>
  <si>
    <t>付</t>
    <phoneticPr fontId="22" type="noConversion"/>
  </si>
  <si>
    <t>2002494</t>
    <phoneticPr fontId="22" type="noConversion"/>
  </si>
  <si>
    <t xml:space="preserve"> 15310088885</t>
    <phoneticPr fontId="22" type="noConversion"/>
  </si>
  <si>
    <t>渠道</t>
    <phoneticPr fontId="22" type="noConversion"/>
  </si>
  <si>
    <t>重庆铭冠劳保防护用品有限公司</t>
    <phoneticPr fontId="22" type="noConversion"/>
  </si>
  <si>
    <t>3M</t>
    <phoneticPr fontId="22" type="noConversion"/>
  </si>
  <si>
    <t>酸性气体滤毒盒</t>
    <phoneticPr fontId="22" type="noConversion"/>
  </si>
  <si>
    <t>6002CN</t>
    <phoneticPr fontId="22" type="noConversion"/>
  </si>
  <si>
    <t>个</t>
    <phoneticPr fontId="22" type="noConversion"/>
  </si>
  <si>
    <t>现金</t>
    <phoneticPr fontId="22" type="noConversion"/>
  </si>
  <si>
    <t>2002494</t>
    <phoneticPr fontId="22" type="noConversion"/>
  </si>
  <si>
    <t>5N11</t>
    <phoneticPr fontId="22" type="noConversion"/>
  </si>
  <si>
    <t>滤棉盖</t>
    <phoneticPr fontId="22" type="noConversion"/>
  </si>
  <si>
    <t>2002495</t>
    <phoneticPr fontId="22" type="noConversion"/>
  </si>
  <si>
    <t>金和婷</t>
    <phoneticPr fontId="22" type="noConversion"/>
  </si>
  <si>
    <t>023144759243</t>
    <phoneticPr fontId="22" type="noConversion"/>
  </si>
  <si>
    <t>02962113</t>
    <phoneticPr fontId="22" type="noConversion"/>
  </si>
  <si>
    <t>023149159686</t>
    <phoneticPr fontId="22" type="noConversion"/>
  </si>
  <si>
    <t>终端</t>
    <phoneticPr fontId="22" type="noConversion"/>
  </si>
  <si>
    <t>颗粒物滤棉</t>
    <phoneticPr fontId="22" type="noConversion"/>
  </si>
  <si>
    <t>3701CN</t>
    <phoneticPr fontId="22" type="noConversion"/>
  </si>
  <si>
    <t>顺丰到付</t>
    <phoneticPr fontId="22" type="noConversion"/>
  </si>
  <si>
    <t>圣诞树型带线耳塞</t>
    <phoneticPr fontId="22" type="noConversion"/>
  </si>
  <si>
    <t>个人经销商</t>
    <phoneticPr fontId="22" type="noConversion"/>
  </si>
  <si>
    <t>9002A</t>
    <phoneticPr fontId="22" type="noConversion"/>
  </si>
  <si>
    <t>片</t>
    <phoneticPr fontId="22" type="noConversion"/>
  </si>
  <si>
    <t>农行对私</t>
    <phoneticPr fontId="22" type="noConversion"/>
  </si>
  <si>
    <t>2002496</t>
    <phoneticPr fontId="22" type="noConversion"/>
  </si>
  <si>
    <t>顺丰快递</t>
    <phoneticPr fontId="22" type="noConversion"/>
  </si>
  <si>
    <t>江芳</t>
    <phoneticPr fontId="22" type="noConversion"/>
  </si>
  <si>
    <t>昆明市官渡区菊花机电市场9栋37号</t>
    <phoneticPr fontId="22" type="noConversion"/>
  </si>
  <si>
    <t>023127093265</t>
    <phoneticPr fontId="22" type="noConversion"/>
  </si>
  <si>
    <t>不开票</t>
    <phoneticPr fontId="22" type="noConversion"/>
  </si>
  <si>
    <t>新生物质能开发有限公司</t>
    <phoneticPr fontId="22" type="noConversion"/>
  </si>
  <si>
    <t>有机蒸气滤毒盒</t>
    <phoneticPr fontId="22" type="noConversion"/>
  </si>
  <si>
    <t>6001CN</t>
    <phoneticPr fontId="22" type="noConversion"/>
  </si>
  <si>
    <t>中行对私</t>
    <phoneticPr fontId="22" type="noConversion"/>
  </si>
  <si>
    <t>2002498</t>
    <phoneticPr fontId="22" type="noConversion"/>
  </si>
  <si>
    <t>孙成林</t>
    <phoneticPr fontId="22" type="noConversion"/>
  </si>
  <si>
    <t>13896650366</t>
    <phoneticPr fontId="22" type="noConversion"/>
  </si>
  <si>
    <t>涪陵焦石镇</t>
    <phoneticPr fontId="22" type="noConversion"/>
  </si>
  <si>
    <t>023127093229</t>
    <phoneticPr fontId="22" type="noConversion"/>
  </si>
  <si>
    <t>江北区乔林木业机械加工厂</t>
    <phoneticPr fontId="22" type="noConversion"/>
  </si>
  <si>
    <t>2002504</t>
    <phoneticPr fontId="22" type="noConversion"/>
  </si>
  <si>
    <t>自提</t>
    <phoneticPr fontId="22" type="noConversion"/>
  </si>
  <si>
    <t>/</t>
    <phoneticPr fontId="22" type="noConversion"/>
  </si>
  <si>
    <t>15826018325</t>
    <phoneticPr fontId="22" type="noConversion"/>
  </si>
  <si>
    <t>江北区郭家沱下岗社</t>
    <phoneticPr fontId="22" type="noConversion"/>
  </si>
  <si>
    <t>02962129</t>
    <phoneticPr fontId="22" type="noConversion"/>
  </si>
  <si>
    <t>重庆跨越卓远机械制造有限公司</t>
    <phoneticPr fontId="22" type="noConversion"/>
  </si>
  <si>
    <t>中行对公</t>
    <phoneticPr fontId="22" type="noConversion"/>
  </si>
  <si>
    <t>重庆飞达货运</t>
    <phoneticPr fontId="22" type="noConversion"/>
  </si>
  <si>
    <t>张翔</t>
    <phoneticPr fontId="22" type="noConversion"/>
  </si>
  <si>
    <t>重庆万州王牌路924号国腾实业集团</t>
    <phoneticPr fontId="22" type="noConversion"/>
  </si>
  <si>
    <t>0002873</t>
    <phoneticPr fontId="22" type="noConversion"/>
  </si>
  <si>
    <t>00215933</t>
    <phoneticPr fontId="22" type="noConversion"/>
  </si>
  <si>
    <t>023158601816</t>
    <phoneticPr fontId="22" type="noConversion"/>
  </si>
  <si>
    <t>云南云津达商贸有限公司</t>
    <phoneticPr fontId="22" type="noConversion"/>
  </si>
  <si>
    <t>绿色带帽连体防护服M</t>
    <phoneticPr fontId="22" type="noConversion"/>
  </si>
  <si>
    <t>件</t>
    <phoneticPr fontId="22" type="noConversion"/>
  </si>
  <si>
    <t>2002505</t>
    <phoneticPr fontId="22" type="noConversion"/>
  </si>
  <si>
    <t>023127093238</t>
    <phoneticPr fontId="22" type="noConversion"/>
  </si>
  <si>
    <t>02962118</t>
    <phoneticPr fontId="22" type="noConversion"/>
  </si>
  <si>
    <t>绿色带帽连体防护服L</t>
    <phoneticPr fontId="22" type="noConversion"/>
  </si>
  <si>
    <t>绿色带帽连体防护服XL</t>
    <phoneticPr fontId="22" type="noConversion"/>
  </si>
  <si>
    <t>昆明达迈科技有限公司</t>
    <phoneticPr fontId="22" type="noConversion"/>
  </si>
  <si>
    <t>有机气体防护口罩( 中文包装）</t>
    <phoneticPr fontId="60" type="noConversion"/>
  </si>
  <si>
    <t>2002506</t>
    <phoneticPr fontId="22" type="noConversion"/>
  </si>
  <si>
    <t>申通快递</t>
    <phoneticPr fontId="22" type="noConversion"/>
  </si>
  <si>
    <t xml:space="preserve">巫静 </t>
    <phoneticPr fontId="22" type="noConversion"/>
  </si>
  <si>
    <t>468490602773</t>
    <phoneticPr fontId="22" type="noConversion"/>
  </si>
  <si>
    <t>渝北区广源劳保用品经营部</t>
    <phoneticPr fontId="22" type="noConversion"/>
  </si>
  <si>
    <t>刘军</t>
    <phoneticPr fontId="22" type="noConversion"/>
  </si>
  <si>
    <t>13452102967</t>
    <phoneticPr fontId="22" type="noConversion"/>
  </si>
  <si>
    <t>023127093247</t>
    <phoneticPr fontId="22" type="noConversion"/>
  </si>
  <si>
    <t>月付</t>
    <phoneticPr fontId="22" type="noConversion"/>
  </si>
  <si>
    <t>1711AF</t>
    <phoneticPr fontId="22" type="noConversion"/>
  </si>
  <si>
    <t>付</t>
    <phoneticPr fontId="22" type="noConversion"/>
  </si>
  <si>
    <t>3N11CN</t>
    <phoneticPr fontId="22" type="noConversion"/>
  </si>
  <si>
    <t>385CN</t>
    <phoneticPr fontId="22" type="noConversion"/>
  </si>
  <si>
    <t>3301CN</t>
    <phoneticPr fontId="22" type="noConversion"/>
  </si>
  <si>
    <t>9002V</t>
    <phoneticPr fontId="22" type="noConversion"/>
  </si>
  <si>
    <t>3744K</t>
    <phoneticPr fontId="22" type="noConversion"/>
  </si>
  <si>
    <t>经济型焊接用防尘口罩</t>
    <phoneticPr fontId="22" type="noConversion"/>
  </si>
  <si>
    <t>2002508</t>
    <phoneticPr fontId="22" type="noConversion"/>
  </si>
  <si>
    <t>田先生</t>
    <phoneticPr fontId="22" type="noConversion"/>
  </si>
  <si>
    <t>13883264285</t>
    <phoneticPr fontId="22" type="noConversion"/>
  </si>
  <si>
    <t>2002508</t>
    <phoneticPr fontId="22" type="noConversion"/>
  </si>
  <si>
    <t>田先生</t>
    <phoneticPr fontId="22" type="noConversion"/>
  </si>
  <si>
    <t>13883264285</t>
    <phoneticPr fontId="22" type="noConversion"/>
  </si>
  <si>
    <t>不开票</t>
    <phoneticPr fontId="22" type="noConversion"/>
  </si>
  <si>
    <t>9002A</t>
    <phoneticPr fontId="22" type="noConversion"/>
  </si>
  <si>
    <t>片</t>
    <phoneticPr fontId="22" type="noConversion"/>
  </si>
  <si>
    <t>民意办公</t>
    <phoneticPr fontId="22" type="noConversion"/>
  </si>
  <si>
    <t>6001CN</t>
    <phoneticPr fontId="22" type="noConversion"/>
  </si>
  <si>
    <t>2002522</t>
    <phoneticPr fontId="22" type="noConversion"/>
  </si>
  <si>
    <t>许老师</t>
    <phoneticPr fontId="22" type="noConversion"/>
  </si>
  <si>
    <t>13310221108</t>
    <phoneticPr fontId="22" type="noConversion"/>
  </si>
  <si>
    <t>铜梁凯歌家具厂</t>
    <phoneticPr fontId="22" type="noConversion"/>
  </si>
  <si>
    <t>2002509</t>
    <phoneticPr fontId="22" type="noConversion"/>
  </si>
  <si>
    <t>重庆恒耀物流</t>
    <phoneticPr fontId="22" type="noConversion"/>
  </si>
  <si>
    <t>罗凯</t>
    <phoneticPr fontId="22" type="noConversion"/>
  </si>
  <si>
    <t>13036354647</t>
    <phoneticPr fontId="22" type="noConversion"/>
  </si>
  <si>
    <t>铜梁</t>
    <phoneticPr fontId="22" type="noConversion"/>
  </si>
  <si>
    <t>0007196</t>
    <phoneticPr fontId="22" type="noConversion"/>
  </si>
  <si>
    <t>重庆爱林木材有限公司</t>
    <phoneticPr fontId="22" type="noConversion"/>
  </si>
  <si>
    <t>2002510</t>
    <phoneticPr fontId="22" type="noConversion"/>
  </si>
  <si>
    <t>送货上门</t>
    <phoneticPr fontId="22" type="noConversion"/>
  </si>
  <si>
    <t>13212599556</t>
    <phoneticPr fontId="22" type="noConversion"/>
  </si>
  <si>
    <t>巴南区小泉</t>
    <phoneticPr fontId="22" type="noConversion"/>
  </si>
  <si>
    <t>重庆华博汽车饰件有限公司</t>
    <phoneticPr fontId="22" type="noConversion"/>
  </si>
  <si>
    <t>1621AF</t>
    <phoneticPr fontId="22" type="noConversion"/>
  </si>
  <si>
    <t>2002511</t>
    <phoneticPr fontId="22" type="noConversion"/>
  </si>
  <si>
    <t>顺丰快递</t>
    <phoneticPr fontId="22" type="noConversion"/>
  </si>
  <si>
    <t>周老师</t>
    <phoneticPr fontId="22" type="noConversion"/>
  </si>
  <si>
    <t>02368369008</t>
    <phoneticPr fontId="22" type="noConversion"/>
  </si>
  <si>
    <t>023143699871</t>
    <phoneticPr fontId="22" type="noConversion"/>
  </si>
  <si>
    <t>02962114</t>
    <phoneticPr fontId="22" type="noConversion"/>
  </si>
  <si>
    <t>023149159677</t>
    <phoneticPr fontId="22" type="noConversion"/>
  </si>
  <si>
    <t>中天门业</t>
    <phoneticPr fontId="22" type="noConversion"/>
  </si>
  <si>
    <t>2002512</t>
    <phoneticPr fontId="22" type="noConversion"/>
  </si>
  <si>
    <t>曾老师</t>
    <phoneticPr fontId="22" type="noConversion"/>
  </si>
  <si>
    <t>13271888886</t>
    <phoneticPr fontId="22" type="noConversion"/>
  </si>
  <si>
    <t>京欣医药</t>
    <phoneticPr fontId="22" type="noConversion"/>
  </si>
  <si>
    <t>9132</t>
    <phoneticPr fontId="22" type="noConversion"/>
  </si>
  <si>
    <t>2002500</t>
    <phoneticPr fontId="22" type="noConversion"/>
  </si>
  <si>
    <t>郭老师</t>
    <phoneticPr fontId="22" type="noConversion"/>
  </si>
  <si>
    <t>13983488658</t>
    <phoneticPr fontId="22" type="noConversion"/>
  </si>
  <si>
    <t>南坪</t>
    <phoneticPr fontId="22" type="noConversion"/>
  </si>
  <si>
    <t>渠道</t>
    <phoneticPr fontId="22" type="noConversion"/>
  </si>
  <si>
    <t>重庆东升劳保用品有限公司</t>
    <phoneticPr fontId="22" type="noConversion"/>
  </si>
  <si>
    <t>件</t>
    <phoneticPr fontId="22" type="noConversion"/>
  </si>
  <si>
    <t>2002513</t>
    <phoneticPr fontId="22" type="noConversion"/>
  </si>
  <si>
    <t>胡大强</t>
    <phoneticPr fontId="22" type="noConversion"/>
  </si>
  <si>
    <t>023-68698625</t>
    <phoneticPr fontId="22" type="noConversion"/>
  </si>
  <si>
    <t>石桥铺</t>
    <phoneticPr fontId="22" type="noConversion"/>
  </si>
  <si>
    <t>重庆市金匠有限公司</t>
    <phoneticPr fontId="22" type="noConversion"/>
  </si>
  <si>
    <t>2002523</t>
    <phoneticPr fontId="22" type="noConversion"/>
  </si>
  <si>
    <t>唐先生</t>
    <phoneticPr fontId="22" type="noConversion"/>
  </si>
  <si>
    <t>13983683036</t>
    <phoneticPr fontId="22" type="noConversion"/>
  </si>
  <si>
    <t>李家沱</t>
    <phoneticPr fontId="22" type="noConversion"/>
  </si>
  <si>
    <t>2002524</t>
    <phoneticPr fontId="22" type="noConversion"/>
  </si>
  <si>
    <t>邱先生</t>
    <phoneticPr fontId="22" type="noConversion"/>
  </si>
  <si>
    <t>023-61665551</t>
    <phoneticPr fontId="22" type="noConversion"/>
  </si>
  <si>
    <t>退货</t>
    <phoneticPr fontId="22" type="noConversion"/>
  </si>
  <si>
    <t>重庆市嘉迪罗古典工艺家具厂</t>
    <phoneticPr fontId="22" type="noConversion"/>
  </si>
  <si>
    <t>311-1250</t>
    <phoneticPr fontId="22" type="noConversion"/>
  </si>
  <si>
    <t>2002514</t>
    <phoneticPr fontId="22" type="noConversion"/>
  </si>
  <si>
    <t>李崇明</t>
    <phoneticPr fontId="22" type="noConversion"/>
  </si>
  <si>
    <t>15923090477</t>
    <phoneticPr fontId="22" type="noConversion"/>
  </si>
  <si>
    <t>含古镇</t>
    <phoneticPr fontId="22" type="noConversion"/>
  </si>
  <si>
    <t>嘉烨</t>
    <phoneticPr fontId="22" type="noConversion"/>
  </si>
  <si>
    <t>神凸家具厂</t>
    <phoneticPr fontId="22" type="noConversion"/>
  </si>
  <si>
    <t>2002515</t>
    <phoneticPr fontId="22" type="noConversion"/>
  </si>
  <si>
    <t>王伍</t>
    <phoneticPr fontId="22" type="noConversion"/>
  </si>
  <si>
    <t>13290089518</t>
    <phoneticPr fontId="22" type="noConversion"/>
  </si>
  <si>
    <t>巴南</t>
    <phoneticPr fontId="22" type="noConversion"/>
  </si>
  <si>
    <t>重庆嘉烨商贸有限公司</t>
    <phoneticPr fontId="22" type="noConversion"/>
  </si>
  <si>
    <t>朱文平</t>
    <phoneticPr fontId="22" type="noConversion"/>
  </si>
  <si>
    <t>贵阳</t>
    <phoneticPr fontId="22" type="noConversion"/>
  </si>
  <si>
    <t>0000378</t>
    <phoneticPr fontId="22" type="noConversion"/>
  </si>
  <si>
    <t>02962121</t>
    <phoneticPr fontId="36" type="noConversion"/>
  </si>
  <si>
    <t>重庆力宏物流到付</t>
    <phoneticPr fontId="22" type="noConversion"/>
  </si>
  <si>
    <t>林美家具厂</t>
    <phoneticPr fontId="31" type="noConversion"/>
  </si>
  <si>
    <t>顺丰到付</t>
    <phoneticPr fontId="22" type="noConversion"/>
  </si>
  <si>
    <t>陈开树</t>
    <phoneticPr fontId="22" type="noConversion"/>
  </si>
  <si>
    <t>023149159668</t>
    <phoneticPr fontId="22" type="noConversion"/>
  </si>
  <si>
    <t>渝北区广源劳保用品经营部</t>
    <phoneticPr fontId="22" type="noConversion"/>
  </si>
  <si>
    <t>9001A</t>
    <phoneticPr fontId="22" type="noConversion"/>
  </si>
  <si>
    <t>刘军</t>
    <phoneticPr fontId="22" type="noConversion"/>
  </si>
  <si>
    <t>13452102967</t>
    <phoneticPr fontId="22" type="noConversion"/>
  </si>
  <si>
    <t>023143699862</t>
    <phoneticPr fontId="22" type="noConversion"/>
  </si>
  <si>
    <t>月付</t>
    <phoneticPr fontId="22" type="noConversion"/>
  </si>
  <si>
    <t>9002V</t>
    <phoneticPr fontId="22" type="noConversion"/>
  </si>
  <si>
    <t>023149159728</t>
    <phoneticPr fontId="22" type="noConversion"/>
  </si>
  <si>
    <t>垫江县建国家具厂</t>
    <phoneticPr fontId="22" type="noConversion"/>
  </si>
  <si>
    <t>2002517</t>
    <phoneticPr fontId="22" type="noConversion"/>
  </si>
  <si>
    <t>申通快递</t>
    <phoneticPr fontId="22" type="noConversion"/>
  </si>
  <si>
    <t>雷建国</t>
    <phoneticPr fontId="22" type="noConversion"/>
  </si>
  <si>
    <t>15123603496、15223837387</t>
    <phoneticPr fontId="22" type="noConversion"/>
  </si>
  <si>
    <t>垫江城区正大街115号</t>
    <phoneticPr fontId="22" type="noConversion"/>
  </si>
  <si>
    <t>468490602765</t>
    <phoneticPr fontId="22" type="noConversion"/>
  </si>
  <si>
    <t>重庆小兵电热元件有限公司</t>
    <phoneticPr fontId="22" type="noConversion"/>
  </si>
  <si>
    <t>2002527</t>
    <phoneticPr fontId="22" type="noConversion"/>
  </si>
  <si>
    <t>王老师</t>
    <phoneticPr fontId="22" type="noConversion"/>
  </si>
  <si>
    <t>60952452</t>
    <phoneticPr fontId="22" type="noConversion"/>
  </si>
  <si>
    <t>渝州新城第2-6、8、9负2-B039号</t>
    <phoneticPr fontId="22" type="noConversion"/>
  </si>
  <si>
    <t>01418111</t>
    <phoneticPr fontId="22" type="noConversion"/>
  </si>
  <si>
    <t>2002518</t>
    <phoneticPr fontId="22" type="noConversion"/>
  </si>
  <si>
    <t>周如洪</t>
    <phoneticPr fontId="22" type="noConversion"/>
  </si>
  <si>
    <t>13500346050</t>
    <phoneticPr fontId="22" type="noConversion"/>
  </si>
  <si>
    <t>綦江县</t>
    <phoneticPr fontId="22" type="noConversion"/>
  </si>
  <si>
    <t>023149159700</t>
    <phoneticPr fontId="22" type="noConversion"/>
  </si>
  <si>
    <t>教堂鑫欣床垫厂</t>
    <phoneticPr fontId="22" type="noConversion"/>
  </si>
  <si>
    <t>2002519</t>
    <phoneticPr fontId="22" type="noConversion"/>
  </si>
  <si>
    <t>申通到付</t>
    <phoneticPr fontId="22" type="noConversion"/>
  </si>
  <si>
    <t>尹全仿</t>
    <phoneticPr fontId="22" type="noConversion"/>
  </si>
  <si>
    <t>15826320888</t>
    <phoneticPr fontId="22" type="noConversion"/>
  </si>
  <si>
    <t>巫山县巫峡路101号</t>
    <phoneticPr fontId="22" type="noConversion"/>
  </si>
  <si>
    <t>9022A</t>
    <phoneticPr fontId="22" type="noConversion"/>
  </si>
  <si>
    <t>2002528</t>
    <phoneticPr fontId="22" type="noConversion"/>
  </si>
  <si>
    <t>重庆高新物流到付</t>
    <phoneticPr fontId="22" type="noConversion"/>
  </si>
  <si>
    <t>王茜</t>
    <phoneticPr fontId="22" type="noConversion"/>
  </si>
  <si>
    <t>15908398531</t>
    <phoneticPr fontId="22" type="noConversion"/>
  </si>
  <si>
    <t>宜宾</t>
    <phoneticPr fontId="22" type="noConversion"/>
  </si>
  <si>
    <t>0048937</t>
    <phoneticPr fontId="22" type="noConversion"/>
  </si>
  <si>
    <t>綦江县鑫页岩砖厂</t>
    <phoneticPr fontId="22" type="noConversion"/>
  </si>
  <si>
    <t>2002520</t>
    <phoneticPr fontId="22" type="noConversion"/>
  </si>
  <si>
    <t>犹共兴</t>
    <phoneticPr fontId="22" type="noConversion"/>
  </si>
  <si>
    <t>13883956789</t>
    <phoneticPr fontId="22" type="noConversion"/>
  </si>
  <si>
    <t>綦江区打通镇</t>
    <phoneticPr fontId="22" type="noConversion"/>
  </si>
  <si>
    <t>重庆奥伦沙发制造厂</t>
    <phoneticPr fontId="22" type="noConversion"/>
  </si>
  <si>
    <t>2002561</t>
    <phoneticPr fontId="22" type="noConversion"/>
  </si>
  <si>
    <t>李昌胤</t>
    <phoneticPr fontId="22" type="noConversion"/>
  </si>
  <si>
    <t>13320267539</t>
    <phoneticPr fontId="22" type="noConversion"/>
  </si>
  <si>
    <t>巴南区花溪镇建新村十二社</t>
    <phoneticPr fontId="22" type="noConversion"/>
  </si>
  <si>
    <t>2002529</t>
    <phoneticPr fontId="22" type="noConversion"/>
  </si>
  <si>
    <t>3701CN</t>
    <phoneticPr fontId="22" type="noConversion"/>
  </si>
  <si>
    <t>2002530</t>
    <phoneticPr fontId="22" type="noConversion"/>
  </si>
  <si>
    <t>铁轩快运到付</t>
    <phoneticPr fontId="22" type="noConversion"/>
  </si>
  <si>
    <t>龙柳昆</t>
    <phoneticPr fontId="22" type="noConversion"/>
  </si>
  <si>
    <t>15987175322</t>
    <phoneticPr fontId="22" type="noConversion"/>
  </si>
  <si>
    <t>212583</t>
    <phoneticPr fontId="22" type="noConversion"/>
  </si>
  <si>
    <t>00215920</t>
    <phoneticPr fontId="22" type="noConversion"/>
  </si>
  <si>
    <t>023155145740</t>
    <phoneticPr fontId="22" type="noConversion"/>
  </si>
  <si>
    <t>00215921</t>
    <phoneticPr fontId="22" type="noConversion"/>
  </si>
  <si>
    <t>2002531</t>
    <phoneticPr fontId="22" type="noConversion"/>
  </si>
  <si>
    <t>3003K-100</t>
    <phoneticPr fontId="22" type="noConversion"/>
  </si>
  <si>
    <t>468490602766</t>
    <phoneticPr fontId="22" type="noConversion"/>
  </si>
  <si>
    <t>和宏家具厂</t>
    <phoneticPr fontId="22" type="noConversion"/>
  </si>
  <si>
    <t>2002562</t>
    <phoneticPr fontId="22" type="noConversion"/>
  </si>
  <si>
    <t>屈传宏</t>
    <phoneticPr fontId="22" type="noConversion"/>
  </si>
  <si>
    <t>15823137460</t>
    <phoneticPr fontId="22" type="noConversion"/>
  </si>
  <si>
    <t>九龙坡区含古镇净龙工业园区</t>
    <phoneticPr fontId="22" type="noConversion"/>
  </si>
  <si>
    <t>名门安力可家具厂</t>
    <phoneticPr fontId="22" type="noConversion"/>
  </si>
  <si>
    <t>2002563</t>
    <phoneticPr fontId="22" type="noConversion"/>
  </si>
  <si>
    <t>刘建</t>
    <phoneticPr fontId="22" type="noConversion"/>
  </si>
  <si>
    <t>18996681313</t>
    <phoneticPr fontId="22" type="noConversion"/>
  </si>
  <si>
    <t>白市驿净龙三社</t>
    <phoneticPr fontId="22" type="noConversion"/>
  </si>
  <si>
    <t>个人分销商</t>
    <phoneticPr fontId="22" type="noConversion"/>
  </si>
  <si>
    <t>中行对私</t>
    <phoneticPr fontId="22" type="noConversion"/>
  </si>
  <si>
    <t>2002564</t>
    <phoneticPr fontId="22" type="noConversion"/>
  </si>
  <si>
    <t>李洋</t>
    <phoneticPr fontId="22" type="noConversion"/>
  </si>
  <si>
    <t>18623109398</t>
    <phoneticPr fontId="22" type="noConversion"/>
  </si>
  <si>
    <t>永川工商局对面</t>
    <phoneticPr fontId="22" type="noConversion"/>
  </si>
  <si>
    <t>023149165740</t>
    <phoneticPr fontId="22" type="noConversion"/>
  </si>
  <si>
    <t>重庆远新商贸有限责任公司</t>
    <phoneticPr fontId="22" type="noConversion"/>
  </si>
  <si>
    <t>2002532</t>
    <phoneticPr fontId="22" type="noConversion"/>
  </si>
  <si>
    <t>罗瑞</t>
    <phoneticPr fontId="22" type="noConversion"/>
  </si>
  <si>
    <t>15808057121</t>
    <phoneticPr fontId="22" type="noConversion"/>
  </si>
  <si>
    <t>02962117</t>
    <phoneticPr fontId="22" type="noConversion"/>
  </si>
  <si>
    <t>重庆创新劳动防护用品有限公司</t>
    <phoneticPr fontId="22" type="noConversion"/>
  </si>
  <si>
    <t>2002533</t>
    <phoneticPr fontId="22" type="noConversion"/>
  </si>
  <si>
    <t>01418128</t>
    <phoneticPr fontId="22" type="noConversion"/>
  </si>
  <si>
    <t>0006304</t>
    <phoneticPr fontId="22" type="noConversion"/>
  </si>
  <si>
    <t>龙溪镇劳保</t>
    <phoneticPr fontId="22" type="noConversion"/>
  </si>
  <si>
    <t>2002534</t>
    <phoneticPr fontId="22" type="noConversion"/>
  </si>
  <si>
    <t xml:space="preserve">自提 </t>
    <phoneticPr fontId="22" type="noConversion"/>
  </si>
  <si>
    <t>15023078788</t>
    <phoneticPr fontId="22" type="noConversion"/>
  </si>
  <si>
    <t>石坪桥西郊医院对面</t>
    <phoneticPr fontId="22" type="noConversion"/>
  </si>
  <si>
    <t>2002535</t>
    <phoneticPr fontId="22" type="noConversion"/>
  </si>
  <si>
    <t>0006282</t>
    <phoneticPr fontId="22" type="noConversion"/>
  </si>
  <si>
    <t>2002536</t>
    <phoneticPr fontId="22" type="noConversion"/>
  </si>
  <si>
    <t>五金机电交易场</t>
    <phoneticPr fontId="22" type="noConversion"/>
  </si>
  <si>
    <t>重庆洲欣建材有限公司</t>
    <phoneticPr fontId="22" type="noConversion"/>
  </si>
  <si>
    <t>2002566</t>
    <phoneticPr fontId="22" type="noConversion"/>
  </si>
  <si>
    <t>柯先生</t>
    <phoneticPr fontId="22" type="noConversion"/>
  </si>
  <si>
    <t>13638302557</t>
    <phoneticPr fontId="22" type="noConversion"/>
  </si>
  <si>
    <t>重庆市巴南区南泉自由村七社</t>
    <phoneticPr fontId="22" type="noConversion"/>
  </si>
  <si>
    <t>00269117</t>
    <phoneticPr fontId="22" type="noConversion"/>
  </si>
  <si>
    <t>普票</t>
    <phoneticPr fontId="22" type="noConversion"/>
  </si>
  <si>
    <t>340-4004</t>
    <phoneticPr fontId="22" type="noConversion"/>
  </si>
  <si>
    <t>世纪兴货运到付</t>
    <phoneticPr fontId="22" type="noConversion"/>
  </si>
  <si>
    <t>0044267</t>
    <phoneticPr fontId="22" type="noConversion"/>
  </si>
  <si>
    <t>02962123-02962124</t>
    <phoneticPr fontId="22" type="noConversion"/>
  </si>
  <si>
    <t>11669.6-4568.64</t>
    <phoneticPr fontId="22" type="noConversion"/>
  </si>
  <si>
    <t>凯高（重庆）有限公司</t>
    <phoneticPr fontId="22" type="noConversion"/>
  </si>
  <si>
    <t>2002567</t>
    <phoneticPr fontId="22" type="noConversion"/>
  </si>
  <si>
    <t>邹祖伟</t>
    <phoneticPr fontId="22" type="noConversion"/>
  </si>
  <si>
    <t>13638223998</t>
    <phoneticPr fontId="22" type="noConversion"/>
  </si>
  <si>
    <t>重庆涪陵区李渡工业园区标准化厂房D、E栋</t>
    <phoneticPr fontId="22" type="noConversion"/>
  </si>
  <si>
    <t>023149165795</t>
    <phoneticPr fontId="22" type="noConversion"/>
  </si>
  <si>
    <t>00215916</t>
    <phoneticPr fontId="22" type="noConversion"/>
  </si>
  <si>
    <t>来福门窗厂</t>
    <phoneticPr fontId="22" type="noConversion"/>
  </si>
  <si>
    <t>2002568</t>
    <phoneticPr fontId="22" type="noConversion"/>
  </si>
  <si>
    <t>周建珍</t>
    <phoneticPr fontId="22" type="noConversion"/>
  </si>
  <si>
    <t>13436046338</t>
    <phoneticPr fontId="22" type="noConversion"/>
  </si>
  <si>
    <t>沙坪坝区歌乐山镇</t>
    <phoneticPr fontId="22" type="noConversion"/>
  </si>
  <si>
    <t>2002537</t>
    <phoneticPr fontId="22" type="noConversion"/>
  </si>
  <si>
    <t>重庆力宏物流到付李平</t>
    <phoneticPr fontId="22" type="noConversion"/>
  </si>
  <si>
    <t>李平</t>
    <phoneticPr fontId="22" type="noConversion"/>
  </si>
  <si>
    <t>13985105894</t>
    <phoneticPr fontId="22" type="noConversion"/>
  </si>
  <si>
    <t>0015899</t>
    <phoneticPr fontId="22" type="noConversion"/>
  </si>
  <si>
    <t>02962119</t>
    <phoneticPr fontId="22" type="noConversion"/>
  </si>
  <si>
    <t>贵州久煜物资有限公司</t>
    <phoneticPr fontId="22" type="noConversion"/>
  </si>
  <si>
    <t>9041A</t>
    <phoneticPr fontId="22" type="noConversion"/>
  </si>
  <si>
    <t>黎宏林</t>
    <phoneticPr fontId="22" type="noConversion"/>
  </si>
  <si>
    <t>13885175205</t>
    <phoneticPr fontId="22" type="noConversion"/>
  </si>
  <si>
    <t>贵阳小河区航天园</t>
    <phoneticPr fontId="22" type="noConversion"/>
  </si>
  <si>
    <t>023149165786</t>
    <phoneticPr fontId="22" type="noConversion"/>
  </si>
  <si>
    <t>李波</t>
    <phoneticPr fontId="22" type="noConversion"/>
  </si>
  <si>
    <t>13888711638</t>
    <phoneticPr fontId="22" type="noConversion"/>
  </si>
  <si>
    <t>昆明市环城南路668号云纺国际商厦4F-65</t>
    <phoneticPr fontId="22" type="noConversion"/>
  </si>
  <si>
    <t>81130649</t>
    <phoneticPr fontId="22" type="noConversion"/>
  </si>
  <si>
    <t>00215923</t>
    <phoneticPr fontId="22" type="noConversion"/>
  </si>
  <si>
    <t>截止8.3</t>
    <phoneticPr fontId="22" type="noConversion"/>
  </si>
  <si>
    <t>宝山木业</t>
    <phoneticPr fontId="22" type="noConversion"/>
  </si>
  <si>
    <t>2002569</t>
    <phoneticPr fontId="22" type="noConversion"/>
  </si>
  <si>
    <t>林先生</t>
    <phoneticPr fontId="22" type="noConversion"/>
  </si>
  <si>
    <t>13512345636</t>
    <phoneticPr fontId="22" type="noConversion"/>
  </si>
  <si>
    <t>9102CS</t>
    <phoneticPr fontId="22" type="noConversion"/>
  </si>
  <si>
    <t>重庆三恩科技发展有限公司</t>
    <phoneticPr fontId="22" type="noConversion"/>
  </si>
  <si>
    <t>2002538</t>
    <phoneticPr fontId="22" type="noConversion"/>
  </si>
  <si>
    <t>邓一帆</t>
    <phoneticPr fontId="22" type="noConversion"/>
  </si>
  <si>
    <t>13883314110</t>
    <phoneticPr fontId="22" type="noConversion"/>
  </si>
  <si>
    <t>00215935</t>
    <phoneticPr fontId="22" type="noConversion"/>
  </si>
  <si>
    <t>重庆跨越卓远机械制造有限公司</t>
    <phoneticPr fontId="22" type="noConversion"/>
  </si>
  <si>
    <t>2002570</t>
    <phoneticPr fontId="22" type="noConversion"/>
  </si>
  <si>
    <t>重庆高新物流现付</t>
    <phoneticPr fontId="22" type="noConversion"/>
  </si>
  <si>
    <t>张翔</t>
    <phoneticPr fontId="22" type="noConversion"/>
  </si>
  <si>
    <t>0004977</t>
    <phoneticPr fontId="22" type="noConversion"/>
  </si>
  <si>
    <t>01418112</t>
    <phoneticPr fontId="22" type="noConversion"/>
  </si>
  <si>
    <t>023159126372</t>
    <phoneticPr fontId="22" type="noConversion"/>
  </si>
  <si>
    <t>01418113</t>
    <phoneticPr fontId="22" type="noConversion"/>
  </si>
  <si>
    <t>月结</t>
    <phoneticPr fontId="22" type="noConversion"/>
  </si>
  <si>
    <t>四川川环科技股份有限公司</t>
    <phoneticPr fontId="22" type="noConversion"/>
  </si>
  <si>
    <t>2002571</t>
    <phoneticPr fontId="22" type="noConversion"/>
  </si>
  <si>
    <t>刘小姐</t>
    <phoneticPr fontId="22" type="noConversion"/>
  </si>
  <si>
    <t>02962120</t>
    <phoneticPr fontId="22" type="noConversion"/>
  </si>
  <si>
    <t>023149165731</t>
    <phoneticPr fontId="22" type="noConversion"/>
  </si>
  <si>
    <t>02962124</t>
    <phoneticPr fontId="22" type="noConversion"/>
  </si>
  <si>
    <t>2002572</t>
    <phoneticPr fontId="22" type="noConversion"/>
  </si>
  <si>
    <t>铁轩快运</t>
    <phoneticPr fontId="22" type="noConversion"/>
  </si>
  <si>
    <t>210321</t>
    <phoneticPr fontId="22" type="noConversion"/>
  </si>
  <si>
    <t>00215922</t>
    <phoneticPr fontId="22" type="noConversion"/>
  </si>
  <si>
    <t>含运费30元</t>
    <phoneticPr fontId="22" type="noConversion"/>
  </si>
  <si>
    <t>昆明贤哲经贸有限公司</t>
    <phoneticPr fontId="22" type="noConversion"/>
  </si>
  <si>
    <t>2002573</t>
    <phoneticPr fontId="22" type="noConversion"/>
  </si>
  <si>
    <t>杨品琴</t>
    <phoneticPr fontId="22" type="noConversion"/>
  </si>
  <si>
    <t>13888391766</t>
    <phoneticPr fontId="22" type="noConversion"/>
  </si>
  <si>
    <t>昆明市金光大道</t>
    <phoneticPr fontId="22" type="noConversion"/>
  </si>
  <si>
    <t>83619263</t>
    <phoneticPr fontId="22" type="noConversion"/>
  </si>
  <si>
    <t>00215914-00215912</t>
    <phoneticPr fontId="22" type="noConversion"/>
  </si>
  <si>
    <t>7245-11655</t>
    <phoneticPr fontId="22" type="noConversion"/>
  </si>
  <si>
    <t>2002574</t>
    <phoneticPr fontId="22" type="noConversion"/>
  </si>
  <si>
    <t>重庆永德运输到付</t>
    <phoneticPr fontId="22" type="noConversion"/>
  </si>
  <si>
    <t>开县</t>
    <phoneticPr fontId="22" type="noConversion"/>
  </si>
  <si>
    <t>105010376</t>
    <phoneticPr fontId="22" type="noConversion"/>
  </si>
  <si>
    <t>开县庆林木业</t>
    <phoneticPr fontId="22" type="noConversion"/>
  </si>
  <si>
    <t>2002574</t>
    <phoneticPr fontId="22" type="noConversion"/>
  </si>
  <si>
    <t>重庆永德运输到付</t>
    <phoneticPr fontId="22" type="noConversion"/>
  </si>
  <si>
    <t>个人</t>
    <phoneticPr fontId="22" type="noConversion"/>
  </si>
  <si>
    <t>2002540</t>
    <phoneticPr fontId="22" type="noConversion"/>
  </si>
  <si>
    <t>李宣成</t>
    <phoneticPr fontId="22" type="noConversion"/>
  </si>
  <si>
    <t>13068376422</t>
    <phoneticPr fontId="22" type="noConversion"/>
  </si>
  <si>
    <t>奉节</t>
    <phoneticPr fontId="22" type="noConversion"/>
  </si>
  <si>
    <t>0001288</t>
    <phoneticPr fontId="22" type="noConversion"/>
  </si>
  <si>
    <t>重庆飞达货运到付</t>
    <phoneticPr fontId="22" type="noConversion"/>
  </si>
  <si>
    <t>重庆市城口县来凤铁合金有限公司</t>
    <phoneticPr fontId="22" type="noConversion"/>
  </si>
  <si>
    <t>2002575</t>
    <phoneticPr fontId="22" type="noConversion"/>
  </si>
  <si>
    <t>重庆市滨海物流到付</t>
    <phoneticPr fontId="22" type="noConversion"/>
  </si>
  <si>
    <t>卫九霖</t>
    <phoneticPr fontId="22" type="noConversion"/>
  </si>
  <si>
    <t>13709449162</t>
    <phoneticPr fontId="22" type="noConversion"/>
  </si>
  <si>
    <t>重庆城口县高燕乡</t>
    <phoneticPr fontId="22" type="noConversion"/>
  </si>
  <si>
    <t>0021193</t>
    <phoneticPr fontId="22" type="noConversion"/>
  </si>
  <si>
    <t>02962127</t>
    <phoneticPr fontId="22" type="noConversion"/>
  </si>
  <si>
    <t>重庆冠淦商贸有限公司</t>
    <phoneticPr fontId="22" type="noConversion"/>
  </si>
  <si>
    <t>2002577</t>
    <phoneticPr fontId="22" type="noConversion"/>
  </si>
  <si>
    <t>周晓娥</t>
    <phoneticPr fontId="22" type="noConversion"/>
  </si>
  <si>
    <t>18996330888</t>
    <phoneticPr fontId="22" type="noConversion"/>
  </si>
  <si>
    <t>九龙坡区走马镇</t>
    <phoneticPr fontId="22" type="noConversion"/>
  </si>
  <si>
    <t>2002542</t>
    <phoneticPr fontId="22" type="noConversion"/>
  </si>
  <si>
    <t>德邦物流</t>
    <phoneticPr fontId="22" type="noConversion"/>
  </si>
  <si>
    <t>陈荣表</t>
    <phoneticPr fontId="22" type="noConversion"/>
  </si>
  <si>
    <t>0812-2511885</t>
    <phoneticPr fontId="22" type="noConversion"/>
  </si>
  <si>
    <t>攀枝花大道南段265号</t>
    <phoneticPr fontId="22" type="noConversion"/>
  </si>
  <si>
    <t>83619265</t>
    <phoneticPr fontId="22" type="noConversion"/>
  </si>
  <si>
    <t>02962130</t>
    <phoneticPr fontId="22" type="noConversion"/>
  </si>
  <si>
    <t>02962132-02962131</t>
    <phoneticPr fontId="22" type="noConversion"/>
  </si>
  <si>
    <t>11568.55-11690.95</t>
    <phoneticPr fontId="22" type="noConversion"/>
  </si>
  <si>
    <t>6003CN</t>
    <phoneticPr fontId="22" type="noConversion"/>
  </si>
  <si>
    <t>02962132</t>
    <phoneticPr fontId="22" type="noConversion"/>
  </si>
  <si>
    <t>02962135-02962134-02962133</t>
    <phoneticPr fontId="22" type="noConversion"/>
  </si>
  <si>
    <t>2530.74-11386.8-11386.8</t>
    <phoneticPr fontId="22" type="noConversion"/>
  </si>
  <si>
    <t>2002542</t>
    <phoneticPr fontId="22" type="noConversion"/>
  </si>
  <si>
    <t>德邦物流</t>
    <phoneticPr fontId="22" type="noConversion"/>
  </si>
  <si>
    <t>陈荣表</t>
    <phoneticPr fontId="22" type="noConversion"/>
  </si>
  <si>
    <t>0812-2511885</t>
    <phoneticPr fontId="22" type="noConversion"/>
  </si>
  <si>
    <t>攀枝花大道南段265号</t>
    <phoneticPr fontId="22" type="noConversion"/>
  </si>
  <si>
    <t>83619265</t>
    <phoneticPr fontId="22" type="noConversion"/>
  </si>
  <si>
    <t>02962130</t>
    <phoneticPr fontId="22" type="noConversion"/>
  </si>
  <si>
    <t>2002541</t>
    <phoneticPr fontId="22" type="noConversion"/>
  </si>
  <si>
    <t>3744K</t>
    <phoneticPr fontId="22" type="noConversion"/>
  </si>
  <si>
    <t>重庆横河川仪有限公司</t>
    <phoneticPr fontId="37" type="noConversion"/>
  </si>
  <si>
    <t xml:space="preserve">中行对私 </t>
    <phoneticPr fontId="22" type="noConversion"/>
  </si>
  <si>
    <t>2002578</t>
    <phoneticPr fontId="22" type="noConversion"/>
  </si>
  <si>
    <t>蒋清银</t>
    <phoneticPr fontId="22" type="noConversion"/>
  </si>
  <si>
    <t>13308351550</t>
    <phoneticPr fontId="22" type="noConversion"/>
  </si>
  <si>
    <t>重庆市北部新区黄山大道中段61号</t>
    <phoneticPr fontId="22" type="noConversion"/>
  </si>
  <si>
    <t>023155081229</t>
    <phoneticPr fontId="22" type="noConversion"/>
  </si>
  <si>
    <t>1711AF</t>
    <phoneticPr fontId="22" type="noConversion"/>
  </si>
  <si>
    <t>2002579</t>
    <phoneticPr fontId="22" type="noConversion"/>
  </si>
  <si>
    <t>02962128</t>
    <phoneticPr fontId="22" type="noConversion"/>
  </si>
  <si>
    <t>重庆思贝肯节能技术开发有限公司</t>
    <phoneticPr fontId="38" type="noConversion"/>
  </si>
  <si>
    <t>2002580</t>
    <phoneticPr fontId="22" type="noConversion"/>
  </si>
  <si>
    <t>何小姐</t>
    <phoneticPr fontId="22" type="noConversion"/>
  </si>
  <si>
    <t>13617678224</t>
    <phoneticPr fontId="22" type="noConversion"/>
  </si>
  <si>
    <t>巴福镇</t>
    <phoneticPr fontId="22" type="noConversion"/>
  </si>
  <si>
    <t>02962125</t>
    <phoneticPr fontId="22" type="noConversion"/>
  </si>
  <si>
    <t>318-1005</t>
    <phoneticPr fontId="22" type="noConversion"/>
  </si>
  <si>
    <t>0043550</t>
    <phoneticPr fontId="22" type="noConversion"/>
  </si>
  <si>
    <t>00215931</t>
    <phoneticPr fontId="22" type="noConversion"/>
  </si>
  <si>
    <t>00215925</t>
    <phoneticPr fontId="22" type="noConversion"/>
  </si>
  <si>
    <t>2002543</t>
    <phoneticPr fontId="22" type="noConversion"/>
  </si>
  <si>
    <t>自贡市永顺化工建材有限公司</t>
    <phoneticPr fontId="22" type="noConversion"/>
  </si>
  <si>
    <t>2002544</t>
    <phoneticPr fontId="22" type="noConversion"/>
  </si>
  <si>
    <t>杨界红</t>
    <phoneticPr fontId="22" type="noConversion"/>
  </si>
  <si>
    <t>自贡</t>
    <phoneticPr fontId="22" type="noConversion"/>
  </si>
  <si>
    <t>0072754</t>
    <phoneticPr fontId="22" type="noConversion"/>
  </si>
  <si>
    <t>01758453</t>
    <phoneticPr fontId="22" type="noConversion"/>
  </si>
  <si>
    <t>2002545</t>
    <phoneticPr fontId="22" type="noConversion"/>
  </si>
  <si>
    <t>丰老师</t>
    <phoneticPr fontId="22" type="noConversion"/>
  </si>
  <si>
    <t>重庆德克工具五金有限公司</t>
    <phoneticPr fontId="22" type="noConversion"/>
  </si>
  <si>
    <t>Ansell</t>
    <phoneticPr fontId="22" type="noConversion"/>
  </si>
  <si>
    <t>23-700</t>
    <phoneticPr fontId="22" type="noConversion"/>
  </si>
  <si>
    <t>双</t>
    <phoneticPr fontId="22" type="noConversion"/>
  </si>
  <si>
    <t>2002546</t>
    <phoneticPr fontId="22" type="noConversion"/>
  </si>
  <si>
    <t>02962126</t>
    <phoneticPr fontId="22" type="noConversion"/>
  </si>
  <si>
    <t>渠道</t>
    <phoneticPr fontId="22" type="noConversion"/>
  </si>
  <si>
    <t>3M</t>
    <phoneticPr fontId="22" type="noConversion"/>
  </si>
  <si>
    <t>片</t>
    <phoneticPr fontId="22" type="noConversion"/>
  </si>
  <si>
    <t>中行对公</t>
    <phoneticPr fontId="22" type="noConversion"/>
  </si>
  <si>
    <t>2002548</t>
    <phoneticPr fontId="22" type="noConversion"/>
  </si>
  <si>
    <t>申通快递</t>
    <phoneticPr fontId="22" type="noConversion"/>
  </si>
  <si>
    <t>陈荣表</t>
    <phoneticPr fontId="22" type="noConversion"/>
  </si>
  <si>
    <t>0812-2511885</t>
    <phoneticPr fontId="22" type="noConversion"/>
  </si>
  <si>
    <t>攀枝花大道南段265号</t>
    <phoneticPr fontId="22" type="noConversion"/>
  </si>
  <si>
    <t>568105803535</t>
    <phoneticPr fontId="22" type="noConversion"/>
  </si>
  <si>
    <t>02962132</t>
    <phoneticPr fontId="22" type="noConversion"/>
  </si>
  <si>
    <t>开县庆林木业</t>
    <phoneticPr fontId="22" type="noConversion"/>
  </si>
  <si>
    <t>个</t>
    <phoneticPr fontId="22" type="noConversion"/>
  </si>
  <si>
    <t>农行对私</t>
    <phoneticPr fontId="22" type="noConversion"/>
  </si>
  <si>
    <t>5016002</t>
    <phoneticPr fontId="22" type="noConversion"/>
  </si>
  <si>
    <t>0007173</t>
    <phoneticPr fontId="22" type="noConversion"/>
  </si>
  <si>
    <t>不开票</t>
    <phoneticPr fontId="22" type="noConversion"/>
  </si>
  <si>
    <t>开县庆林木业</t>
    <phoneticPr fontId="22" type="noConversion"/>
  </si>
  <si>
    <t>3M</t>
    <phoneticPr fontId="22" type="noConversion"/>
  </si>
  <si>
    <t>5016002</t>
    <phoneticPr fontId="22" type="noConversion"/>
  </si>
  <si>
    <t>3301CN</t>
    <phoneticPr fontId="22" type="noConversion"/>
  </si>
  <si>
    <t>个</t>
    <phoneticPr fontId="22" type="noConversion"/>
  </si>
  <si>
    <t>农行对私</t>
    <phoneticPr fontId="22" type="noConversion"/>
  </si>
  <si>
    <t>5016002</t>
    <phoneticPr fontId="22" type="noConversion"/>
  </si>
  <si>
    <t>重庆高新物流到付</t>
    <phoneticPr fontId="22" type="noConversion"/>
  </si>
  <si>
    <t>重庆市法拉加斯鞋业有限责任公司</t>
    <phoneticPr fontId="22" type="noConversion"/>
  </si>
  <si>
    <t>9002A</t>
    <phoneticPr fontId="22" type="noConversion"/>
  </si>
  <si>
    <t>中行对公</t>
    <phoneticPr fontId="22" type="noConversion"/>
  </si>
  <si>
    <t>5016003</t>
    <phoneticPr fontId="22" type="noConversion"/>
  </si>
  <si>
    <t>钟成龙</t>
    <phoneticPr fontId="22" type="noConversion"/>
  </si>
  <si>
    <t>13637863793</t>
    <phoneticPr fontId="22" type="noConversion"/>
  </si>
  <si>
    <t>0023288</t>
    <phoneticPr fontId="22" type="noConversion"/>
  </si>
  <si>
    <t>00215911</t>
    <phoneticPr fontId="22" type="noConversion"/>
  </si>
  <si>
    <t>自贡市永顺化工建材有限公司</t>
    <phoneticPr fontId="22" type="noConversion"/>
  </si>
  <si>
    <t>2002547</t>
    <phoneticPr fontId="22" type="noConversion"/>
  </si>
  <si>
    <t>世纪兴货运到付</t>
    <phoneticPr fontId="22" type="noConversion"/>
  </si>
  <si>
    <t>杨界红</t>
    <phoneticPr fontId="22" type="noConversion"/>
  </si>
  <si>
    <t>15908398531</t>
    <phoneticPr fontId="22" type="noConversion"/>
  </si>
  <si>
    <t>自贡</t>
    <phoneticPr fontId="22" type="noConversion"/>
  </si>
  <si>
    <t>0073024</t>
    <phoneticPr fontId="22" type="noConversion"/>
  </si>
  <si>
    <t>01758453</t>
    <phoneticPr fontId="22" type="noConversion"/>
  </si>
  <si>
    <t>渠道</t>
    <phoneticPr fontId="22" type="noConversion"/>
  </si>
  <si>
    <t>重庆市利通空调净化设备有限公司</t>
    <phoneticPr fontId="22" type="noConversion"/>
  </si>
  <si>
    <t>3701CN</t>
    <phoneticPr fontId="22" type="noConversion"/>
  </si>
  <si>
    <t>现金</t>
    <phoneticPr fontId="22" type="noConversion"/>
  </si>
  <si>
    <t>5016005</t>
    <phoneticPr fontId="22" type="noConversion"/>
  </si>
  <si>
    <t>自提</t>
    <phoneticPr fontId="22" type="noConversion"/>
  </si>
  <si>
    <t>张清平</t>
    <phoneticPr fontId="22" type="noConversion"/>
  </si>
  <si>
    <t>13320340436</t>
    <phoneticPr fontId="22" type="noConversion"/>
  </si>
  <si>
    <t>重庆市南岸区南坪</t>
    <phoneticPr fontId="22" type="noConversion"/>
  </si>
  <si>
    <t>颗粒物呼吸防护套装经济型</t>
    <phoneticPr fontId="22" type="noConversion"/>
  </si>
  <si>
    <t>320D</t>
    <phoneticPr fontId="22" type="noConversion"/>
  </si>
  <si>
    <t>套</t>
    <phoneticPr fontId="22" type="noConversion"/>
  </si>
  <si>
    <t>昆明海世定泰商贸有限公司</t>
    <phoneticPr fontId="22" type="noConversion"/>
  </si>
  <si>
    <t>双面胶</t>
    <phoneticPr fontId="22" type="noConversion"/>
  </si>
  <si>
    <t>平方米</t>
    <phoneticPr fontId="22" type="noConversion"/>
  </si>
  <si>
    <t>顺丰快递</t>
    <phoneticPr fontId="22" type="noConversion"/>
  </si>
  <si>
    <t>龙柳昆</t>
    <phoneticPr fontId="22" type="noConversion"/>
  </si>
  <si>
    <t>15987175322</t>
    <phoneticPr fontId="22" type="noConversion"/>
  </si>
  <si>
    <t>023155078015</t>
    <phoneticPr fontId="22" type="noConversion"/>
  </si>
  <si>
    <t>00215921</t>
    <phoneticPr fontId="22" type="noConversion"/>
  </si>
  <si>
    <t>023155145740</t>
    <phoneticPr fontId="22" type="noConversion"/>
  </si>
  <si>
    <t>重庆诚济医疗器械有限公司</t>
    <phoneticPr fontId="22" type="noConversion"/>
  </si>
  <si>
    <t>1621AF</t>
    <phoneticPr fontId="22" type="noConversion"/>
  </si>
  <si>
    <t>付</t>
    <phoneticPr fontId="22" type="noConversion"/>
  </si>
  <si>
    <t>/</t>
    <phoneticPr fontId="22" type="noConversion"/>
  </si>
  <si>
    <t>023155078006</t>
    <phoneticPr fontId="22" type="noConversion"/>
  </si>
  <si>
    <t>01418124</t>
    <phoneticPr fontId="22" type="noConversion"/>
  </si>
  <si>
    <t>渝北区广源劳保用品经营部</t>
    <phoneticPr fontId="22" type="noConversion"/>
  </si>
  <si>
    <t>3N11CN</t>
    <phoneticPr fontId="22" type="noConversion"/>
  </si>
  <si>
    <t>片</t>
    <phoneticPr fontId="22" type="noConversion"/>
  </si>
  <si>
    <t>农行对私</t>
    <phoneticPr fontId="22" type="noConversion"/>
  </si>
  <si>
    <t>0006282</t>
    <phoneticPr fontId="22" type="noConversion"/>
  </si>
  <si>
    <t>重庆顺昌建辉运输到付</t>
    <phoneticPr fontId="22" type="noConversion"/>
  </si>
  <si>
    <t>刘军</t>
    <phoneticPr fontId="22" type="noConversion"/>
  </si>
  <si>
    <t>13452102967</t>
    <phoneticPr fontId="22" type="noConversion"/>
  </si>
  <si>
    <t>0027903</t>
    <phoneticPr fontId="22" type="noConversion"/>
  </si>
  <si>
    <t>不开票</t>
    <phoneticPr fontId="22" type="noConversion"/>
  </si>
  <si>
    <t>月付</t>
    <phoneticPr fontId="22" type="noConversion"/>
  </si>
  <si>
    <t>昆明贤哲经贸有限公司</t>
    <phoneticPr fontId="22" type="noConversion"/>
  </si>
  <si>
    <t>中行对公</t>
    <phoneticPr fontId="22" type="noConversion"/>
  </si>
  <si>
    <t>2002549</t>
    <phoneticPr fontId="22" type="noConversion"/>
  </si>
  <si>
    <t>杨品琴</t>
    <phoneticPr fontId="22" type="noConversion"/>
  </si>
  <si>
    <t>13888391766</t>
    <phoneticPr fontId="22" type="noConversion"/>
  </si>
  <si>
    <t>昆明市金光大道</t>
    <phoneticPr fontId="22" type="noConversion"/>
  </si>
  <si>
    <t>81088572</t>
    <phoneticPr fontId="22" type="noConversion"/>
  </si>
  <si>
    <t>01418109</t>
    <phoneticPr fontId="22" type="noConversion"/>
  </si>
  <si>
    <t>023159126336</t>
    <phoneticPr fontId="22" type="noConversion"/>
  </si>
  <si>
    <t>6002CN</t>
    <phoneticPr fontId="22" type="noConversion"/>
  </si>
  <si>
    <t>德邦物流到付</t>
    <phoneticPr fontId="22" type="noConversion"/>
  </si>
  <si>
    <t>81088573</t>
  </si>
  <si>
    <t>01418107</t>
    <phoneticPr fontId="22" type="noConversion"/>
  </si>
  <si>
    <t>5N11</t>
    <phoneticPr fontId="22" type="noConversion"/>
  </si>
  <si>
    <t>81088574</t>
  </si>
  <si>
    <t>01418110</t>
    <phoneticPr fontId="22" type="noConversion"/>
  </si>
  <si>
    <t>昆明海世定泰商贸有限公司</t>
    <phoneticPr fontId="22" type="noConversion"/>
  </si>
  <si>
    <t>个</t>
    <phoneticPr fontId="22" type="noConversion"/>
  </si>
  <si>
    <t>龙柳昆</t>
    <phoneticPr fontId="22" type="noConversion"/>
  </si>
  <si>
    <t>15987175322</t>
    <phoneticPr fontId="22" type="noConversion"/>
  </si>
  <si>
    <t>9004702</t>
    <phoneticPr fontId="22" type="noConversion"/>
  </si>
  <si>
    <t>00215922</t>
    <phoneticPr fontId="22" type="noConversion"/>
  </si>
  <si>
    <t>023155145740</t>
    <phoneticPr fontId="22" type="noConversion"/>
  </si>
  <si>
    <t>铁轩快运到付</t>
    <phoneticPr fontId="22" type="noConversion"/>
  </si>
  <si>
    <t>00215921</t>
    <phoneticPr fontId="22" type="noConversion"/>
  </si>
  <si>
    <t>9004702</t>
    <phoneticPr fontId="22" type="noConversion"/>
  </si>
  <si>
    <t>FT-30</t>
    <phoneticPr fontId="22" type="noConversion"/>
  </si>
  <si>
    <t>18696791349</t>
    <phoneticPr fontId="22" type="noConversion"/>
  </si>
  <si>
    <t>重庆川东化工（集团）有限公司</t>
    <phoneticPr fontId="22" type="noConversion"/>
  </si>
  <si>
    <t>李老师</t>
    <phoneticPr fontId="22" type="noConversion"/>
  </si>
  <si>
    <t>重庆南岸弹子石新街70号</t>
    <phoneticPr fontId="22" type="noConversion"/>
  </si>
  <si>
    <t>00215915</t>
    <phoneticPr fontId="22" type="noConversion"/>
  </si>
  <si>
    <t>2002551</t>
    <phoneticPr fontId="22" type="noConversion"/>
  </si>
  <si>
    <t>顺丰快递到付</t>
    <phoneticPr fontId="22" type="noConversion"/>
  </si>
  <si>
    <t>023155077967</t>
    <phoneticPr fontId="22" type="noConversion"/>
  </si>
  <si>
    <t>重庆犇牛皮业有限公司</t>
    <phoneticPr fontId="22" type="noConversion"/>
  </si>
  <si>
    <t>5016007</t>
    <phoneticPr fontId="22" type="noConversion"/>
  </si>
  <si>
    <t>王莱娟</t>
    <phoneticPr fontId="22" type="noConversion"/>
  </si>
  <si>
    <t>13983279030</t>
    <phoneticPr fontId="22" type="noConversion"/>
  </si>
  <si>
    <t>江北区港宁路9号港鸿工业园2幢5楼</t>
    <phoneticPr fontId="22" type="noConversion"/>
  </si>
  <si>
    <t>个人经销商</t>
    <phoneticPr fontId="22" type="noConversion"/>
  </si>
  <si>
    <t>天津生产</t>
    <phoneticPr fontId="22" type="noConversion"/>
  </si>
  <si>
    <t>42码</t>
    <phoneticPr fontId="22" type="noConversion"/>
  </si>
  <si>
    <t>重庆市勘测院</t>
    <phoneticPr fontId="22" type="noConversion"/>
  </si>
  <si>
    <t>2002553</t>
    <phoneticPr fontId="22" type="noConversion"/>
  </si>
  <si>
    <t>薛松元</t>
    <phoneticPr fontId="22" type="noConversion"/>
  </si>
  <si>
    <t>重庆市江北区电测村231号</t>
    <phoneticPr fontId="22" type="noConversion"/>
  </si>
  <si>
    <t>023155077949</t>
    <phoneticPr fontId="22" type="noConversion"/>
  </si>
  <si>
    <t>00269120</t>
    <phoneticPr fontId="22" type="noConversion"/>
  </si>
  <si>
    <t>0042753</t>
    <phoneticPr fontId="22" type="noConversion"/>
  </si>
  <si>
    <t>00215925/26/27/28/29/30/31</t>
    <phoneticPr fontId="22" type="noConversion"/>
  </si>
  <si>
    <t>11620/11698.72/11698.72/11698.72/11698.72//11698.72/4132.30</t>
    <phoneticPr fontId="22" type="noConversion"/>
  </si>
  <si>
    <t>9042A</t>
    <phoneticPr fontId="22" type="noConversion"/>
  </si>
  <si>
    <t>攀枝花市百川机电有限责任公司</t>
    <phoneticPr fontId="22" type="noConversion"/>
  </si>
  <si>
    <t>023155078458</t>
    <phoneticPr fontId="22" type="noConversion"/>
  </si>
  <si>
    <t>2002554</t>
    <phoneticPr fontId="22" type="noConversion"/>
  </si>
  <si>
    <t>5016010</t>
    <phoneticPr fontId="22" type="noConversion"/>
  </si>
  <si>
    <t>重庆秋实货运到付、圆通快递</t>
    <phoneticPr fontId="22" type="noConversion"/>
  </si>
  <si>
    <t>伍俊</t>
    <phoneticPr fontId="22" type="noConversion"/>
  </si>
  <si>
    <t>13996690219</t>
    <phoneticPr fontId="22" type="noConversion"/>
  </si>
  <si>
    <t>重庆市云阳县望江大道821号3单元502</t>
    <phoneticPr fontId="22" type="noConversion"/>
  </si>
  <si>
    <t>0010175-7051195930</t>
    <phoneticPr fontId="22" type="noConversion"/>
  </si>
  <si>
    <t>5016008</t>
    <phoneticPr fontId="22" type="noConversion"/>
  </si>
  <si>
    <t>九羚物流到付</t>
    <phoneticPr fontId="22" type="noConversion"/>
  </si>
  <si>
    <t>0020848</t>
    <phoneticPr fontId="22" type="noConversion"/>
  </si>
  <si>
    <t>8210V</t>
    <phoneticPr fontId="22" type="noConversion"/>
  </si>
  <si>
    <t>重庆南洋劳保用品有限公司</t>
    <phoneticPr fontId="22" type="noConversion"/>
  </si>
  <si>
    <t>5016009</t>
    <phoneticPr fontId="22" type="noConversion"/>
  </si>
  <si>
    <t>023-68178153</t>
    <phoneticPr fontId="22" type="noConversion"/>
  </si>
  <si>
    <t>不开票</t>
    <phoneticPr fontId="22" type="noConversion"/>
  </si>
  <si>
    <t>嘉烨</t>
    <phoneticPr fontId="22" type="noConversion"/>
  </si>
  <si>
    <t>渠道</t>
    <phoneticPr fontId="22" type="noConversion"/>
  </si>
  <si>
    <t>重庆辉谐家具</t>
    <phoneticPr fontId="22" type="noConversion"/>
  </si>
  <si>
    <t>3M</t>
    <phoneticPr fontId="22" type="noConversion"/>
  </si>
  <si>
    <t>颗粒物防护口罩-蓝色</t>
    <phoneticPr fontId="22" type="noConversion"/>
  </si>
  <si>
    <t>个</t>
    <phoneticPr fontId="22" type="noConversion"/>
  </si>
  <si>
    <t>农行对私</t>
    <phoneticPr fontId="22" type="noConversion"/>
  </si>
  <si>
    <t>5016011</t>
    <phoneticPr fontId="22" type="noConversion"/>
  </si>
  <si>
    <t>重庆秋实货运到付</t>
    <phoneticPr fontId="22" type="noConversion"/>
  </si>
  <si>
    <t>刘兴春</t>
    <phoneticPr fontId="22" type="noConversion"/>
  </si>
  <si>
    <t>15320703388</t>
    <phoneticPr fontId="22" type="noConversion"/>
  </si>
  <si>
    <t>开县</t>
    <phoneticPr fontId="22" type="noConversion"/>
  </si>
  <si>
    <t>0011908</t>
    <phoneticPr fontId="22" type="noConversion"/>
  </si>
  <si>
    <t>终端</t>
    <phoneticPr fontId="22" type="noConversion"/>
  </si>
  <si>
    <t>尘毒呼吸防护套装经济型</t>
    <phoneticPr fontId="22" type="noConversion"/>
  </si>
  <si>
    <t>320P</t>
    <phoneticPr fontId="22" type="noConversion"/>
  </si>
  <si>
    <t>套</t>
    <phoneticPr fontId="22" type="noConversion"/>
  </si>
  <si>
    <t>子弹型耳塞</t>
    <phoneticPr fontId="22" type="noConversion"/>
  </si>
  <si>
    <t>付</t>
    <phoneticPr fontId="22" type="noConversion"/>
  </si>
  <si>
    <t>白色带帽连体防护服L</t>
    <phoneticPr fontId="22" type="noConversion"/>
  </si>
  <si>
    <t>4620</t>
    <phoneticPr fontId="22" type="noConversion"/>
  </si>
  <si>
    <t>贵阳泰峰实业有限公司</t>
    <phoneticPr fontId="22" type="noConversion"/>
  </si>
  <si>
    <t>3701CN</t>
    <phoneticPr fontId="22" type="noConversion"/>
  </si>
  <si>
    <t>中行对公</t>
    <phoneticPr fontId="22" type="noConversion"/>
  </si>
  <si>
    <t>2002556</t>
    <phoneticPr fontId="22" type="noConversion"/>
  </si>
  <si>
    <t>重庆力宏物流到付</t>
    <phoneticPr fontId="22" type="noConversion"/>
  </si>
  <si>
    <t>0023308</t>
    <phoneticPr fontId="22" type="noConversion"/>
  </si>
  <si>
    <t>01418106</t>
    <phoneticPr fontId="22" type="noConversion"/>
  </si>
  <si>
    <t>023159126405</t>
    <phoneticPr fontId="22" type="noConversion"/>
  </si>
  <si>
    <t>硅胶半面型防护面罩（中号）</t>
    <phoneticPr fontId="22" type="noConversion"/>
  </si>
  <si>
    <t>个</t>
    <phoneticPr fontId="40" type="noConversion"/>
  </si>
  <si>
    <t>2002555</t>
    <phoneticPr fontId="22" type="noConversion"/>
  </si>
  <si>
    <t>顺丰快递</t>
    <phoneticPr fontId="22" type="noConversion"/>
  </si>
  <si>
    <t>023155078449</t>
    <phoneticPr fontId="22" type="noConversion"/>
  </si>
  <si>
    <t>00269121</t>
    <phoneticPr fontId="22" type="noConversion"/>
  </si>
  <si>
    <t>普票</t>
    <phoneticPr fontId="22" type="noConversion"/>
  </si>
  <si>
    <t>终端</t>
    <phoneticPr fontId="22" type="noConversion"/>
  </si>
  <si>
    <t>3M</t>
    <phoneticPr fontId="22" type="noConversion"/>
  </si>
  <si>
    <t>6001CN</t>
    <phoneticPr fontId="22" type="noConversion"/>
  </si>
  <si>
    <t>个</t>
    <phoneticPr fontId="40" type="noConversion"/>
  </si>
  <si>
    <t>中行对公</t>
    <phoneticPr fontId="22" type="noConversion"/>
  </si>
  <si>
    <t>2002555</t>
    <phoneticPr fontId="22" type="noConversion"/>
  </si>
  <si>
    <t>顺丰快递</t>
    <phoneticPr fontId="22" type="noConversion"/>
  </si>
  <si>
    <t>亚洲款舒适型防化学护目镜</t>
    <phoneticPr fontId="22" type="noConversion"/>
  </si>
  <si>
    <t>1623af</t>
    <phoneticPr fontId="22" type="noConversion"/>
  </si>
  <si>
    <t>付</t>
    <phoneticPr fontId="40" type="noConversion"/>
  </si>
  <si>
    <t>颗粒物呼吸防护套装经济型</t>
    <phoneticPr fontId="22" type="noConversion"/>
  </si>
  <si>
    <t>320D</t>
    <phoneticPr fontId="22" type="noConversion"/>
  </si>
  <si>
    <t>套</t>
    <phoneticPr fontId="57" type="noConversion"/>
  </si>
  <si>
    <t>农行对私</t>
    <phoneticPr fontId="22" type="noConversion"/>
  </si>
  <si>
    <t>送货上门</t>
    <phoneticPr fontId="22" type="noConversion"/>
  </si>
  <si>
    <t>李光银</t>
    <phoneticPr fontId="57" type="noConversion"/>
  </si>
  <si>
    <t>/</t>
    <phoneticPr fontId="22" type="noConversion"/>
  </si>
  <si>
    <t>尘毒呼吸防护套装经济型</t>
    <phoneticPr fontId="22" type="noConversion"/>
  </si>
  <si>
    <t>320P</t>
    <phoneticPr fontId="22" type="noConversion"/>
  </si>
  <si>
    <t>个</t>
    <phoneticPr fontId="57" type="noConversion"/>
  </si>
  <si>
    <t>颗粒物防护口罩-蓝色</t>
    <phoneticPr fontId="22" type="noConversion"/>
  </si>
  <si>
    <t>个</t>
    <phoneticPr fontId="22" type="noConversion"/>
  </si>
  <si>
    <t>尘毒呼吸防护套装实用性</t>
    <phoneticPr fontId="22" type="noConversion"/>
  </si>
  <si>
    <t>620P</t>
    <phoneticPr fontId="22" type="noConversion"/>
  </si>
  <si>
    <t>重庆商祺商贸有限公司</t>
    <phoneticPr fontId="22" type="noConversion"/>
  </si>
  <si>
    <t>尘毒呼吸防护套装(MRO)舒适型</t>
    <phoneticPr fontId="22" type="noConversion"/>
  </si>
  <si>
    <t>720P</t>
    <phoneticPr fontId="22" type="noConversion"/>
  </si>
  <si>
    <t>9002A</t>
    <phoneticPr fontId="22" type="noConversion"/>
  </si>
  <si>
    <t>铁轩快运到付</t>
    <phoneticPr fontId="22" type="noConversion"/>
  </si>
  <si>
    <t>15987175322</t>
    <phoneticPr fontId="22" type="noConversion"/>
  </si>
  <si>
    <t>昆明市环城南路668号云纺国际商厦4F-65</t>
    <phoneticPr fontId="22" type="noConversion"/>
  </si>
  <si>
    <t>9006305</t>
    <phoneticPr fontId="22" type="noConversion"/>
  </si>
  <si>
    <t>00215922</t>
    <phoneticPr fontId="22" type="noConversion"/>
  </si>
  <si>
    <t>023155145740</t>
    <phoneticPr fontId="22" type="noConversion"/>
  </si>
  <si>
    <t>个</t>
    <phoneticPr fontId="40" type="noConversion"/>
  </si>
  <si>
    <t>中行对公</t>
    <phoneticPr fontId="22" type="noConversion"/>
  </si>
  <si>
    <t>00215921</t>
    <phoneticPr fontId="22" type="noConversion"/>
  </si>
  <si>
    <t>颗粒物滤棉</t>
    <phoneticPr fontId="22" type="noConversion"/>
  </si>
  <si>
    <t>2091 P100</t>
    <phoneticPr fontId="22" type="noConversion"/>
  </si>
  <si>
    <t>片</t>
    <phoneticPr fontId="22" type="noConversion"/>
  </si>
  <si>
    <t>铁轩快运到付</t>
    <phoneticPr fontId="22" type="noConversion"/>
  </si>
  <si>
    <t>00215923</t>
    <phoneticPr fontId="22" type="noConversion"/>
  </si>
  <si>
    <t>重庆朕尔科技有限公司</t>
    <phoneticPr fontId="22" type="noConversion"/>
  </si>
  <si>
    <t>子弹型带线耳塞</t>
    <phoneticPr fontId="22" type="noConversion"/>
  </si>
  <si>
    <t>付</t>
    <phoneticPr fontId="22" type="noConversion"/>
  </si>
  <si>
    <t>现金</t>
    <phoneticPr fontId="22" type="noConversion"/>
  </si>
  <si>
    <t>5016012</t>
    <phoneticPr fontId="22" type="noConversion"/>
  </si>
  <si>
    <t>自提</t>
    <phoneticPr fontId="22" type="noConversion"/>
  </si>
  <si>
    <t>李勇</t>
    <phoneticPr fontId="22" type="noConversion"/>
  </si>
  <si>
    <t>63672155</t>
    <phoneticPr fontId="22" type="noConversion"/>
  </si>
  <si>
    <t>01911447</t>
    <phoneticPr fontId="22" type="noConversion"/>
  </si>
  <si>
    <t>上海大众</t>
    <phoneticPr fontId="22" type="noConversion"/>
  </si>
  <si>
    <t>子弹型耳塞</t>
    <phoneticPr fontId="22" type="noConversion"/>
  </si>
  <si>
    <t>5016013</t>
    <phoneticPr fontId="22" type="noConversion"/>
  </si>
  <si>
    <t>付后国</t>
    <phoneticPr fontId="22" type="noConversion"/>
  </si>
  <si>
    <t>13220353451</t>
    <phoneticPr fontId="22" type="noConversion"/>
  </si>
  <si>
    <t>不开票</t>
    <phoneticPr fontId="22" type="noConversion"/>
  </si>
  <si>
    <t>嘉烨</t>
    <phoneticPr fontId="22" type="noConversion"/>
  </si>
  <si>
    <t>终端</t>
    <phoneticPr fontId="45" type="noConversion"/>
  </si>
  <si>
    <t>重庆兴富吉实业有限公司</t>
    <phoneticPr fontId="45" type="noConversion"/>
  </si>
  <si>
    <t>5016014</t>
    <phoneticPr fontId="45" type="noConversion"/>
  </si>
  <si>
    <t>顺丰快递</t>
    <phoneticPr fontId="22" type="noConversion"/>
  </si>
  <si>
    <t>曾诚</t>
    <phoneticPr fontId="45" type="noConversion"/>
  </si>
  <si>
    <t>13509408832</t>
    <phoneticPr fontId="45" type="noConversion"/>
  </si>
  <si>
    <t>璧山县青杠街道</t>
    <phoneticPr fontId="45" type="noConversion"/>
  </si>
  <si>
    <t>00215917</t>
    <phoneticPr fontId="45" type="noConversion"/>
  </si>
  <si>
    <t>重庆市港腾科技有限公司</t>
    <phoneticPr fontId="22" type="noConversion"/>
  </si>
  <si>
    <t>5016016</t>
    <phoneticPr fontId="45" type="noConversion"/>
  </si>
  <si>
    <t>张秀英</t>
    <phoneticPr fontId="22" type="noConversion"/>
  </si>
  <si>
    <t>13452968271</t>
    <phoneticPr fontId="45" type="noConversion"/>
  </si>
  <si>
    <t>00215918</t>
    <phoneticPr fontId="45" type="noConversion"/>
  </si>
  <si>
    <t>中国款流线型防护眼镜（透明镜片，防雾）</t>
    <phoneticPr fontId="22" type="noConversion"/>
  </si>
  <si>
    <t>Ultrafit 圣诞树型带线耳塞</t>
    <phoneticPr fontId="22" type="noConversion"/>
  </si>
  <si>
    <t>340-4004</t>
    <phoneticPr fontId="22" type="noConversion"/>
  </si>
  <si>
    <t>渝北区广源劳保用品经营部</t>
    <phoneticPr fontId="22" type="noConversion"/>
  </si>
  <si>
    <t>农行对私</t>
    <phoneticPr fontId="22" type="noConversion"/>
  </si>
  <si>
    <t>重庆高新物流到付</t>
    <phoneticPr fontId="22" type="noConversion"/>
  </si>
  <si>
    <t>刘军</t>
    <phoneticPr fontId="45" type="noConversion"/>
  </si>
  <si>
    <t>中国款流线型防护眼镜（灰色镜片，防雾）</t>
    <phoneticPr fontId="22" type="noConversion"/>
  </si>
  <si>
    <t>昆明贤哲经贸有限公司</t>
    <phoneticPr fontId="22" type="noConversion"/>
  </si>
  <si>
    <t>颗粒物滤棉</t>
    <phoneticPr fontId="22" type="noConversion"/>
  </si>
  <si>
    <t>2002557</t>
    <phoneticPr fontId="22" type="noConversion"/>
  </si>
  <si>
    <t>德邦物流到付</t>
    <phoneticPr fontId="45" type="noConversion"/>
  </si>
  <si>
    <t>杨品琴</t>
    <phoneticPr fontId="22" type="noConversion"/>
  </si>
  <si>
    <t>昆明市金光大道</t>
    <phoneticPr fontId="45" type="noConversion"/>
  </si>
  <si>
    <t>83670158</t>
    <phoneticPr fontId="22" type="noConversion"/>
  </si>
  <si>
    <t>01418109/01418108</t>
    <phoneticPr fontId="22" type="noConversion"/>
  </si>
  <si>
    <t>9425.2/11694.80</t>
    <phoneticPr fontId="22" type="noConversion"/>
  </si>
  <si>
    <t>023159126336</t>
    <phoneticPr fontId="22" type="noConversion"/>
  </si>
  <si>
    <t>01418107</t>
    <phoneticPr fontId="22" type="noConversion"/>
  </si>
  <si>
    <t>个</t>
    <phoneticPr fontId="45" type="noConversion"/>
  </si>
  <si>
    <t>2002557</t>
    <phoneticPr fontId="22" type="noConversion"/>
  </si>
  <si>
    <t>昆明市金光大道</t>
    <phoneticPr fontId="45" type="noConversion"/>
  </si>
  <si>
    <t>83670158</t>
    <phoneticPr fontId="22" type="noConversion"/>
  </si>
  <si>
    <t>01418107</t>
    <phoneticPr fontId="22" type="noConversion"/>
  </si>
  <si>
    <t>023159126336</t>
    <phoneticPr fontId="22" type="noConversion"/>
  </si>
  <si>
    <t>巫溪县渝星建材有限责任公司</t>
    <phoneticPr fontId="22" type="noConversion"/>
  </si>
  <si>
    <t>个</t>
    <phoneticPr fontId="57" type="noConversion"/>
  </si>
  <si>
    <t>5016015</t>
    <phoneticPr fontId="45" type="noConversion"/>
  </si>
  <si>
    <t>顺丰到付</t>
    <phoneticPr fontId="45" type="noConversion"/>
  </si>
  <si>
    <t>朱占雄</t>
    <phoneticPr fontId="45" type="noConversion"/>
  </si>
  <si>
    <t>13452726336</t>
    <phoneticPr fontId="45" type="noConversion"/>
  </si>
  <si>
    <t>重庆市巫溪县文峰镇新镇路194号</t>
    <phoneticPr fontId="45" type="noConversion"/>
  </si>
  <si>
    <t>568105803537</t>
    <phoneticPr fontId="22" type="noConversion"/>
  </si>
  <si>
    <t>00215919</t>
    <phoneticPr fontId="22" type="noConversion"/>
  </si>
  <si>
    <t>终端</t>
    <phoneticPr fontId="45" type="noConversion"/>
  </si>
  <si>
    <t>付</t>
    <phoneticPr fontId="45" type="noConversion"/>
  </si>
  <si>
    <t>现金</t>
    <phoneticPr fontId="45" type="noConversion"/>
  </si>
  <si>
    <t>2002558</t>
    <phoneticPr fontId="45" type="noConversion"/>
  </si>
  <si>
    <t>自提</t>
    <phoneticPr fontId="45" type="noConversion"/>
  </si>
  <si>
    <t>三色套装门有限公司</t>
    <phoneticPr fontId="22" type="noConversion"/>
  </si>
  <si>
    <t>重庆通杰装饰设计有限公司</t>
    <phoneticPr fontId="22" type="noConversion"/>
  </si>
  <si>
    <t>5016018</t>
    <phoneticPr fontId="22" type="noConversion"/>
  </si>
  <si>
    <t>管明娟</t>
    <phoneticPr fontId="22" type="noConversion"/>
  </si>
  <si>
    <t>18323231500</t>
    <phoneticPr fontId="22" type="noConversion"/>
  </si>
  <si>
    <t>00215924</t>
    <phoneticPr fontId="22" type="noConversion"/>
  </si>
  <si>
    <t>云南云津达商贸有限公司</t>
    <phoneticPr fontId="22" type="noConversion"/>
  </si>
  <si>
    <t>720P</t>
    <phoneticPr fontId="22" type="noConversion"/>
  </si>
  <si>
    <t>套</t>
    <phoneticPr fontId="22" type="noConversion"/>
  </si>
  <si>
    <t>2002559</t>
    <phoneticPr fontId="22" type="noConversion"/>
  </si>
  <si>
    <t>秦海良</t>
    <phoneticPr fontId="22" type="noConversion"/>
  </si>
  <si>
    <t>13708386685</t>
    <phoneticPr fontId="22" type="noConversion"/>
  </si>
  <si>
    <t>重庆九龙坡区陶家镇陶跳路12号</t>
    <phoneticPr fontId="22" type="noConversion"/>
  </si>
  <si>
    <t>00215932</t>
    <phoneticPr fontId="22" type="noConversion"/>
  </si>
  <si>
    <t>重庆西亚新型装饰材料有限公司</t>
    <phoneticPr fontId="22" type="noConversion"/>
  </si>
  <si>
    <t>重庆荣生人造板有限公司</t>
    <phoneticPr fontId="22" type="noConversion"/>
  </si>
  <si>
    <t>320D</t>
    <phoneticPr fontId="22" type="noConversion"/>
  </si>
  <si>
    <t>何永刚</t>
    <phoneticPr fontId="22" type="noConversion"/>
  </si>
  <si>
    <t>13508397297</t>
    <phoneticPr fontId="22" type="noConversion"/>
  </si>
  <si>
    <t>兰州华祥劳保有限责任公司</t>
    <phoneticPr fontId="22" type="noConversion"/>
  </si>
  <si>
    <t>德邦物流到付</t>
    <phoneticPr fontId="45" type="noConversion"/>
  </si>
  <si>
    <t>沈元惠</t>
    <phoneticPr fontId="22" type="noConversion"/>
  </si>
  <si>
    <t>0931-4867689,13909461179</t>
    <phoneticPr fontId="22" type="noConversion"/>
  </si>
  <si>
    <t>兰州市城关区嘉峪关东路64-（13-14-15）号，二热十字</t>
    <phoneticPr fontId="22" type="noConversion"/>
  </si>
  <si>
    <t>81128162</t>
    <phoneticPr fontId="22" type="noConversion"/>
  </si>
  <si>
    <t>01758449</t>
    <phoneticPr fontId="22" type="noConversion"/>
  </si>
  <si>
    <t>718076524600</t>
    <phoneticPr fontId="22" type="noConversion"/>
  </si>
  <si>
    <t>刘永刚</t>
    <phoneticPr fontId="22" type="noConversion"/>
  </si>
  <si>
    <t>15909319509</t>
    <phoneticPr fontId="22" type="noConversion"/>
  </si>
  <si>
    <t>重庆震旦消防（集团）有限公司</t>
    <phoneticPr fontId="22" type="noConversion"/>
  </si>
  <si>
    <t>个</t>
    <phoneticPr fontId="50" type="noConversion"/>
  </si>
  <si>
    <t>林俐</t>
    <phoneticPr fontId="22" type="noConversion"/>
  </si>
  <si>
    <t>0044016</t>
    <phoneticPr fontId="22" type="noConversion"/>
  </si>
  <si>
    <t>01418129</t>
    <phoneticPr fontId="22" type="noConversion"/>
  </si>
  <si>
    <t>023158294052</t>
    <phoneticPr fontId="22" type="noConversion"/>
  </si>
  <si>
    <t>6003CN</t>
    <phoneticPr fontId="22" type="noConversion"/>
  </si>
  <si>
    <t>雷达货运到付</t>
    <phoneticPr fontId="22" type="noConversion"/>
  </si>
  <si>
    <t>对公转账</t>
    <phoneticPr fontId="22" type="noConversion"/>
  </si>
  <si>
    <t>9008562</t>
    <phoneticPr fontId="22" type="noConversion"/>
  </si>
  <si>
    <t>01758436-01758437-01758438-01758439</t>
    <phoneticPr fontId="22" type="noConversion"/>
  </si>
  <si>
    <t>11200-11200-11214-8966.2</t>
    <phoneticPr fontId="22" type="noConversion"/>
  </si>
  <si>
    <t>568111824295</t>
    <phoneticPr fontId="22" type="noConversion"/>
  </si>
  <si>
    <t>01758438</t>
    <phoneticPr fontId="22" type="noConversion"/>
  </si>
  <si>
    <t>2002560</t>
    <phoneticPr fontId="22" type="noConversion"/>
  </si>
  <si>
    <t>重庆顺昌建辉运输到付</t>
    <phoneticPr fontId="22" type="noConversion"/>
  </si>
  <si>
    <t>0016569</t>
    <phoneticPr fontId="22" type="noConversion"/>
  </si>
  <si>
    <t>豪山家具</t>
    <phoneticPr fontId="22" type="noConversion"/>
  </si>
  <si>
    <t>620P</t>
    <phoneticPr fontId="22" type="noConversion"/>
  </si>
  <si>
    <t>5015561</t>
    <phoneticPr fontId="22" type="noConversion"/>
  </si>
  <si>
    <t>何学忠</t>
    <phoneticPr fontId="22" type="noConversion"/>
  </si>
  <si>
    <t>13908250872</t>
    <phoneticPr fontId="22" type="noConversion"/>
  </si>
  <si>
    <t>00215934</t>
    <phoneticPr fontId="22" type="noConversion"/>
  </si>
  <si>
    <t>四川巨邦物流到付</t>
    <phoneticPr fontId="22" type="noConversion"/>
  </si>
  <si>
    <t>昆明</t>
    <phoneticPr fontId="22" type="noConversion"/>
  </si>
  <si>
    <t>0003370</t>
    <phoneticPr fontId="22" type="noConversion"/>
  </si>
  <si>
    <t>不开票</t>
    <phoneticPr fontId="22" type="noConversion"/>
  </si>
  <si>
    <t>渠道</t>
    <phoneticPr fontId="22" type="noConversion"/>
  </si>
  <si>
    <t>重庆嘉烨商贸有限公司</t>
    <phoneticPr fontId="22" type="noConversion"/>
  </si>
  <si>
    <t>3M</t>
    <phoneticPr fontId="22" type="noConversion"/>
  </si>
  <si>
    <t>6001CN</t>
    <phoneticPr fontId="22" type="noConversion"/>
  </si>
  <si>
    <t>个</t>
    <phoneticPr fontId="22" type="noConversion"/>
  </si>
  <si>
    <t>农行对私</t>
    <phoneticPr fontId="22" type="noConversion"/>
  </si>
  <si>
    <t>四川巨邦物流现付</t>
    <phoneticPr fontId="22" type="noConversion"/>
  </si>
  <si>
    <t>重庆犇牛皮业有限公司</t>
    <phoneticPr fontId="22" type="noConversion"/>
  </si>
  <si>
    <t>1711AF</t>
    <phoneticPr fontId="22" type="noConversion"/>
  </si>
  <si>
    <t>付</t>
    <phoneticPr fontId="22" type="noConversion"/>
  </si>
  <si>
    <t>现金</t>
    <phoneticPr fontId="22" type="noConversion"/>
  </si>
  <si>
    <t>5015562</t>
    <phoneticPr fontId="22" type="noConversion"/>
  </si>
  <si>
    <t>自提</t>
    <phoneticPr fontId="22" type="noConversion"/>
  </si>
  <si>
    <t>王莱娟</t>
    <phoneticPr fontId="22" type="noConversion"/>
  </si>
  <si>
    <t>13983279030</t>
    <phoneticPr fontId="22" type="noConversion"/>
  </si>
  <si>
    <t>/</t>
    <phoneticPr fontId="22" type="noConversion"/>
  </si>
  <si>
    <t>嘉烨</t>
    <phoneticPr fontId="22" type="noConversion"/>
  </si>
  <si>
    <t>终端</t>
    <phoneticPr fontId="22" type="noConversion"/>
  </si>
  <si>
    <t>南京嘉俊安全消防防护设备有限公司</t>
    <phoneticPr fontId="22" type="noConversion"/>
  </si>
  <si>
    <t>中行对公</t>
    <phoneticPr fontId="22" type="noConversion"/>
  </si>
  <si>
    <t>德邦物流到付</t>
    <phoneticPr fontId="22" type="noConversion"/>
  </si>
  <si>
    <t>彭宁</t>
    <phoneticPr fontId="22" type="noConversion"/>
  </si>
  <si>
    <t>13770334327</t>
    <phoneticPr fontId="22" type="noConversion"/>
  </si>
  <si>
    <t>南京市江宁县南湖路9#</t>
    <phoneticPr fontId="22" type="noConversion"/>
  </si>
  <si>
    <t>81128042</t>
    <phoneticPr fontId="22" type="noConversion"/>
  </si>
  <si>
    <t>01418114/01418115/01418119/01418120/01418122</t>
    <phoneticPr fontId="22" type="noConversion"/>
  </si>
  <si>
    <t>11696.4/11696.4/11696.4/11696.4/9006</t>
    <phoneticPr fontId="22" type="noConversion"/>
  </si>
  <si>
    <t>9-11/9-12</t>
    <phoneticPr fontId="22" type="noConversion"/>
  </si>
  <si>
    <t>023159123633</t>
    <phoneticPr fontId="22" type="noConversion"/>
  </si>
  <si>
    <t>重庆荣生人造板有限公司</t>
    <phoneticPr fontId="22" type="noConversion"/>
  </si>
  <si>
    <t>5015563</t>
    <phoneticPr fontId="22" type="noConversion"/>
  </si>
  <si>
    <t>何永刚</t>
    <phoneticPr fontId="22" type="noConversion"/>
  </si>
  <si>
    <t>13508397297</t>
    <phoneticPr fontId="22" type="noConversion"/>
  </si>
  <si>
    <t>终端</t>
    <phoneticPr fontId="45" type="noConversion"/>
  </si>
  <si>
    <t>重庆三恩科技发展有限公司</t>
    <phoneticPr fontId="22" type="noConversion"/>
  </si>
  <si>
    <t>轻便型防护眼镜（透明镜片，防雾）</t>
    <phoneticPr fontId="22" type="noConversion"/>
  </si>
  <si>
    <t>00215935</t>
    <phoneticPr fontId="22" type="noConversion"/>
  </si>
  <si>
    <t>重庆朕尔科技有限公司</t>
    <phoneticPr fontId="22" type="noConversion"/>
  </si>
  <si>
    <t>5015564</t>
    <phoneticPr fontId="22" type="noConversion"/>
  </si>
  <si>
    <t>李勇</t>
    <phoneticPr fontId="22" type="noConversion"/>
  </si>
  <si>
    <t>63672155</t>
    <phoneticPr fontId="22" type="noConversion"/>
  </si>
  <si>
    <t>01911447</t>
    <phoneticPr fontId="22" type="noConversion"/>
  </si>
  <si>
    <t>13896479303</t>
    <phoneticPr fontId="22" type="noConversion"/>
  </si>
  <si>
    <t>9016241</t>
    <phoneticPr fontId="22" type="noConversion"/>
  </si>
  <si>
    <t>杨勇</t>
    <phoneticPr fontId="22" type="noConversion"/>
  </si>
  <si>
    <t>01418116</t>
    <phoneticPr fontId="22" type="noConversion"/>
  </si>
  <si>
    <t>023259126390</t>
    <phoneticPr fontId="22" type="noConversion"/>
  </si>
  <si>
    <t>312-1250</t>
    <phoneticPr fontId="22" type="noConversion"/>
  </si>
  <si>
    <t>1621AF</t>
    <phoneticPr fontId="22" type="noConversion"/>
  </si>
  <si>
    <t>6002CN</t>
    <phoneticPr fontId="22" type="noConversion"/>
  </si>
  <si>
    <t>重庆横河川仪有限公司</t>
    <phoneticPr fontId="37" type="noConversion"/>
  </si>
  <si>
    <t>顺丰到付</t>
    <phoneticPr fontId="22" type="noConversion"/>
  </si>
  <si>
    <t>蒋清银</t>
    <phoneticPr fontId="22" type="noConversion"/>
  </si>
  <si>
    <t>13308351550</t>
    <phoneticPr fontId="22" type="noConversion"/>
  </si>
  <si>
    <t>重庆北部新区黄山大道中段61号</t>
    <phoneticPr fontId="22" type="noConversion"/>
  </si>
  <si>
    <t>023159126381</t>
    <phoneticPr fontId="22" type="noConversion"/>
  </si>
  <si>
    <t>01418117</t>
    <phoneticPr fontId="22" type="noConversion"/>
  </si>
  <si>
    <t>023159126354</t>
    <phoneticPr fontId="22" type="noConversion"/>
  </si>
  <si>
    <t>重庆市渝大水务有限责任公司</t>
    <phoneticPr fontId="22" type="noConversion"/>
  </si>
  <si>
    <t>重庆秋实货运现付</t>
    <phoneticPr fontId="22" type="noConversion"/>
  </si>
  <si>
    <t>郑世军</t>
    <phoneticPr fontId="22" type="noConversion"/>
  </si>
  <si>
    <t>13330339197</t>
    <phoneticPr fontId="22" type="noConversion"/>
  </si>
  <si>
    <t>大足县龙岗街道办事处北环西路160号</t>
    <phoneticPr fontId="22" type="noConversion"/>
  </si>
  <si>
    <t>0003312</t>
    <phoneticPr fontId="22" type="noConversion"/>
  </si>
  <si>
    <t>00269123</t>
    <phoneticPr fontId="22" type="noConversion"/>
  </si>
  <si>
    <t>普票</t>
    <phoneticPr fontId="22" type="noConversion"/>
  </si>
  <si>
    <t>防化学护目镜（防雾）</t>
    <phoneticPr fontId="22" type="noConversion"/>
  </si>
  <si>
    <t>广州市劳动保护用品有限公司</t>
    <phoneticPr fontId="22" type="noConversion"/>
  </si>
  <si>
    <t>片</t>
    <phoneticPr fontId="22" type="noConversion"/>
  </si>
  <si>
    <t>5010565</t>
    <phoneticPr fontId="22" type="noConversion"/>
  </si>
  <si>
    <t>申通快递现付</t>
    <phoneticPr fontId="22" type="noConversion"/>
  </si>
  <si>
    <t>欧艺</t>
    <phoneticPr fontId="22" type="noConversion"/>
  </si>
  <si>
    <t>020-83583502</t>
    <phoneticPr fontId="22" type="noConversion"/>
  </si>
  <si>
    <r>
      <t>广州市麓湖路</t>
    </r>
    <r>
      <rPr>
        <sz val="10"/>
        <color indexed="8"/>
        <rFont val="Times New Roman"/>
        <family val="1"/>
      </rPr>
      <t>280</t>
    </r>
    <r>
      <rPr>
        <sz val="10"/>
        <color indexed="8"/>
        <rFont val="宋体"/>
        <family val="3"/>
        <charset val="134"/>
      </rPr>
      <t>号</t>
    </r>
  </si>
  <si>
    <t>568105803538</t>
    <phoneticPr fontId="22" type="noConversion"/>
  </si>
  <si>
    <t>01299189</t>
    <phoneticPr fontId="22" type="noConversion"/>
  </si>
  <si>
    <t>718096013740</t>
    <phoneticPr fontId="22" type="noConversion"/>
  </si>
  <si>
    <t>荣昌县吴家镇管道配件加工厂</t>
    <phoneticPr fontId="22" type="noConversion"/>
  </si>
  <si>
    <t>9016242</t>
    <phoneticPr fontId="22" type="noConversion"/>
  </si>
  <si>
    <t>重庆秋实货运到付</t>
    <phoneticPr fontId="22" type="noConversion"/>
  </si>
  <si>
    <t>王国祥</t>
    <phoneticPr fontId="22" type="noConversion"/>
  </si>
  <si>
    <t>13609403014</t>
    <phoneticPr fontId="22" type="noConversion"/>
  </si>
  <si>
    <t>荣昌县吴家镇</t>
    <phoneticPr fontId="22" type="noConversion"/>
  </si>
  <si>
    <t>0003314</t>
    <phoneticPr fontId="22" type="noConversion"/>
  </si>
  <si>
    <t>01758442</t>
    <phoneticPr fontId="22" type="noConversion"/>
  </si>
  <si>
    <t>568047610637</t>
    <phoneticPr fontId="22" type="noConversion"/>
  </si>
  <si>
    <t>梁平县屏锦镇板桥石膏厂</t>
    <phoneticPr fontId="22" type="noConversion"/>
  </si>
  <si>
    <t>9016243</t>
    <phoneticPr fontId="22" type="noConversion"/>
  </si>
  <si>
    <t>李时建</t>
    <phoneticPr fontId="22" type="noConversion"/>
  </si>
  <si>
    <t>15870535218</t>
    <phoneticPr fontId="22" type="noConversion"/>
  </si>
  <si>
    <t>梁平县屏锦镇</t>
    <phoneticPr fontId="22" type="noConversion"/>
  </si>
  <si>
    <t>0003313</t>
    <phoneticPr fontId="22" type="noConversion"/>
  </si>
  <si>
    <t>重庆创新劳动防护用品有限公司</t>
    <phoneticPr fontId="22" type="noConversion"/>
  </si>
  <si>
    <t>9002A</t>
    <phoneticPr fontId="22" type="noConversion"/>
  </si>
  <si>
    <t>9016244</t>
    <phoneticPr fontId="22" type="noConversion"/>
  </si>
  <si>
    <t>刘永刚</t>
    <phoneticPr fontId="22" type="noConversion"/>
  </si>
  <si>
    <t>15909319509</t>
    <phoneticPr fontId="22" type="noConversion"/>
  </si>
  <si>
    <t>01418128</t>
    <phoneticPr fontId="22" type="noConversion"/>
  </si>
  <si>
    <t>贵州久煜物资有限公司</t>
    <phoneticPr fontId="22" type="noConversion"/>
  </si>
  <si>
    <t>环保包装折叠式防护口罩（灰色，头带式）</t>
    <phoneticPr fontId="22" type="noConversion"/>
  </si>
  <si>
    <t>9022A</t>
    <phoneticPr fontId="22" type="noConversion"/>
  </si>
  <si>
    <t>黎宏林</t>
    <phoneticPr fontId="22" type="noConversion"/>
  </si>
  <si>
    <t>13885175205</t>
    <phoneticPr fontId="22" type="noConversion"/>
  </si>
  <si>
    <t>贵阳小河区航天园</t>
    <phoneticPr fontId="22" type="noConversion"/>
  </si>
  <si>
    <t>023159126363</t>
    <phoneticPr fontId="22" type="noConversion"/>
  </si>
  <si>
    <t>01418127</t>
    <phoneticPr fontId="22" type="noConversion"/>
  </si>
  <si>
    <t>有机蒸气异味及颗粒物防护口罩（耳带式）</t>
    <phoneticPr fontId="22" type="noConversion"/>
  </si>
  <si>
    <t>9041A</t>
    <phoneticPr fontId="22" type="noConversion"/>
  </si>
  <si>
    <t>嘉烨-25</t>
    <phoneticPr fontId="22" type="noConversion"/>
  </si>
  <si>
    <t>1791T</t>
    <phoneticPr fontId="22" type="noConversion"/>
  </si>
  <si>
    <t>嘉烨-6</t>
    <phoneticPr fontId="22" type="noConversion"/>
  </si>
  <si>
    <t>重庆贝斯康医疗器械有限公司</t>
    <phoneticPr fontId="22" type="noConversion"/>
  </si>
  <si>
    <t>9016245</t>
    <phoneticPr fontId="22" type="noConversion"/>
  </si>
  <si>
    <t>刘洪云</t>
    <phoneticPr fontId="22" type="noConversion"/>
  </si>
  <si>
    <t>13635421170</t>
    <phoneticPr fontId="22" type="noConversion"/>
  </si>
  <si>
    <t>00269124</t>
    <phoneticPr fontId="22" type="noConversion"/>
  </si>
  <si>
    <t>渝北区广源劳保用品经营部</t>
    <phoneticPr fontId="22" type="noConversion"/>
  </si>
  <si>
    <t>亚洲款舒适型防化学护目镜</t>
    <phoneticPr fontId="22" type="noConversion"/>
  </si>
  <si>
    <t>1623AF</t>
    <phoneticPr fontId="22" type="noConversion"/>
  </si>
  <si>
    <t>付</t>
    <phoneticPr fontId="40" type="noConversion"/>
  </si>
  <si>
    <t>5015567</t>
    <phoneticPr fontId="22" type="noConversion"/>
  </si>
  <si>
    <t>顺丰快递到付</t>
    <phoneticPr fontId="22" type="noConversion"/>
  </si>
  <si>
    <t>刘军</t>
    <phoneticPr fontId="45" type="noConversion"/>
  </si>
  <si>
    <t>023155078519</t>
    <phoneticPr fontId="22" type="noConversion"/>
  </si>
  <si>
    <t>件</t>
    <phoneticPr fontId="22" type="noConversion"/>
  </si>
  <si>
    <t>嘉烨-1</t>
    <phoneticPr fontId="22" type="noConversion"/>
  </si>
  <si>
    <t>重庆政通包装有限公司</t>
    <phoneticPr fontId="22" type="noConversion"/>
  </si>
  <si>
    <t>白色带帽连体防护服L</t>
    <phoneticPr fontId="22" type="noConversion"/>
  </si>
  <si>
    <t>4620</t>
    <phoneticPr fontId="22" type="noConversion"/>
  </si>
  <si>
    <t>5015566</t>
    <phoneticPr fontId="22" type="noConversion"/>
  </si>
  <si>
    <t>王友位</t>
    <phoneticPr fontId="22" type="noConversion"/>
  </si>
  <si>
    <t>云阳县凤鸣镇工业园区B</t>
    <phoneticPr fontId="22" type="noConversion"/>
  </si>
  <si>
    <t>0068932</t>
    <phoneticPr fontId="22" type="noConversion"/>
  </si>
  <si>
    <t>00269125</t>
    <phoneticPr fontId="22" type="noConversion"/>
  </si>
  <si>
    <t>568105803541</t>
    <phoneticPr fontId="22" type="noConversion"/>
  </si>
  <si>
    <t>个</t>
    <phoneticPr fontId="57" type="noConversion"/>
  </si>
  <si>
    <t>尘毒呼吸防护套装经济型</t>
    <phoneticPr fontId="22" type="noConversion"/>
  </si>
  <si>
    <t>320P</t>
    <phoneticPr fontId="22" type="noConversion"/>
  </si>
  <si>
    <t>套</t>
    <phoneticPr fontId="22" type="noConversion"/>
  </si>
  <si>
    <t>3301CN</t>
    <phoneticPr fontId="22" type="noConversion"/>
  </si>
  <si>
    <t>3N11CN</t>
    <phoneticPr fontId="22" type="noConversion"/>
  </si>
  <si>
    <t>Ansell</t>
    <phoneticPr fontId="22" type="noConversion"/>
  </si>
  <si>
    <t>37-176</t>
    <phoneticPr fontId="22" type="noConversion"/>
  </si>
  <si>
    <t>双</t>
    <phoneticPr fontId="22" type="noConversion"/>
  </si>
  <si>
    <t>311-1250</t>
    <phoneticPr fontId="22" type="noConversion"/>
  </si>
  <si>
    <t>9016246</t>
    <phoneticPr fontId="22" type="noConversion"/>
  </si>
  <si>
    <t>13983418436</t>
    <phoneticPr fontId="22" type="noConversion"/>
  </si>
  <si>
    <t>01758435</t>
    <phoneticPr fontId="22" type="noConversion"/>
  </si>
  <si>
    <t>023162231211</t>
    <phoneticPr fontId="22" type="noConversion"/>
  </si>
  <si>
    <t>37-175</t>
    <phoneticPr fontId="22" type="noConversion"/>
  </si>
  <si>
    <t>重庆西亚新型装饰材料有限公司</t>
    <phoneticPr fontId="22" type="noConversion"/>
  </si>
  <si>
    <t>9016247</t>
    <phoneticPr fontId="22" type="noConversion"/>
  </si>
  <si>
    <t>秦海良</t>
    <phoneticPr fontId="22" type="noConversion"/>
  </si>
  <si>
    <t>13708386685</t>
    <phoneticPr fontId="22" type="noConversion"/>
  </si>
  <si>
    <t>重庆九龙坡区陶家镇陶跳路12号</t>
    <phoneticPr fontId="22" type="noConversion"/>
  </si>
  <si>
    <t>01418118</t>
    <phoneticPr fontId="22" type="noConversion"/>
  </si>
  <si>
    <t>5N11</t>
    <phoneticPr fontId="22" type="noConversion"/>
  </si>
  <si>
    <t>9016247</t>
    <phoneticPr fontId="22" type="noConversion"/>
  </si>
  <si>
    <t>01418118</t>
    <phoneticPr fontId="22" type="noConversion"/>
  </si>
  <si>
    <t>9016248</t>
    <phoneticPr fontId="22" type="noConversion"/>
  </si>
  <si>
    <t>北碚同兴工业园区</t>
    <phoneticPr fontId="22" type="noConversion"/>
  </si>
  <si>
    <t>01758434</t>
    <phoneticPr fontId="22" type="noConversion"/>
  </si>
  <si>
    <t>320P</t>
    <phoneticPr fontId="22" type="noConversion"/>
  </si>
  <si>
    <t>重庆雅镂公司</t>
    <phoneticPr fontId="22" type="noConversion"/>
  </si>
  <si>
    <t>9016249</t>
    <phoneticPr fontId="22" type="noConversion"/>
  </si>
  <si>
    <t>九龙坡区石坪桥</t>
    <phoneticPr fontId="22" type="noConversion"/>
  </si>
  <si>
    <t>2091 P100</t>
    <phoneticPr fontId="22" type="noConversion"/>
  </si>
  <si>
    <t>重庆市永川区金冠防护用品经营部</t>
    <phoneticPr fontId="22" type="noConversion"/>
  </si>
  <si>
    <t>百信货运到付</t>
    <phoneticPr fontId="22" type="noConversion"/>
  </si>
  <si>
    <t>黎安平</t>
    <phoneticPr fontId="58" type="noConversion"/>
  </si>
  <si>
    <t>永川</t>
    <phoneticPr fontId="22" type="noConversion"/>
  </si>
  <si>
    <t>0026354</t>
    <phoneticPr fontId="22" type="noConversion"/>
  </si>
  <si>
    <t>tychem-c</t>
    <phoneticPr fontId="22" type="noConversion"/>
  </si>
  <si>
    <t>9016250</t>
    <phoneticPr fontId="22" type="noConversion"/>
  </si>
  <si>
    <t>王元富</t>
    <phoneticPr fontId="22" type="noConversion"/>
  </si>
  <si>
    <t>15998982199</t>
    <phoneticPr fontId="22" type="noConversion"/>
  </si>
  <si>
    <t>01418116</t>
    <phoneticPr fontId="22" type="noConversion"/>
  </si>
  <si>
    <t>023259126390</t>
    <phoneticPr fontId="22" type="noConversion"/>
  </si>
  <si>
    <t>宁夏林诺贸易有限责任公司</t>
    <phoneticPr fontId="22" type="noConversion"/>
  </si>
  <si>
    <t>陈宁悦</t>
    <phoneticPr fontId="22" type="noConversion"/>
  </si>
  <si>
    <t>13649518701</t>
    <phoneticPr fontId="22" type="noConversion"/>
  </si>
  <si>
    <t>宁夏是银川兴庆区宝湖东路283#</t>
    <phoneticPr fontId="22" type="noConversion"/>
  </si>
  <si>
    <t>81088700</t>
    <phoneticPr fontId="22" type="noConversion"/>
  </si>
  <si>
    <t>01758432</t>
    <phoneticPr fontId="22" type="noConversion"/>
  </si>
  <si>
    <t>023162231220</t>
    <phoneticPr fontId="22" type="noConversion"/>
  </si>
  <si>
    <t>南京嘉俊安全消防防护设备有限公司</t>
    <phoneticPr fontId="22" type="noConversion"/>
  </si>
  <si>
    <t>彭宁</t>
    <phoneticPr fontId="22" type="noConversion"/>
  </si>
  <si>
    <t>13770334327</t>
    <phoneticPr fontId="22" type="noConversion"/>
  </si>
  <si>
    <t>南京市江宁县南湖路9#</t>
    <phoneticPr fontId="22" type="noConversion"/>
  </si>
  <si>
    <t>81088711</t>
    <phoneticPr fontId="22" type="noConversion"/>
  </si>
  <si>
    <t>01418121/01418122</t>
    <phoneticPr fontId="22" type="noConversion"/>
  </si>
  <si>
    <t>11696.4/9006</t>
    <phoneticPr fontId="22" type="noConversion"/>
  </si>
  <si>
    <t>023159123633</t>
    <phoneticPr fontId="22" type="noConversion"/>
  </si>
  <si>
    <t>37-176</t>
    <phoneticPr fontId="22" type="noConversion"/>
  </si>
  <si>
    <t>9016253</t>
    <phoneticPr fontId="22" type="noConversion"/>
  </si>
  <si>
    <t>江北区</t>
    <phoneticPr fontId="22" type="noConversion"/>
  </si>
  <si>
    <t>重庆诚济医疗器械有限公司</t>
    <phoneticPr fontId="22" type="noConversion"/>
  </si>
  <si>
    <t>9016254</t>
    <phoneticPr fontId="22" type="noConversion"/>
  </si>
  <si>
    <t>/</t>
    <phoneticPr fontId="22" type="noConversion"/>
  </si>
  <si>
    <t>重庆川仪自动化股份有限公司执行器分公司</t>
    <phoneticPr fontId="59" type="noConversion"/>
  </si>
  <si>
    <t>9002A</t>
    <phoneticPr fontId="22" type="noConversion"/>
  </si>
  <si>
    <t>01758431</t>
    <phoneticPr fontId="22" type="noConversion"/>
  </si>
  <si>
    <t>自提</t>
    <phoneticPr fontId="22" type="noConversion"/>
  </si>
  <si>
    <t>终端</t>
    <phoneticPr fontId="22" type="noConversion"/>
  </si>
  <si>
    <t>昆明安利达劳保用品有限公司</t>
    <phoneticPr fontId="22" type="noConversion"/>
  </si>
  <si>
    <t>四川巨邦物流到付</t>
    <phoneticPr fontId="22" type="noConversion"/>
  </si>
  <si>
    <t>13888956566</t>
    <phoneticPr fontId="22" type="noConversion"/>
  </si>
  <si>
    <t>昆明</t>
    <phoneticPr fontId="22" type="noConversion"/>
  </si>
  <si>
    <t>0004032</t>
    <phoneticPr fontId="22" type="noConversion"/>
  </si>
  <si>
    <t>01418123</t>
    <phoneticPr fontId="22" type="noConversion"/>
  </si>
  <si>
    <t xml:space="preserve">龙柳昆 </t>
    <phoneticPr fontId="22" type="noConversion"/>
  </si>
  <si>
    <t>昆明市环城南路668号云纺国际商厦4F-65</t>
    <phoneticPr fontId="22" type="noConversion"/>
  </si>
  <si>
    <t>9048519</t>
    <phoneticPr fontId="22" type="noConversion"/>
  </si>
  <si>
    <t>01758438</t>
    <phoneticPr fontId="22" type="noConversion"/>
  </si>
  <si>
    <t>568111824295</t>
    <phoneticPr fontId="22" type="noConversion"/>
  </si>
  <si>
    <t>3003K-100</t>
    <phoneticPr fontId="22" type="noConversion"/>
  </si>
  <si>
    <t>铁轩物流到付</t>
    <phoneticPr fontId="22" type="noConversion"/>
  </si>
  <si>
    <t>01758439</t>
    <phoneticPr fontId="22" type="noConversion"/>
  </si>
  <si>
    <t>铁轩物流到付</t>
    <phoneticPr fontId="22" type="noConversion"/>
  </si>
  <si>
    <t xml:space="preserve">龙柳昆 </t>
    <phoneticPr fontId="22" type="noConversion"/>
  </si>
  <si>
    <t>9048519</t>
    <phoneticPr fontId="22" type="noConversion"/>
  </si>
  <si>
    <t>01758439</t>
    <phoneticPr fontId="22" type="noConversion"/>
  </si>
  <si>
    <t>重庆远标机电有限公司</t>
    <phoneticPr fontId="22" type="noConversion"/>
  </si>
  <si>
    <t>9016252</t>
    <phoneticPr fontId="22" type="noConversion"/>
  </si>
  <si>
    <t>9016256</t>
    <phoneticPr fontId="22" type="noConversion"/>
  </si>
  <si>
    <t>重庆健隆双庆到付</t>
    <phoneticPr fontId="22" type="noConversion"/>
  </si>
  <si>
    <t>0000050</t>
    <phoneticPr fontId="22" type="noConversion"/>
  </si>
  <si>
    <t>重庆渝北回兴街道双湖路133号</t>
    <phoneticPr fontId="22" type="noConversion"/>
  </si>
  <si>
    <t>昆明吉盛恒商贸有限公司</t>
    <phoneticPr fontId="22" type="noConversion"/>
  </si>
  <si>
    <t>9016257</t>
    <phoneticPr fontId="22" type="noConversion"/>
  </si>
  <si>
    <t>王东</t>
    <phoneticPr fontId="22" type="noConversion"/>
  </si>
  <si>
    <t>昆明市人民西路508号</t>
    <phoneticPr fontId="22" type="noConversion"/>
  </si>
  <si>
    <t>81128363</t>
    <phoneticPr fontId="22" type="noConversion"/>
  </si>
  <si>
    <t>01758454</t>
    <phoneticPr fontId="22" type="noConversion"/>
  </si>
  <si>
    <t>718084812497</t>
    <phoneticPr fontId="22" type="noConversion"/>
  </si>
  <si>
    <t>巫溪县凯特汽车修配有限责任公司</t>
    <phoneticPr fontId="22" type="noConversion"/>
  </si>
  <si>
    <t>5015568</t>
    <phoneticPr fontId="22" type="noConversion"/>
  </si>
  <si>
    <t>重庆通渝州货运现付</t>
    <phoneticPr fontId="22" type="noConversion"/>
  </si>
  <si>
    <t>023-51330333</t>
    <phoneticPr fontId="22" type="noConversion"/>
  </si>
  <si>
    <t>巫溪县城厢镇太平路198号</t>
    <phoneticPr fontId="22" type="noConversion"/>
  </si>
  <si>
    <t>0018795</t>
    <phoneticPr fontId="22" type="noConversion"/>
  </si>
  <si>
    <t>00269134</t>
    <phoneticPr fontId="22" type="noConversion"/>
  </si>
  <si>
    <t>568111824922</t>
    <phoneticPr fontId="22" type="noConversion"/>
  </si>
  <si>
    <t xml:space="preserve">4510 </t>
    <phoneticPr fontId="22" type="noConversion"/>
  </si>
  <si>
    <t>4510</t>
    <phoneticPr fontId="22" type="noConversion"/>
  </si>
  <si>
    <t>5015569</t>
    <phoneticPr fontId="22" type="noConversion"/>
  </si>
  <si>
    <t>重庆力宏物流现付</t>
    <phoneticPr fontId="22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</si>
  <si>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2" type="noConversion"/>
  </si>
  <si>
    <t>贵阳市南明区花果园太升五金机电市场1层A区-B20号</t>
    <phoneticPr fontId="22" type="noConversion"/>
  </si>
  <si>
    <t>0007085</t>
    <phoneticPr fontId="22" type="noConversion"/>
  </si>
  <si>
    <t>01418125/26/27</t>
    <phoneticPr fontId="22" type="noConversion"/>
  </si>
  <si>
    <t>023159123263</t>
    <phoneticPr fontId="22" type="noConversion"/>
  </si>
  <si>
    <t>01418127</t>
    <phoneticPr fontId="22" type="noConversion"/>
  </si>
  <si>
    <t>贵阳麦迪科商贸有限公司</t>
    <phoneticPr fontId="22" type="noConversion"/>
  </si>
  <si>
    <t>5015570</t>
    <phoneticPr fontId="22" type="noConversion"/>
  </si>
  <si>
    <t>刘强胜</t>
    <phoneticPr fontId="22" type="noConversion"/>
  </si>
  <si>
    <t>13984866462</t>
    <phoneticPr fontId="22" type="noConversion"/>
  </si>
  <si>
    <t>贵阳市宝山南路27号凯尼大厦15楼1号</t>
    <phoneticPr fontId="22" type="noConversion"/>
  </si>
  <si>
    <t>023159123254</t>
    <phoneticPr fontId="22" type="noConversion"/>
  </si>
  <si>
    <r>
      <t>9</t>
    </r>
    <r>
      <rPr>
        <sz val="10"/>
        <color indexed="8"/>
        <rFont val="宋体"/>
        <family val="3"/>
        <charset val="134"/>
      </rPr>
      <t>002A</t>
    </r>
    <phoneticPr fontId="22" type="noConversion"/>
  </si>
  <si>
    <t>5015571</t>
    <phoneticPr fontId="22" type="noConversion"/>
  </si>
  <si>
    <t>重庆健隆双庆运输到付</t>
    <phoneticPr fontId="22" type="noConversion"/>
  </si>
  <si>
    <t>0001979</t>
    <phoneticPr fontId="22" type="noConversion"/>
  </si>
  <si>
    <r>
      <t>9</t>
    </r>
    <r>
      <rPr>
        <sz val="10"/>
        <color indexed="8"/>
        <rFont val="宋体"/>
        <family val="3"/>
        <charset val="134"/>
      </rPr>
      <t>042A</t>
    </r>
    <phoneticPr fontId="22" type="noConversion"/>
  </si>
  <si>
    <t>嘉烨19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</si>
  <si>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20P</t>
    </r>
    <phoneticPr fontId="22" type="noConversion"/>
  </si>
  <si>
    <t>昆明尧安经贸有限公司</t>
    <phoneticPr fontId="22" type="noConversion"/>
  </si>
  <si>
    <t>5015572</t>
    <phoneticPr fontId="22" type="noConversion"/>
  </si>
  <si>
    <t>德邦到付</t>
    <phoneticPr fontId="22" type="noConversion"/>
  </si>
  <si>
    <t>魏巍</t>
    <phoneticPr fontId="22" type="noConversion"/>
  </si>
  <si>
    <t>13888336433</t>
    <phoneticPr fontId="22" type="noConversion"/>
  </si>
  <si>
    <t>云南省昆明市盘龙区颐华路132号桃李家园南厢苑A座1810号（盘龙区德邦）</t>
    <phoneticPr fontId="22" type="noConversion"/>
  </si>
  <si>
    <t>81135540</t>
    <phoneticPr fontId="22" type="noConversion"/>
  </si>
  <si>
    <t>01299190</t>
    <phoneticPr fontId="22" type="noConversion"/>
  </si>
  <si>
    <t>761064858187</t>
    <phoneticPr fontId="22" type="noConversion"/>
  </si>
  <si>
    <t>5015573</t>
    <phoneticPr fontId="22" type="noConversion"/>
  </si>
  <si>
    <t>023159123651</t>
    <phoneticPr fontId="22" type="noConversion"/>
  </si>
  <si>
    <t>重庆贝斯康医疗器械有限公司</t>
    <phoneticPr fontId="22" type="noConversion"/>
  </si>
  <si>
    <t>5015574</t>
    <phoneticPr fontId="22" type="noConversion"/>
  </si>
  <si>
    <t>刘洪云</t>
    <phoneticPr fontId="22" type="noConversion"/>
  </si>
  <si>
    <t>13635421170</t>
    <phoneticPr fontId="22" type="noConversion"/>
  </si>
  <si>
    <t>00269124</t>
    <phoneticPr fontId="22" type="noConversion"/>
  </si>
  <si>
    <t>梁平县屏锦镇板桥石膏厂</t>
    <phoneticPr fontId="22" type="noConversion"/>
  </si>
  <si>
    <t>9016258</t>
    <phoneticPr fontId="22" type="noConversion"/>
  </si>
  <si>
    <t>重庆中友货运到付</t>
    <phoneticPr fontId="22" type="noConversion"/>
  </si>
  <si>
    <t>李时建</t>
    <phoneticPr fontId="22" type="noConversion"/>
  </si>
  <si>
    <t>15870535218</t>
    <phoneticPr fontId="22" type="noConversion"/>
  </si>
  <si>
    <t>梁平县屏锦镇</t>
    <phoneticPr fontId="22" type="noConversion"/>
  </si>
  <si>
    <t>0009134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</si>
  <si>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11-1101</t>
    </r>
    <phoneticPr fontId="22" type="noConversion"/>
  </si>
  <si>
    <t>重庆海电风能集团有限公司</t>
    <phoneticPr fontId="22" type="noConversion"/>
  </si>
  <si>
    <t>9016259</t>
    <phoneticPr fontId="22" type="noConversion"/>
  </si>
  <si>
    <t>谭利华</t>
    <phoneticPr fontId="22" type="noConversion"/>
  </si>
  <si>
    <t>18696989333</t>
    <phoneticPr fontId="22" type="noConversion"/>
  </si>
  <si>
    <t>01758440</t>
    <phoneticPr fontId="22" type="noConversion"/>
  </si>
  <si>
    <t>023162172409</t>
    <phoneticPr fontId="22" type="noConversion"/>
  </si>
  <si>
    <t>嘉烨-10</t>
    <phoneticPr fontId="22" type="noConversion"/>
  </si>
  <si>
    <t>重庆亿捷通工业品股份有限公司</t>
    <phoneticPr fontId="22" type="noConversion"/>
  </si>
  <si>
    <t>9016264</t>
    <phoneticPr fontId="22" type="noConversion"/>
  </si>
  <si>
    <t>王静</t>
    <phoneticPr fontId="22" type="noConversion"/>
  </si>
  <si>
    <t>01299192</t>
    <phoneticPr fontId="22" type="noConversion"/>
  </si>
  <si>
    <t>9016260</t>
    <phoneticPr fontId="22" type="noConversion"/>
  </si>
  <si>
    <t>陈晓兰</t>
    <phoneticPr fontId="22" type="noConversion"/>
  </si>
  <si>
    <t>023-62837132</t>
    <phoneticPr fontId="22" type="noConversion"/>
  </si>
  <si>
    <t>南岸区金山支路21号附4号</t>
    <phoneticPr fontId="22" type="noConversion"/>
  </si>
  <si>
    <t>023159123660</t>
    <phoneticPr fontId="22" type="noConversion"/>
  </si>
  <si>
    <t>01799329</t>
    <phoneticPr fontId="22" type="noConversion"/>
  </si>
  <si>
    <t>023000438485</t>
    <phoneticPr fontId="22" type="noConversion"/>
  </si>
  <si>
    <t>重庆市恒升建材有限公司</t>
    <phoneticPr fontId="22" type="noConversion"/>
  </si>
  <si>
    <t>5015576</t>
    <phoneticPr fontId="22" type="noConversion"/>
  </si>
  <si>
    <t>王顺英</t>
    <phoneticPr fontId="22" type="noConversion"/>
  </si>
  <si>
    <t>13996372462</t>
    <phoneticPr fontId="22" type="noConversion"/>
  </si>
  <si>
    <r>
      <t>3301</t>
    </r>
    <r>
      <rPr>
        <sz val="10"/>
        <color indexed="8"/>
        <rFont val="宋体"/>
        <family val="3"/>
        <charset val="134"/>
      </rPr>
      <t>CN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</si>
  <si>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85CN</t>
    </r>
    <phoneticPr fontId="22" type="noConversion"/>
  </si>
  <si>
    <t>9016262</t>
    <phoneticPr fontId="22" type="noConversion"/>
  </si>
  <si>
    <t>15084321018</t>
    <phoneticPr fontId="22" type="noConversion"/>
  </si>
  <si>
    <t>0036063</t>
    <phoneticPr fontId="22" type="noConversion"/>
  </si>
  <si>
    <t>01758446-01758445</t>
    <phoneticPr fontId="22" type="noConversion"/>
  </si>
  <si>
    <t>751802767618</t>
    <phoneticPr fontId="22" type="noConversion"/>
  </si>
  <si>
    <r>
      <t>6001</t>
    </r>
    <r>
      <rPr>
        <sz val="10"/>
        <color indexed="8"/>
        <rFont val="宋体"/>
        <family val="3"/>
        <charset val="134"/>
      </rPr>
      <t>CN</t>
    </r>
    <phoneticPr fontId="22" type="noConversion"/>
  </si>
  <si>
    <t>重庆万州王牌路924号国腾实业集团</t>
    <phoneticPr fontId="22" type="noConversion"/>
  </si>
  <si>
    <t>5015577</t>
    <phoneticPr fontId="22" type="noConversion"/>
  </si>
  <si>
    <t>0035612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</si>
  <si>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744K</t>
    </r>
    <phoneticPr fontId="22" type="noConversion"/>
  </si>
  <si>
    <t>重庆信友达日化有限公司</t>
    <phoneticPr fontId="22" type="noConversion"/>
  </si>
  <si>
    <t>9016263</t>
    <phoneticPr fontId="22" type="noConversion"/>
  </si>
  <si>
    <t>刘孝军</t>
    <phoneticPr fontId="22" type="noConversion"/>
  </si>
  <si>
    <t>13452404526</t>
    <phoneticPr fontId="22" type="noConversion"/>
  </si>
  <si>
    <t>重庆市长寿区晏安工业园区和泉南路3号</t>
    <phoneticPr fontId="22" type="noConversion"/>
  </si>
  <si>
    <t>023158294043</t>
    <phoneticPr fontId="22" type="noConversion"/>
  </si>
  <si>
    <t>01758443</t>
    <phoneticPr fontId="22" type="noConversion"/>
  </si>
  <si>
    <t>023162172436</t>
    <phoneticPr fontId="22" type="noConversion"/>
  </si>
  <si>
    <t>5015579</t>
    <phoneticPr fontId="22" type="noConversion"/>
  </si>
  <si>
    <t>01758455</t>
    <phoneticPr fontId="22" type="noConversion"/>
  </si>
  <si>
    <r>
      <t>385</t>
    </r>
    <r>
      <rPr>
        <sz val="10"/>
        <color indexed="8"/>
        <rFont val="宋体"/>
        <family val="3"/>
        <charset val="134"/>
      </rPr>
      <t>CN</t>
    </r>
    <phoneticPr fontId="22" type="noConversion"/>
  </si>
  <si>
    <t>5015578</t>
    <phoneticPr fontId="22" type="noConversion"/>
  </si>
  <si>
    <t>朱伟华</t>
    <phoneticPr fontId="22" type="noConversion"/>
  </si>
  <si>
    <t>13650569368</t>
    <phoneticPr fontId="22" type="noConversion"/>
  </si>
  <si>
    <t>重庆建工工业有限公司</t>
    <phoneticPr fontId="22" type="noConversion"/>
  </si>
  <si>
    <t>01758452</t>
    <phoneticPr fontId="22" type="noConversion"/>
  </si>
  <si>
    <t>718076524558</t>
    <phoneticPr fontId="22" type="noConversion"/>
  </si>
  <si>
    <t>01758450</t>
    <phoneticPr fontId="22" type="noConversion"/>
  </si>
  <si>
    <t>01758452-01758451</t>
    <phoneticPr fontId="22" type="noConversion"/>
  </si>
  <si>
    <t>10700-11550</t>
    <phoneticPr fontId="22" type="noConversion"/>
  </si>
  <si>
    <r>
      <t>6</t>
    </r>
    <r>
      <rPr>
        <sz val="10"/>
        <color indexed="8"/>
        <rFont val="宋体"/>
        <family val="3"/>
        <charset val="134"/>
      </rPr>
      <t>001CN</t>
    </r>
    <phoneticPr fontId="22" type="noConversion"/>
  </si>
  <si>
    <r>
      <t>5</t>
    </r>
    <r>
      <rPr>
        <sz val="10"/>
        <color indexed="8"/>
        <rFont val="宋体"/>
        <family val="3"/>
        <charset val="134"/>
      </rPr>
      <t>N11</t>
    </r>
    <phoneticPr fontId="22" type="noConversion"/>
  </si>
  <si>
    <t>永川个体经销商</t>
    <phoneticPr fontId="22" type="noConversion"/>
  </si>
  <si>
    <t>delte plus</t>
    <phoneticPr fontId="22" type="noConversion"/>
  </si>
  <si>
    <t>9016265</t>
    <phoneticPr fontId="22" type="noConversion"/>
  </si>
  <si>
    <t>黄老师</t>
    <phoneticPr fontId="22" type="noConversion"/>
  </si>
  <si>
    <t>13996007717</t>
    <phoneticPr fontId="22" type="noConversion"/>
  </si>
  <si>
    <t>重庆市长寿区江南镇重钢新区</t>
    <phoneticPr fontId="22" type="noConversion"/>
  </si>
  <si>
    <t>023162231187</t>
    <phoneticPr fontId="22" type="noConversion"/>
  </si>
  <si>
    <t>重庆贝浪物资有限公司</t>
    <phoneticPr fontId="22" type="noConversion"/>
  </si>
  <si>
    <r>
      <t>6</t>
    </r>
    <r>
      <rPr>
        <sz val="10"/>
        <color indexed="8"/>
        <rFont val="宋体"/>
        <family val="3"/>
        <charset val="134"/>
      </rPr>
      <t>20P</t>
    </r>
    <phoneticPr fontId="22" type="noConversion"/>
  </si>
  <si>
    <t>68608434</t>
    <phoneticPr fontId="22" type="noConversion"/>
  </si>
  <si>
    <t>渝州新城C区128号</t>
    <phoneticPr fontId="22" type="noConversion"/>
  </si>
  <si>
    <t>9016301</t>
    <phoneticPr fontId="22" type="noConversion"/>
  </si>
  <si>
    <t>顺丰现付</t>
    <phoneticPr fontId="22" type="noConversion"/>
  </si>
  <si>
    <t>江芳</t>
    <phoneticPr fontId="22" type="noConversion"/>
  </si>
  <si>
    <t>18208753585</t>
    <phoneticPr fontId="22" type="noConversion"/>
  </si>
  <si>
    <t>昆明市官渡区菊花机电市场9栋37号</t>
    <phoneticPr fontId="22" type="noConversion"/>
  </si>
  <si>
    <t>023162231196</t>
    <phoneticPr fontId="22" type="noConversion"/>
  </si>
  <si>
    <t>9016303</t>
    <phoneticPr fontId="22" type="noConversion"/>
  </si>
  <si>
    <t>01758444</t>
    <phoneticPr fontId="22" type="noConversion"/>
  </si>
  <si>
    <t>重庆冠淦商贸有限公司</t>
    <phoneticPr fontId="22" type="noConversion"/>
  </si>
  <si>
    <t>9016304</t>
    <phoneticPr fontId="22" type="noConversion"/>
  </si>
  <si>
    <t>周晓娥</t>
    <phoneticPr fontId="22" type="noConversion"/>
  </si>
  <si>
    <t>18996330888</t>
    <phoneticPr fontId="22" type="noConversion"/>
  </si>
  <si>
    <t>九龙坡区走马镇</t>
    <phoneticPr fontId="22" type="noConversion"/>
  </si>
  <si>
    <t>9016305</t>
    <phoneticPr fontId="22" type="noConversion"/>
  </si>
  <si>
    <r>
      <t>1</t>
    </r>
    <r>
      <rPr>
        <sz val="10"/>
        <color indexed="8"/>
        <rFont val="宋体"/>
        <family val="3"/>
        <charset val="134"/>
      </rPr>
      <t>621AF</t>
    </r>
    <phoneticPr fontId="22" type="noConversion"/>
  </si>
  <si>
    <t>9016302</t>
    <phoneticPr fontId="22" type="noConversion"/>
  </si>
  <si>
    <t>13984866162</t>
    <phoneticPr fontId="22" type="noConversion"/>
  </si>
  <si>
    <t>贵阳市南明区红岩路2-8#</t>
    <phoneticPr fontId="22" type="noConversion"/>
  </si>
  <si>
    <t>0002235</t>
    <phoneticPr fontId="22" type="noConversion"/>
  </si>
  <si>
    <t>568105803542</t>
    <phoneticPr fontId="22" type="noConversion"/>
  </si>
  <si>
    <t>自贡市正信物资有限公司</t>
    <phoneticPr fontId="22" type="noConversion"/>
  </si>
  <si>
    <t>9016268</t>
    <phoneticPr fontId="22" type="noConversion"/>
  </si>
  <si>
    <t>重庆乾智（原飞达）货运有限公司</t>
    <phoneticPr fontId="22" type="noConversion"/>
  </si>
  <si>
    <t>凌莉英</t>
    <phoneticPr fontId="22" type="noConversion"/>
  </si>
  <si>
    <t>18990016852 / 0813-3212116</t>
    <phoneticPr fontId="22" type="noConversion"/>
  </si>
  <si>
    <t>0003080</t>
    <phoneticPr fontId="22" type="noConversion"/>
  </si>
  <si>
    <t>9016307</t>
    <phoneticPr fontId="22" type="noConversion"/>
  </si>
  <si>
    <t>13508353157</t>
    <phoneticPr fontId="22" type="noConversion"/>
  </si>
  <si>
    <t>嘉烨-16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</si>
  <si>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701CN</t>
    </r>
    <phoneticPr fontId="22" type="noConversion"/>
  </si>
  <si>
    <t>9016270</t>
    <phoneticPr fontId="22" type="noConversion"/>
  </si>
  <si>
    <t>陈小兰</t>
    <phoneticPr fontId="22" type="noConversion"/>
  </si>
  <si>
    <t>重庆市南岸区金山支路21号附4号</t>
    <phoneticPr fontId="22" type="noConversion"/>
  </si>
  <si>
    <t>023162231257</t>
    <phoneticPr fontId="22" type="noConversion"/>
  </si>
  <si>
    <t>重庆远东门窗有限公司</t>
    <phoneticPr fontId="22" type="noConversion"/>
  </si>
  <si>
    <r>
      <t>3M</t>
    </r>
    <r>
      <rPr>
        <sz val="9"/>
        <color indexed="8"/>
        <rFont val="宋体"/>
        <family val="3"/>
        <charset val="134"/>
      </rPr>
      <t/>
    </r>
    <phoneticPr fontId="22" type="noConversion"/>
  </si>
  <si>
    <t>9016309</t>
    <phoneticPr fontId="22" type="noConversion"/>
  </si>
  <si>
    <t>重庆高新物流配送中心</t>
    <phoneticPr fontId="22" type="noConversion"/>
  </si>
  <si>
    <t>王念</t>
    <phoneticPr fontId="22" type="noConversion"/>
  </si>
  <si>
    <t>13983302585</t>
    <phoneticPr fontId="22" type="noConversion"/>
  </si>
  <si>
    <t>0030026</t>
    <phoneticPr fontId="22" type="noConversion"/>
  </si>
  <si>
    <t>01758441</t>
    <phoneticPr fontId="22" type="noConversion"/>
  </si>
  <si>
    <t>568111824921</t>
    <phoneticPr fontId="22" type="noConversion"/>
  </si>
  <si>
    <t>永安</t>
    <phoneticPr fontId="22" type="noConversion"/>
  </si>
  <si>
    <t>重庆宇立金属化工有限公司</t>
    <phoneticPr fontId="22" type="noConversion"/>
  </si>
  <si>
    <t>9016308</t>
    <phoneticPr fontId="22" type="noConversion"/>
  </si>
  <si>
    <t>刘秋静</t>
    <phoneticPr fontId="22" type="noConversion"/>
  </si>
  <si>
    <t>13983418436</t>
    <phoneticPr fontId="22" type="noConversion"/>
  </si>
  <si>
    <t>0030416</t>
    <phoneticPr fontId="22" type="noConversion"/>
  </si>
  <si>
    <t>01758435</t>
    <phoneticPr fontId="22" type="noConversion"/>
  </si>
  <si>
    <t>023162231211</t>
    <phoneticPr fontId="22" type="noConversion"/>
  </si>
  <si>
    <t>37-175</t>
    <phoneticPr fontId="22" type="noConversion"/>
  </si>
  <si>
    <t>9016271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</si>
  <si>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301CN</t>
    </r>
    <phoneticPr fontId="22" type="noConversion"/>
  </si>
  <si>
    <t>9016272</t>
    <phoneticPr fontId="22" type="noConversion"/>
  </si>
  <si>
    <t>长沙鑫创亿汽配有限责任公司</t>
    <phoneticPr fontId="22" type="noConversion"/>
  </si>
  <si>
    <t>张文杰</t>
    <phoneticPr fontId="22" type="noConversion"/>
  </si>
  <si>
    <t>18680896120</t>
    <phoneticPr fontId="22" type="noConversion"/>
  </si>
  <si>
    <t>重庆市南岸区茶园工业园区长电路8号</t>
    <phoneticPr fontId="22" type="noConversion"/>
  </si>
  <si>
    <t>023162420302</t>
    <phoneticPr fontId="22" type="noConversion"/>
  </si>
  <si>
    <t>4650A</t>
    <phoneticPr fontId="22" type="noConversion"/>
  </si>
  <si>
    <t>90162973</t>
    <phoneticPr fontId="22" type="noConversion"/>
  </si>
  <si>
    <t>乾智货运到付</t>
    <phoneticPr fontId="22" type="noConversion"/>
  </si>
  <si>
    <t>01758448</t>
    <phoneticPr fontId="22" type="noConversion"/>
  </si>
  <si>
    <t>重庆雄业玩具制衣有限公司</t>
    <phoneticPr fontId="22" type="noConversion"/>
  </si>
  <si>
    <t>9016311</t>
    <phoneticPr fontId="22" type="noConversion"/>
  </si>
  <si>
    <t>秋实货运到付</t>
    <phoneticPr fontId="22" type="noConversion"/>
  </si>
  <si>
    <t>9016274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</si>
  <si>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N11CN</t>
    </r>
    <phoneticPr fontId="22" type="noConversion"/>
  </si>
  <si>
    <t>百年实木家具</t>
    <phoneticPr fontId="22" type="noConversion"/>
  </si>
  <si>
    <t>9016312</t>
    <phoneticPr fontId="22" type="noConversion"/>
  </si>
  <si>
    <t>申通快递现付</t>
    <phoneticPr fontId="22" type="noConversion"/>
  </si>
  <si>
    <t>重庆川田门厂有限责任公司</t>
    <phoneticPr fontId="22" type="noConversion"/>
  </si>
  <si>
    <t>9016313</t>
    <phoneticPr fontId="22" type="noConversion"/>
  </si>
  <si>
    <t>9016275</t>
    <phoneticPr fontId="22" type="noConversion"/>
  </si>
  <si>
    <t>重庆大宁河塑胶有限公司</t>
    <phoneticPr fontId="22" type="noConversion"/>
  </si>
  <si>
    <t>9016314</t>
    <phoneticPr fontId="22" type="noConversion"/>
  </si>
  <si>
    <t>重庆通渝货运到付</t>
    <phoneticPr fontId="22" type="noConversion"/>
  </si>
  <si>
    <t>311-1101</t>
    <phoneticPr fontId="22" type="noConversion"/>
  </si>
  <si>
    <t>9016315</t>
    <phoneticPr fontId="22" type="noConversion"/>
  </si>
  <si>
    <t>重庆宝川矿山机电有限公司</t>
    <phoneticPr fontId="22" type="noConversion"/>
  </si>
  <si>
    <t>9016277</t>
    <phoneticPr fontId="22" type="noConversion"/>
  </si>
  <si>
    <t>重庆中山劳保用品有限公司</t>
    <phoneticPr fontId="22" type="noConversion"/>
  </si>
  <si>
    <r>
      <t>8</t>
    </r>
    <r>
      <rPr>
        <sz val="10"/>
        <color indexed="8"/>
        <rFont val="宋体"/>
        <family val="3"/>
        <charset val="134"/>
      </rPr>
      <t>2700 W96</t>
    </r>
    <phoneticPr fontId="22" type="noConversion"/>
  </si>
  <si>
    <t>01758433</t>
    <phoneticPr fontId="22" type="noConversion"/>
  </si>
  <si>
    <t>391-1000</t>
    <phoneticPr fontId="22" type="noConversion"/>
  </si>
  <si>
    <t>391-1001</t>
    <phoneticPr fontId="22" type="noConversion"/>
  </si>
  <si>
    <t>01758447</t>
    <phoneticPr fontId="22" type="noConversion"/>
  </si>
  <si>
    <t>刘飞俭</t>
    <phoneticPr fontId="22" type="noConversion"/>
  </si>
  <si>
    <t>13885124173</t>
    <phoneticPr fontId="22" type="noConversion"/>
  </si>
  <si>
    <t>贵阳市</t>
    <phoneticPr fontId="22" type="noConversion"/>
  </si>
  <si>
    <t>0010915</t>
    <phoneticPr fontId="22" type="noConversion"/>
  </si>
  <si>
    <t>9016276</t>
    <phoneticPr fontId="22" type="noConversion"/>
  </si>
  <si>
    <r>
      <t>1</t>
    </r>
    <r>
      <rPr>
        <sz val="10"/>
        <color indexed="8"/>
        <rFont val="宋体"/>
        <family val="3"/>
        <charset val="134"/>
      </rPr>
      <t>711AF</t>
    </r>
    <phoneticPr fontId="22" type="noConversion"/>
  </si>
  <si>
    <t>9016278</t>
    <phoneticPr fontId="22" type="noConversion"/>
  </si>
  <si>
    <t>重庆市渝北区</t>
    <phoneticPr fontId="22" type="noConversion"/>
  </si>
  <si>
    <t>023162231239</t>
    <phoneticPr fontId="22" type="noConversion"/>
  </si>
  <si>
    <t>9016279</t>
    <phoneticPr fontId="22" type="noConversion"/>
  </si>
  <si>
    <t>严隆进个人</t>
    <phoneticPr fontId="22" type="noConversion"/>
  </si>
  <si>
    <t>9016316</t>
    <phoneticPr fontId="22" type="noConversion"/>
  </si>
  <si>
    <t>9016280</t>
    <phoneticPr fontId="22" type="noConversion"/>
  </si>
  <si>
    <t>云南劳保批发部</t>
    <phoneticPr fontId="22" type="noConversion"/>
  </si>
  <si>
    <t>9016320</t>
    <phoneticPr fontId="22" type="noConversion"/>
  </si>
  <si>
    <t>顾萍</t>
    <phoneticPr fontId="22" type="noConversion"/>
  </si>
  <si>
    <t>13529844884  0873-7131419</t>
    <phoneticPr fontId="22" type="noConversion"/>
  </si>
  <si>
    <t>云南省红河州开远市西北路17号</t>
    <phoneticPr fontId="22" type="noConversion"/>
  </si>
  <si>
    <t>023162172084</t>
    <phoneticPr fontId="22" type="noConversion"/>
  </si>
  <si>
    <t>云南省红河州开远市西北路19号</t>
    <phoneticPr fontId="22" type="noConversion"/>
  </si>
  <si>
    <t>重庆海兰服装劳保有限公司</t>
    <phoneticPr fontId="22" type="noConversion"/>
  </si>
  <si>
    <t>5016021</t>
    <phoneticPr fontId="22" type="noConversion"/>
  </si>
  <si>
    <t>钱开兰</t>
    <phoneticPr fontId="22" type="noConversion"/>
  </si>
  <si>
    <t>15320381097</t>
    <phoneticPr fontId="22" type="noConversion"/>
  </si>
  <si>
    <t>5016022</t>
    <phoneticPr fontId="22" type="noConversion"/>
  </si>
  <si>
    <t>高新物流到付</t>
    <phoneticPr fontId="22" type="noConversion"/>
  </si>
  <si>
    <t>0027672</t>
    <phoneticPr fontId="22" type="noConversion"/>
  </si>
  <si>
    <t>5016023</t>
    <phoneticPr fontId="22" type="noConversion"/>
  </si>
  <si>
    <t>15215005836</t>
    <phoneticPr fontId="22" type="noConversion"/>
  </si>
  <si>
    <t>023162172093</t>
    <phoneticPr fontId="22" type="noConversion"/>
  </si>
  <si>
    <t>00269126</t>
    <phoneticPr fontId="22" type="noConversion"/>
  </si>
  <si>
    <t>重庆朕尔科技有限公司</t>
    <phoneticPr fontId="22" type="noConversion"/>
  </si>
  <si>
    <t>5016024</t>
    <phoneticPr fontId="22" type="noConversion"/>
  </si>
  <si>
    <t>01911447</t>
    <phoneticPr fontId="22" type="noConversion"/>
  </si>
  <si>
    <t>重庆开元松下焊机销售有限公司</t>
    <phoneticPr fontId="22" type="noConversion"/>
  </si>
  <si>
    <t>5016025</t>
    <phoneticPr fontId="22" type="noConversion"/>
  </si>
  <si>
    <t>左雪莲</t>
    <phoneticPr fontId="22" type="noConversion"/>
  </si>
  <si>
    <t>13696487831</t>
    <phoneticPr fontId="22" type="noConversion"/>
  </si>
  <si>
    <t>重庆市九龙坡区杨家坪直港大道18号</t>
    <phoneticPr fontId="22" type="noConversion"/>
  </si>
  <si>
    <t>01799332</t>
    <phoneticPr fontId="22" type="noConversion"/>
  </si>
  <si>
    <t>023000438488</t>
    <phoneticPr fontId="22" type="noConversion"/>
  </si>
  <si>
    <t>5016041</t>
    <phoneticPr fontId="22" type="noConversion"/>
  </si>
  <si>
    <t>力宏物流到付</t>
    <phoneticPr fontId="22" type="noConversion"/>
  </si>
  <si>
    <t>0008394</t>
    <phoneticPr fontId="22" type="noConversion"/>
  </si>
  <si>
    <t>01799328</t>
    <phoneticPr fontId="22" type="noConversion"/>
  </si>
  <si>
    <t>761064858175</t>
    <phoneticPr fontId="22" type="noConversion"/>
  </si>
  <si>
    <t>重庆和平制药有限公司</t>
    <phoneticPr fontId="22" type="noConversion"/>
  </si>
  <si>
    <t>5016026</t>
    <phoneticPr fontId="22" type="noConversion"/>
  </si>
  <si>
    <t>刘春</t>
    <phoneticPr fontId="22" type="noConversion"/>
  </si>
  <si>
    <t>15998983216</t>
    <phoneticPr fontId="22" type="noConversion"/>
  </si>
  <si>
    <t>重庆市铜梁县白龙三路9号</t>
    <phoneticPr fontId="22" type="noConversion"/>
  </si>
  <si>
    <t>023162172190</t>
    <phoneticPr fontId="22" type="noConversion"/>
  </si>
  <si>
    <t>01799330</t>
    <phoneticPr fontId="22" type="noConversion"/>
  </si>
  <si>
    <t>761064858114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</si>
  <si>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11-1250</t>
    </r>
    <phoneticPr fontId="22" type="noConversion"/>
  </si>
  <si>
    <t>玉土五金劳保消防</t>
    <phoneticPr fontId="22" type="noConversion"/>
  </si>
  <si>
    <t>5016042</t>
    <phoneticPr fontId="22" type="noConversion"/>
  </si>
  <si>
    <t>龚玉奎</t>
    <phoneticPr fontId="22" type="noConversion"/>
  </si>
  <si>
    <t>15923728653</t>
    <phoneticPr fontId="22" type="noConversion"/>
  </si>
  <si>
    <t>重庆市涪陵区</t>
    <phoneticPr fontId="22" type="noConversion"/>
  </si>
  <si>
    <t>0018047</t>
    <phoneticPr fontId="22" type="noConversion"/>
  </si>
  <si>
    <r>
      <t>9002</t>
    </r>
    <r>
      <rPr>
        <sz val="10"/>
        <color indexed="8"/>
        <rFont val="宋体"/>
        <family val="3"/>
        <charset val="134"/>
      </rPr>
      <t>A</t>
    </r>
    <phoneticPr fontId="22" type="noConversion"/>
  </si>
  <si>
    <t>中通快递现付</t>
    <phoneticPr fontId="22" type="noConversion"/>
  </si>
  <si>
    <t>昆明市环城南路666号云纺国际商厦4F-65</t>
    <phoneticPr fontId="22" type="noConversion"/>
  </si>
  <si>
    <t>751802767647</t>
    <phoneticPr fontId="22" type="noConversion"/>
  </si>
  <si>
    <t>重庆西亭科技有限公司</t>
    <phoneticPr fontId="22" type="noConversion"/>
  </si>
  <si>
    <t>5016043</t>
    <phoneticPr fontId="22" type="noConversion"/>
  </si>
  <si>
    <t>李金穗</t>
    <phoneticPr fontId="22" type="noConversion"/>
  </si>
  <si>
    <t>13101396026</t>
    <phoneticPr fontId="22" type="noConversion"/>
  </si>
  <si>
    <t>重庆市渝北区新南路168号龙湖MOCO二栋613室</t>
    <phoneticPr fontId="22" type="noConversion"/>
  </si>
  <si>
    <t>5016027</t>
    <phoneticPr fontId="22" type="noConversion"/>
  </si>
  <si>
    <t>顺昌建辉到付</t>
    <phoneticPr fontId="22" type="noConversion"/>
  </si>
  <si>
    <t>渝北区</t>
    <phoneticPr fontId="22" type="noConversion"/>
  </si>
  <si>
    <t>0022130</t>
    <phoneticPr fontId="22" type="noConversion"/>
  </si>
  <si>
    <t>5016047</t>
    <phoneticPr fontId="22" type="noConversion"/>
  </si>
  <si>
    <t>5016045</t>
    <phoneticPr fontId="22" type="noConversion"/>
  </si>
  <si>
    <t>5016028</t>
    <phoneticPr fontId="22" type="noConversion"/>
  </si>
  <si>
    <t>023162172118</t>
    <phoneticPr fontId="22" type="noConversion"/>
  </si>
  <si>
    <t>023162172127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</si>
  <si>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20D</t>
    </r>
    <phoneticPr fontId="22" type="noConversion"/>
  </si>
  <si>
    <t>5016048</t>
    <phoneticPr fontId="22" type="noConversion"/>
  </si>
  <si>
    <t>李光银</t>
    <phoneticPr fontId="22" type="noConversion"/>
  </si>
  <si>
    <t>18725666444</t>
    <phoneticPr fontId="22" type="noConversion"/>
  </si>
  <si>
    <t>合川</t>
    <phoneticPr fontId="22" type="noConversion"/>
  </si>
  <si>
    <t>重庆市东部水务技术开发有限公司</t>
    <phoneticPr fontId="22" type="noConversion"/>
  </si>
  <si>
    <t>tychem-F</t>
    <phoneticPr fontId="22" type="noConversion"/>
  </si>
  <si>
    <t>0003203</t>
    <phoneticPr fontId="22" type="noConversion"/>
  </si>
  <si>
    <t>00269127</t>
    <phoneticPr fontId="22" type="noConversion"/>
  </si>
  <si>
    <t>751802767646</t>
    <phoneticPr fontId="22" type="noConversion"/>
  </si>
  <si>
    <t>K-1001B</t>
    <phoneticPr fontId="22" type="noConversion"/>
  </si>
  <si>
    <t>箱</t>
    <phoneticPr fontId="22" type="noConversion"/>
  </si>
  <si>
    <t>条</t>
    <phoneticPr fontId="22" type="noConversion"/>
  </si>
  <si>
    <t>重庆腾辉涪陵水泥有限公司合川分公司</t>
    <phoneticPr fontId="22" type="noConversion"/>
  </si>
  <si>
    <t>0003204</t>
    <phoneticPr fontId="22" type="noConversion"/>
  </si>
  <si>
    <t>01799331</t>
    <phoneticPr fontId="22" type="noConversion"/>
  </si>
  <si>
    <t>761064858115</t>
    <phoneticPr fontId="22" type="noConversion"/>
  </si>
  <si>
    <t>昆明腾祺商贸有限公司</t>
    <phoneticPr fontId="22" type="noConversion"/>
  </si>
  <si>
    <t>01799333-01799334-01799335-01799336-01799337</t>
    <phoneticPr fontId="22" type="noConversion"/>
  </si>
  <si>
    <t>11400-11400-11400-11400-11400</t>
    <phoneticPr fontId="22" type="noConversion"/>
  </si>
  <si>
    <t>761064858113</t>
    <phoneticPr fontId="22" type="noConversion"/>
  </si>
  <si>
    <t>重庆拓扬机电有限公司</t>
    <phoneticPr fontId="22" type="noConversion"/>
  </si>
  <si>
    <t>5016049</t>
    <phoneticPr fontId="22" type="noConversion"/>
  </si>
  <si>
    <t>毛老师</t>
    <phoneticPr fontId="22" type="noConversion"/>
  </si>
  <si>
    <t>13883888699</t>
    <phoneticPr fontId="22" type="noConversion"/>
  </si>
  <si>
    <t>巴南区龙洲大道99号龙洲花园9栋2-6-1</t>
    <phoneticPr fontId="22" type="noConversion"/>
  </si>
  <si>
    <t>01299204</t>
    <phoneticPr fontId="22" type="noConversion"/>
  </si>
  <si>
    <t>761064858186</t>
    <phoneticPr fontId="22" type="noConversion"/>
  </si>
  <si>
    <t>宜宾市上走马街28号3楼A座</t>
    <phoneticPr fontId="22" type="noConversion"/>
  </si>
  <si>
    <t>023162172781</t>
    <phoneticPr fontId="22" type="noConversion"/>
  </si>
  <si>
    <t>01299193-01299194-01299195-01299196-01299197-01299198-01299199-01299200</t>
    <phoneticPr fontId="22" type="noConversion"/>
  </si>
  <si>
    <t>11160-11408-11614.44-11000-11000-11000-11000-11000</t>
    <phoneticPr fontId="22" type="noConversion"/>
  </si>
  <si>
    <t>023000458879</t>
    <phoneticPr fontId="22" type="noConversion"/>
  </si>
  <si>
    <t>5016031</t>
    <phoneticPr fontId="22" type="noConversion"/>
  </si>
  <si>
    <t>刘玲</t>
    <phoneticPr fontId="22" type="noConversion"/>
  </si>
  <si>
    <t>15213290147/139838385CN15</t>
    <phoneticPr fontId="22" type="noConversion"/>
  </si>
  <si>
    <t>重庆市合川区上什字西路74号</t>
    <phoneticPr fontId="22" type="noConversion"/>
  </si>
  <si>
    <t>761064858116</t>
    <phoneticPr fontId="22" type="noConversion"/>
  </si>
  <si>
    <t>5016050</t>
    <phoneticPr fontId="22" type="noConversion"/>
  </si>
  <si>
    <t>黎安平</t>
    <phoneticPr fontId="22" type="noConversion"/>
  </si>
  <si>
    <t>13896055976</t>
    <phoneticPr fontId="22" type="noConversion"/>
  </si>
  <si>
    <t>0057525</t>
    <phoneticPr fontId="22" type="noConversion"/>
  </si>
  <si>
    <t>重庆市豪安家具有限公司</t>
    <phoneticPr fontId="22" type="noConversion"/>
  </si>
  <si>
    <t>5016029</t>
    <phoneticPr fontId="22" type="noConversion"/>
  </si>
  <si>
    <t>金喷货运现付</t>
    <phoneticPr fontId="22" type="noConversion"/>
  </si>
  <si>
    <t>张善元</t>
    <phoneticPr fontId="22" type="noConversion"/>
  </si>
  <si>
    <t>13212370503</t>
    <phoneticPr fontId="22" type="noConversion"/>
  </si>
  <si>
    <t>开县</t>
    <phoneticPr fontId="22" type="noConversion"/>
  </si>
  <si>
    <t>0019130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</si>
  <si>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7-175</t>
    </r>
    <phoneticPr fontId="22" type="noConversion"/>
  </si>
  <si>
    <r>
      <t>9</t>
    </r>
    <r>
      <rPr>
        <sz val="10"/>
        <color indexed="8"/>
        <rFont val="宋体"/>
        <family val="3"/>
        <charset val="134"/>
      </rPr>
      <t>041A</t>
    </r>
    <phoneticPr fontId="22" type="noConversion"/>
  </si>
  <si>
    <t>5016051</t>
    <phoneticPr fontId="22" type="noConversion"/>
  </si>
  <si>
    <t>0057696</t>
    <phoneticPr fontId="22" type="noConversion"/>
  </si>
  <si>
    <t>贵州宏都医疗机械有限公司</t>
    <phoneticPr fontId="22" type="noConversion"/>
  </si>
  <si>
    <t>张健</t>
    <phoneticPr fontId="22" type="noConversion"/>
  </si>
  <si>
    <t>13885615523</t>
    <phoneticPr fontId="22" type="noConversion"/>
  </si>
  <si>
    <t>贵州省铜仁市大江南路官地湾小区门米昂</t>
    <phoneticPr fontId="22" type="noConversion"/>
  </si>
  <si>
    <t>023162172136</t>
    <phoneticPr fontId="22" type="noConversion"/>
  </si>
  <si>
    <t>贵州宏达诚商贸有限公司</t>
    <phoneticPr fontId="22" type="noConversion"/>
  </si>
  <si>
    <t>鸿泽货运到付</t>
    <phoneticPr fontId="22" type="noConversion"/>
  </si>
  <si>
    <t>颜汀</t>
    <phoneticPr fontId="22" type="noConversion"/>
  </si>
  <si>
    <t>13809487745</t>
    <phoneticPr fontId="22" type="noConversion"/>
  </si>
  <si>
    <t>0019321</t>
    <phoneticPr fontId="22" type="noConversion"/>
  </si>
  <si>
    <t>01299186-01299187</t>
    <phoneticPr fontId="22" type="noConversion"/>
  </si>
  <si>
    <t>10780-7677.6</t>
    <phoneticPr fontId="22" type="noConversion"/>
  </si>
  <si>
    <t>718096013736</t>
    <phoneticPr fontId="22" type="noConversion"/>
  </si>
  <si>
    <t>5015055</t>
    <phoneticPr fontId="22" type="noConversion"/>
  </si>
  <si>
    <t>渝北</t>
    <phoneticPr fontId="22" type="noConversion"/>
  </si>
  <si>
    <t>0020320</t>
    <phoneticPr fontId="22" type="noConversion"/>
  </si>
  <si>
    <t>重庆煌辉化学危险品销售有限公司</t>
    <phoneticPr fontId="22" type="noConversion"/>
  </si>
  <si>
    <t>5016057</t>
    <phoneticPr fontId="22" type="noConversion"/>
  </si>
  <si>
    <t>付强</t>
    <phoneticPr fontId="22" type="noConversion"/>
  </si>
  <si>
    <t>13627687245</t>
    <phoneticPr fontId="22" type="noConversion"/>
  </si>
  <si>
    <t>01799327</t>
    <phoneticPr fontId="22" type="noConversion"/>
  </si>
  <si>
    <r>
      <t>C</t>
    </r>
    <r>
      <rPr>
        <sz val="10"/>
        <color indexed="8"/>
        <rFont val="宋体"/>
        <family val="3"/>
        <charset val="134"/>
      </rPr>
      <t>_FL550DD</t>
    </r>
    <phoneticPr fontId="22" type="noConversion"/>
  </si>
  <si>
    <t>盒</t>
    <phoneticPr fontId="22" type="noConversion"/>
  </si>
  <si>
    <t>有机蒸汽异味及颗粒物滤棉</t>
    <phoneticPr fontId="22" type="noConversion"/>
  </si>
  <si>
    <t>0003206</t>
    <phoneticPr fontId="22" type="noConversion"/>
  </si>
  <si>
    <t>温雷</t>
    <phoneticPr fontId="22" type="noConversion"/>
  </si>
  <si>
    <t>18602381812</t>
    <phoneticPr fontId="22" type="noConversion"/>
  </si>
  <si>
    <t>01799326</t>
    <phoneticPr fontId="22" type="noConversion"/>
  </si>
  <si>
    <t>中通现付</t>
    <phoneticPr fontId="22" type="noConversion"/>
  </si>
  <si>
    <t>761064858112</t>
    <phoneticPr fontId="22" type="noConversion"/>
  </si>
  <si>
    <t>荣昌县远达建材有限公司</t>
    <phoneticPr fontId="22" type="noConversion"/>
  </si>
  <si>
    <t>5016059</t>
    <phoneticPr fontId="22" type="noConversion"/>
  </si>
  <si>
    <t>陈建</t>
    <phoneticPr fontId="22" type="noConversion"/>
  </si>
  <si>
    <t>13018348776</t>
    <phoneticPr fontId="22" type="noConversion"/>
  </si>
  <si>
    <t>荣昌</t>
    <phoneticPr fontId="22" type="noConversion"/>
  </si>
  <si>
    <t>0039300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</si>
  <si>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M</t>
    </r>
    <phoneticPr fontId="22" type="noConversion"/>
  </si>
  <si>
    <t>5016052</t>
    <phoneticPr fontId="22" type="noConversion"/>
  </si>
  <si>
    <t>01299205</t>
    <phoneticPr fontId="22" type="noConversion"/>
  </si>
  <si>
    <t>终端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</si>
  <si>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M</t>
    </r>
    <phoneticPr fontId="22" type="noConversion"/>
  </si>
  <si>
    <t>白色带帽连体防护服</t>
    <phoneticPr fontId="22" type="noConversion"/>
  </si>
  <si>
    <t>件</t>
    <phoneticPr fontId="22" type="noConversion"/>
  </si>
  <si>
    <t>5016052</t>
    <phoneticPr fontId="22" type="noConversion"/>
  </si>
  <si>
    <t>自提</t>
    <phoneticPr fontId="22" type="noConversion"/>
  </si>
  <si>
    <t>轻便型防护眼镜（透明镜片，防雾）</t>
    <phoneticPr fontId="22" type="noConversion"/>
  </si>
  <si>
    <t>付</t>
    <phoneticPr fontId="22" type="noConversion"/>
  </si>
  <si>
    <t>重庆创新劳动防护用品有限公司</t>
    <phoneticPr fontId="22" type="noConversion"/>
  </si>
  <si>
    <t>片</t>
    <phoneticPr fontId="22" type="noConversion"/>
  </si>
  <si>
    <t>5016058</t>
    <phoneticPr fontId="22" type="noConversion"/>
  </si>
  <si>
    <t>刘永刚</t>
    <phoneticPr fontId="22" type="noConversion"/>
  </si>
  <si>
    <t>15909319509</t>
    <phoneticPr fontId="22" type="noConversion"/>
  </si>
  <si>
    <t>01799346-01799347</t>
    <phoneticPr fontId="22" type="noConversion"/>
  </si>
  <si>
    <t>11697-11698.6</t>
    <phoneticPr fontId="22" type="noConversion"/>
  </si>
  <si>
    <t>718096013741</t>
    <phoneticPr fontId="22" type="noConversion"/>
  </si>
  <si>
    <t>渠道</t>
    <phoneticPr fontId="22" type="noConversion"/>
  </si>
  <si>
    <t>渝北区广源劳保用品经营部</t>
    <phoneticPr fontId="22" type="noConversion"/>
  </si>
  <si>
    <t>个</t>
    <phoneticPr fontId="22" type="noConversion"/>
  </si>
  <si>
    <t>农行对私</t>
    <phoneticPr fontId="22" type="noConversion"/>
  </si>
  <si>
    <t>5016044</t>
    <phoneticPr fontId="22" type="noConversion"/>
  </si>
  <si>
    <t>顺丰到付</t>
    <phoneticPr fontId="22" type="noConversion"/>
  </si>
  <si>
    <t>刘军</t>
    <phoneticPr fontId="22" type="noConversion"/>
  </si>
  <si>
    <t>13452102967</t>
    <phoneticPr fontId="22" type="noConversion"/>
  </si>
  <si>
    <t>重庆渝北回兴街道双湖路133号</t>
    <phoneticPr fontId="22" type="noConversion"/>
  </si>
  <si>
    <t>023167333459</t>
    <phoneticPr fontId="22" type="noConversion"/>
  </si>
  <si>
    <t>手提挂墙急救箱</t>
    <phoneticPr fontId="22" type="noConversion"/>
  </si>
  <si>
    <t>K-014B</t>
    <phoneticPr fontId="22" type="noConversion"/>
  </si>
  <si>
    <t>箱</t>
    <phoneticPr fontId="22" type="noConversion"/>
  </si>
  <si>
    <t>高新物流到付</t>
    <phoneticPr fontId="22" type="noConversion"/>
  </si>
  <si>
    <t>0016669</t>
    <phoneticPr fontId="22" type="noConversion"/>
  </si>
  <si>
    <t>重庆永荣矿业有限公司洗选厂</t>
    <phoneticPr fontId="22" type="noConversion"/>
  </si>
  <si>
    <t>现金</t>
    <phoneticPr fontId="22" type="noConversion"/>
  </si>
  <si>
    <t>5016033</t>
    <phoneticPr fontId="22" type="noConversion"/>
  </si>
  <si>
    <t>刘老师</t>
    <phoneticPr fontId="22" type="noConversion"/>
  </si>
  <si>
    <t>13996463557</t>
    <phoneticPr fontId="22" type="noConversion"/>
  </si>
  <si>
    <t>重庆大足邮亭工业园区</t>
    <phoneticPr fontId="22" type="noConversion"/>
  </si>
  <si>
    <t>00269128</t>
    <phoneticPr fontId="22" type="noConversion"/>
  </si>
  <si>
    <t>普票</t>
    <phoneticPr fontId="22" type="noConversion"/>
  </si>
  <si>
    <t>贵州久煜物资有限公司</t>
    <phoneticPr fontId="22" type="noConversion"/>
  </si>
  <si>
    <t>酸性气体防护口罩</t>
    <phoneticPr fontId="22" type="noConversion"/>
  </si>
  <si>
    <t>中行对公3323  农行对私1176</t>
    <phoneticPr fontId="22" type="noConversion"/>
  </si>
  <si>
    <t>力宏物流到付</t>
    <phoneticPr fontId="22" type="noConversion"/>
  </si>
  <si>
    <t>李平</t>
    <phoneticPr fontId="22" type="noConversion"/>
  </si>
  <si>
    <t>13985105894</t>
    <phoneticPr fontId="22" type="noConversion"/>
  </si>
  <si>
    <t>贵阳</t>
    <phoneticPr fontId="22" type="noConversion"/>
  </si>
  <si>
    <t>0004230</t>
    <phoneticPr fontId="22" type="noConversion"/>
  </si>
  <si>
    <t>01799328</t>
    <phoneticPr fontId="22" type="noConversion"/>
  </si>
  <si>
    <t>761064858175</t>
    <phoneticPr fontId="22" type="noConversion"/>
  </si>
  <si>
    <t>双滤盒半面罩</t>
    <phoneticPr fontId="22" type="noConversion"/>
  </si>
  <si>
    <t>B209</t>
    <phoneticPr fontId="22" type="noConversion"/>
  </si>
  <si>
    <t>滤毒盒</t>
    <phoneticPr fontId="22" type="noConversion"/>
  </si>
  <si>
    <t>G104</t>
    <phoneticPr fontId="22" type="noConversion"/>
  </si>
  <si>
    <t>重庆市港腾科技有限公司</t>
    <phoneticPr fontId="22" type="noConversion"/>
  </si>
  <si>
    <t>5016032</t>
    <phoneticPr fontId="22" type="noConversion"/>
  </si>
  <si>
    <t>中通现付</t>
    <phoneticPr fontId="22" type="noConversion"/>
  </si>
  <si>
    <t>张秀英</t>
    <phoneticPr fontId="22" type="noConversion"/>
  </si>
  <si>
    <t>13452968271</t>
    <phoneticPr fontId="22" type="noConversion"/>
  </si>
  <si>
    <t>西彭工业园</t>
    <phoneticPr fontId="22" type="noConversion"/>
  </si>
  <si>
    <t>751803064395</t>
    <phoneticPr fontId="22" type="noConversion"/>
  </si>
  <si>
    <t>01799338</t>
    <phoneticPr fontId="22" type="noConversion"/>
  </si>
  <si>
    <t>中国款流线型防护眼镜（透明镜片，防雾）</t>
    <phoneticPr fontId="22" type="noConversion"/>
  </si>
  <si>
    <t>重庆建工工业有限公司</t>
    <phoneticPr fontId="22" type="noConversion"/>
  </si>
  <si>
    <t>0003208</t>
    <phoneticPr fontId="22" type="noConversion"/>
  </si>
  <si>
    <t>送货上门</t>
    <phoneticPr fontId="22" type="noConversion"/>
  </si>
  <si>
    <t>刘均</t>
    <phoneticPr fontId="22" type="noConversion"/>
  </si>
  <si>
    <t>18696611456</t>
    <phoneticPr fontId="22" type="noConversion"/>
  </si>
  <si>
    <t>江津</t>
    <phoneticPr fontId="22" type="noConversion"/>
  </si>
  <si>
    <t>01799350-01799349-01799348</t>
    <phoneticPr fontId="22" type="noConversion"/>
  </si>
  <si>
    <t>11325-11000-11655</t>
    <phoneticPr fontId="22" type="noConversion"/>
  </si>
  <si>
    <t>761064858174</t>
    <phoneticPr fontId="22" type="noConversion"/>
  </si>
  <si>
    <t>全面具视窗保护膜</t>
    <phoneticPr fontId="22" type="noConversion"/>
  </si>
  <si>
    <t>100V自动变光焊接面罩</t>
    <phoneticPr fontId="22" type="noConversion"/>
  </si>
  <si>
    <t>送票上门</t>
    <phoneticPr fontId="22" type="noConversion"/>
  </si>
  <si>
    <t>重庆川仪自动化股份有限公司执行器分公司</t>
    <phoneticPr fontId="22" type="noConversion"/>
  </si>
  <si>
    <t>子弹型带线耳塞</t>
    <phoneticPr fontId="22" type="noConversion"/>
  </si>
  <si>
    <t>5016060</t>
    <phoneticPr fontId="22" type="noConversion"/>
  </si>
  <si>
    <t>重庆三恩科技发展有限公司</t>
    <phoneticPr fontId="22" type="noConversion"/>
  </si>
  <si>
    <t>9015381</t>
    <phoneticPr fontId="22" type="noConversion"/>
  </si>
  <si>
    <t>01799340</t>
    <phoneticPr fontId="22" type="noConversion"/>
  </si>
  <si>
    <t>023000438487</t>
    <phoneticPr fontId="22" type="noConversion"/>
  </si>
  <si>
    <t>9015383</t>
    <phoneticPr fontId="22" type="noConversion"/>
  </si>
  <si>
    <t>0003426</t>
    <phoneticPr fontId="22" type="noConversion"/>
  </si>
  <si>
    <t>3N11CN</t>
    <phoneticPr fontId="22" type="noConversion"/>
  </si>
  <si>
    <t>重庆长安跨越车辆有限公司</t>
    <phoneticPr fontId="22" type="noConversion"/>
  </si>
  <si>
    <t>焊接防护眼罩</t>
    <phoneticPr fontId="22" type="noConversion"/>
  </si>
  <si>
    <t>5016034</t>
    <phoneticPr fontId="22" type="noConversion"/>
  </si>
  <si>
    <t>周昌勤</t>
    <phoneticPr fontId="22" type="noConversion"/>
  </si>
  <si>
    <t>18623520833</t>
    <phoneticPr fontId="22" type="noConversion"/>
  </si>
  <si>
    <t>重庆市万州区申明北路77号</t>
    <phoneticPr fontId="22" type="noConversion"/>
  </si>
  <si>
    <t>718096013788</t>
    <phoneticPr fontId="22" type="noConversion"/>
  </si>
  <si>
    <t>01911464</t>
    <phoneticPr fontId="22" type="noConversion"/>
  </si>
  <si>
    <t>718102646480</t>
    <phoneticPr fontId="22" type="noConversion"/>
  </si>
  <si>
    <t>重庆煌辉化学危险品销售有限公司</t>
    <phoneticPr fontId="22" type="noConversion"/>
  </si>
  <si>
    <t>爱护佳免洗手消毒液</t>
    <phoneticPr fontId="22" type="noConversion"/>
  </si>
  <si>
    <t>9250P</t>
    <phoneticPr fontId="22" type="noConversion"/>
  </si>
  <si>
    <t>瓶</t>
    <phoneticPr fontId="22" type="noConversion"/>
  </si>
  <si>
    <t>9016384</t>
    <phoneticPr fontId="22" type="noConversion"/>
  </si>
  <si>
    <t>付强</t>
    <phoneticPr fontId="22" type="noConversion"/>
  </si>
  <si>
    <t>13627687245</t>
    <phoneticPr fontId="22" type="noConversion"/>
  </si>
  <si>
    <t>01799341</t>
    <phoneticPr fontId="22" type="noConversion"/>
  </si>
  <si>
    <t>023000404159</t>
    <phoneticPr fontId="22" type="noConversion"/>
  </si>
  <si>
    <t>已付款2493</t>
    <phoneticPr fontId="22" type="noConversion"/>
  </si>
  <si>
    <t>垫江伟泰家具</t>
    <phoneticPr fontId="22" type="noConversion"/>
  </si>
  <si>
    <t>5016038</t>
    <phoneticPr fontId="22" type="noConversion"/>
  </si>
  <si>
    <t>5016038</t>
    <phoneticPr fontId="22" type="noConversion"/>
  </si>
  <si>
    <t>垫江伟泰家具</t>
    <phoneticPr fontId="22" type="noConversion"/>
  </si>
  <si>
    <t>9001V</t>
    <phoneticPr fontId="22" type="noConversion"/>
  </si>
  <si>
    <t>重庆市港腾科技有限公司</t>
    <phoneticPr fontId="22" type="noConversion"/>
  </si>
  <si>
    <t>5016039</t>
    <phoneticPr fontId="22" type="noConversion"/>
  </si>
  <si>
    <t>张秀英</t>
    <phoneticPr fontId="22" type="noConversion"/>
  </si>
  <si>
    <t>13452968271</t>
    <phoneticPr fontId="22" type="noConversion"/>
  </si>
  <si>
    <t>重庆市西彭工业园</t>
    <phoneticPr fontId="22" type="noConversion"/>
  </si>
  <si>
    <t>751803064396</t>
    <phoneticPr fontId="22" type="noConversion"/>
  </si>
  <si>
    <t>01799346-01799347</t>
    <phoneticPr fontId="22" type="noConversion"/>
  </si>
  <si>
    <t>11697-11698.6</t>
    <phoneticPr fontId="22" type="noConversion"/>
  </si>
  <si>
    <t>718096013741</t>
    <phoneticPr fontId="22" type="noConversion"/>
  </si>
  <si>
    <t>9015382</t>
    <phoneticPr fontId="22" type="noConversion"/>
  </si>
  <si>
    <t>两路</t>
    <phoneticPr fontId="22" type="noConversion"/>
  </si>
  <si>
    <t>0009664</t>
    <phoneticPr fontId="22" type="noConversion"/>
  </si>
  <si>
    <t>9015385</t>
    <phoneticPr fontId="22" type="noConversion"/>
  </si>
  <si>
    <t>斯博瑞安</t>
    <phoneticPr fontId="22" type="noConversion"/>
  </si>
  <si>
    <t>BC6240470</t>
    <phoneticPr fontId="22" type="noConversion"/>
  </si>
  <si>
    <t>9015361</t>
    <phoneticPr fontId="22" type="noConversion"/>
  </si>
  <si>
    <t>0006394</t>
    <phoneticPr fontId="22" type="noConversion"/>
  </si>
  <si>
    <t>01799339</t>
    <phoneticPr fontId="22" type="noConversion"/>
  </si>
  <si>
    <t>761064858188</t>
    <phoneticPr fontId="22" type="noConversion"/>
  </si>
  <si>
    <t>代尔塔</t>
    <phoneticPr fontId="22" type="noConversion"/>
  </si>
  <si>
    <t>9015364</t>
    <phoneticPr fontId="22" type="noConversion"/>
  </si>
  <si>
    <t>刘均</t>
    <phoneticPr fontId="22" type="noConversion"/>
  </si>
  <si>
    <t>18696611456</t>
    <phoneticPr fontId="22" type="noConversion"/>
  </si>
  <si>
    <t>江津珞璜工业园</t>
    <phoneticPr fontId="22" type="noConversion"/>
  </si>
  <si>
    <t>01911448-01911449-01911450-01911451-01911451-01911452-01911453</t>
    <phoneticPr fontId="22" type="noConversion"/>
  </si>
  <si>
    <t>9015363</t>
    <phoneticPr fontId="22" type="noConversion"/>
  </si>
  <si>
    <t>0006395</t>
    <phoneticPr fontId="22" type="noConversion"/>
  </si>
  <si>
    <t>昆明瀚德经贸有限公司</t>
    <phoneticPr fontId="22" type="noConversion"/>
  </si>
  <si>
    <t>9015365</t>
    <phoneticPr fontId="22" type="noConversion"/>
  </si>
  <si>
    <t>金顺达到付</t>
    <phoneticPr fontId="22" type="noConversion"/>
  </si>
  <si>
    <t>杨伟</t>
    <phoneticPr fontId="22" type="noConversion"/>
  </si>
  <si>
    <t>13888727973</t>
    <phoneticPr fontId="22" type="noConversion"/>
  </si>
  <si>
    <t>昆明市烟草路华龙人家41栋1单元602号</t>
    <phoneticPr fontId="22" type="noConversion"/>
  </si>
  <si>
    <t>0001014</t>
    <phoneticPr fontId="22" type="noConversion"/>
  </si>
  <si>
    <t>01299203</t>
    <phoneticPr fontId="22" type="noConversion"/>
  </si>
  <si>
    <t>718100256388</t>
    <phoneticPr fontId="22" type="noConversion"/>
  </si>
  <si>
    <t>9015387</t>
    <phoneticPr fontId="22" type="noConversion"/>
  </si>
  <si>
    <t>13990081003</t>
    <phoneticPr fontId="22" type="noConversion"/>
  </si>
  <si>
    <t>0004866</t>
    <phoneticPr fontId="22" type="noConversion"/>
  </si>
  <si>
    <t>9015386</t>
    <phoneticPr fontId="22" type="noConversion"/>
  </si>
  <si>
    <t>1790G</t>
    <phoneticPr fontId="22" type="noConversion"/>
  </si>
  <si>
    <t>9嘉烨</t>
    <phoneticPr fontId="22" type="noConversion"/>
  </si>
  <si>
    <t>9015366</t>
    <phoneticPr fontId="22" type="noConversion"/>
  </si>
  <si>
    <t>71809613785</t>
    <phoneticPr fontId="22" type="noConversion"/>
  </si>
  <si>
    <t>01911469</t>
    <phoneticPr fontId="22" type="noConversion"/>
  </si>
  <si>
    <t>顺畅建辉到付</t>
    <phoneticPr fontId="22" type="noConversion"/>
  </si>
  <si>
    <t>0009673</t>
    <phoneticPr fontId="22" type="noConversion"/>
  </si>
  <si>
    <t>重庆国俊物资有限公司</t>
    <phoneticPr fontId="22" type="noConversion"/>
  </si>
  <si>
    <t>01799344-01799343-01799342</t>
    <phoneticPr fontId="22" type="noConversion"/>
  </si>
  <si>
    <t>10100-10100-5050</t>
    <phoneticPr fontId="22" type="noConversion"/>
  </si>
  <si>
    <t>送票上门</t>
    <phoneticPr fontId="22" type="noConversion"/>
  </si>
  <si>
    <t>付</t>
    <phoneticPr fontId="40" type="noConversion"/>
  </si>
  <si>
    <t>9015372</t>
    <phoneticPr fontId="22" type="noConversion"/>
  </si>
  <si>
    <t>13996643671</t>
    <phoneticPr fontId="22" type="noConversion"/>
  </si>
  <si>
    <t>重庆市巫溪县厢镇太平路198号</t>
    <phoneticPr fontId="22" type="noConversion"/>
  </si>
  <si>
    <t>588046669585</t>
    <phoneticPr fontId="22" type="noConversion"/>
  </si>
  <si>
    <t>重庆市俊成化工有限责任公司</t>
    <phoneticPr fontId="22" type="noConversion"/>
  </si>
  <si>
    <t>9015367</t>
    <phoneticPr fontId="22" type="noConversion"/>
  </si>
  <si>
    <t>谢成玖</t>
    <phoneticPr fontId="22" type="noConversion"/>
  </si>
  <si>
    <t>15025760998</t>
    <phoneticPr fontId="22" type="noConversion"/>
  </si>
  <si>
    <t>彭水</t>
    <phoneticPr fontId="22" type="noConversion"/>
  </si>
  <si>
    <t>重庆綦江区四方建材有限公司</t>
    <phoneticPr fontId="22" type="noConversion"/>
  </si>
  <si>
    <t>5016040</t>
    <phoneticPr fontId="22" type="noConversion"/>
  </si>
  <si>
    <t>重庆市綦江区四方建材有限公司</t>
    <phoneticPr fontId="22" type="noConversion"/>
  </si>
  <si>
    <t>023162172806</t>
    <phoneticPr fontId="22" type="noConversion"/>
  </si>
  <si>
    <t>00269129</t>
    <phoneticPr fontId="22" type="noConversion"/>
  </si>
  <si>
    <t>重庆弘扬建材有限公司混泥土搅拌站采石场</t>
    <phoneticPr fontId="22" type="noConversion"/>
  </si>
  <si>
    <t>9015371</t>
    <phoneticPr fontId="22" type="noConversion"/>
  </si>
  <si>
    <t>何老师</t>
    <phoneticPr fontId="22" type="noConversion"/>
  </si>
  <si>
    <t>13638217888</t>
    <phoneticPr fontId="22" type="noConversion"/>
  </si>
  <si>
    <t>重庆市黔江区正阳街道办事处桐坪居委2组</t>
    <phoneticPr fontId="22" type="noConversion"/>
  </si>
  <si>
    <t>0021122</t>
    <phoneticPr fontId="22" type="noConversion"/>
  </si>
  <si>
    <t>00269131</t>
    <phoneticPr fontId="22" type="noConversion"/>
  </si>
  <si>
    <t>重庆市神安化工建材有限公司溶解乙炔气分公司</t>
    <phoneticPr fontId="22" type="noConversion"/>
  </si>
  <si>
    <t>9015368</t>
    <phoneticPr fontId="22" type="noConversion"/>
  </si>
  <si>
    <t>康建忠</t>
    <phoneticPr fontId="22" type="noConversion"/>
  </si>
  <si>
    <t>18996604666</t>
    <phoneticPr fontId="22" type="noConversion"/>
  </si>
  <si>
    <t>黔江</t>
    <phoneticPr fontId="22" type="noConversion"/>
  </si>
  <si>
    <t>00269130</t>
    <phoneticPr fontId="22" type="noConversion"/>
  </si>
  <si>
    <t>重庆银象木业有限责任公司</t>
    <phoneticPr fontId="22" type="noConversion"/>
  </si>
  <si>
    <t>9015369</t>
    <phoneticPr fontId="22" type="noConversion"/>
  </si>
  <si>
    <t>中通到付</t>
    <phoneticPr fontId="22" type="noConversion"/>
  </si>
  <si>
    <t>李民</t>
    <phoneticPr fontId="22" type="noConversion"/>
  </si>
  <si>
    <t>15223930066</t>
    <phoneticPr fontId="22" type="noConversion"/>
  </si>
  <si>
    <t>重庆市黔江区正阳工业园庙儿坪</t>
    <phoneticPr fontId="22" type="noConversion"/>
  </si>
  <si>
    <t>751803064379</t>
    <phoneticPr fontId="22" type="noConversion"/>
  </si>
  <si>
    <t>00269132</t>
    <phoneticPr fontId="22" type="noConversion"/>
  </si>
  <si>
    <t>9015370</t>
    <phoneticPr fontId="22" type="noConversion"/>
  </si>
  <si>
    <t>重庆广博包装有限公司</t>
    <phoneticPr fontId="22" type="noConversion"/>
  </si>
  <si>
    <t>9015373</t>
    <phoneticPr fontId="22" type="noConversion"/>
  </si>
  <si>
    <t>秦银凤</t>
    <phoneticPr fontId="22" type="noConversion"/>
  </si>
  <si>
    <t>15223985142</t>
    <phoneticPr fontId="22" type="noConversion"/>
  </si>
  <si>
    <t>重庆市黔江区正阳工业园广博塑料袋有限公司</t>
    <phoneticPr fontId="22" type="noConversion"/>
  </si>
  <si>
    <t>0034856</t>
    <phoneticPr fontId="22" type="noConversion"/>
  </si>
  <si>
    <t>9015374</t>
    <phoneticPr fontId="22" type="noConversion"/>
  </si>
  <si>
    <t>0045798</t>
    <phoneticPr fontId="22" type="noConversion"/>
  </si>
  <si>
    <t>9015376</t>
    <phoneticPr fontId="22" type="noConversion"/>
  </si>
  <si>
    <t>00269133</t>
    <phoneticPr fontId="22" type="noConversion"/>
  </si>
  <si>
    <t>9015377</t>
    <phoneticPr fontId="22" type="noConversion"/>
  </si>
  <si>
    <t>申通现付</t>
    <phoneticPr fontId="22" type="noConversion"/>
  </si>
  <si>
    <t>重庆市巫溪县城厢太平路198号</t>
    <phoneticPr fontId="22" type="noConversion"/>
  </si>
  <si>
    <t>568111824920</t>
    <phoneticPr fontId="22" type="noConversion"/>
  </si>
  <si>
    <t>9015388</t>
    <phoneticPr fontId="22" type="noConversion"/>
  </si>
  <si>
    <t>伍亮</t>
    <phoneticPr fontId="22" type="noConversion"/>
  </si>
  <si>
    <t>02077322</t>
    <phoneticPr fontId="22" type="noConversion"/>
  </si>
  <si>
    <t>9015389</t>
    <phoneticPr fontId="22" type="noConversion"/>
  </si>
  <si>
    <t>合川区振兴路438号</t>
    <phoneticPr fontId="22" type="noConversion"/>
  </si>
  <si>
    <t>023167333468</t>
    <phoneticPr fontId="22" type="noConversion"/>
  </si>
  <si>
    <t>个人曲锐</t>
    <phoneticPr fontId="22" type="noConversion"/>
  </si>
  <si>
    <t>春秋货运到付</t>
    <phoneticPr fontId="22" type="noConversion"/>
  </si>
  <si>
    <t>曲锐</t>
    <phoneticPr fontId="22" type="noConversion"/>
  </si>
  <si>
    <t>15985630887</t>
    <phoneticPr fontId="22" type="noConversion"/>
  </si>
  <si>
    <t>贵州省铜仁市畜牧局</t>
    <phoneticPr fontId="22" type="noConversion"/>
  </si>
  <si>
    <t>0025090</t>
    <phoneticPr fontId="22" type="noConversion"/>
  </si>
  <si>
    <t>9015379</t>
    <phoneticPr fontId="22" type="noConversion"/>
  </si>
  <si>
    <t>龙国物流现付</t>
    <phoneticPr fontId="22" type="noConversion"/>
  </si>
  <si>
    <t>0212317</t>
    <phoneticPr fontId="22" type="noConversion"/>
  </si>
  <si>
    <t>01299188</t>
    <phoneticPr fontId="22" type="noConversion"/>
  </si>
  <si>
    <t>023167333440</t>
    <phoneticPr fontId="22" type="noConversion"/>
  </si>
  <si>
    <t>发票已作废</t>
    <phoneticPr fontId="22" type="noConversion"/>
  </si>
  <si>
    <t>个人朱兑芬</t>
    <phoneticPr fontId="22" type="noConversion"/>
  </si>
  <si>
    <t>9015390</t>
    <phoneticPr fontId="22" type="noConversion"/>
  </si>
  <si>
    <t>朱兑芬</t>
    <phoneticPr fontId="22" type="noConversion"/>
  </si>
  <si>
    <t>13708521966</t>
    <phoneticPr fontId="22" type="noConversion"/>
  </si>
  <si>
    <t>四川省泸州市九支赤水</t>
    <phoneticPr fontId="22" type="noConversion"/>
  </si>
  <si>
    <t>568111824919</t>
    <phoneticPr fontId="22" type="noConversion"/>
  </si>
  <si>
    <t>9015391</t>
    <phoneticPr fontId="22" type="noConversion"/>
  </si>
  <si>
    <t>9015392</t>
    <phoneticPr fontId="22" type="noConversion"/>
  </si>
  <si>
    <t>0041836</t>
    <phoneticPr fontId="22" type="noConversion"/>
  </si>
  <si>
    <t>9015380</t>
    <phoneticPr fontId="22" type="noConversion"/>
  </si>
  <si>
    <t>永德货运到付</t>
    <phoneticPr fontId="22" type="noConversion"/>
  </si>
  <si>
    <t>云阳</t>
    <phoneticPr fontId="22" type="noConversion"/>
  </si>
  <si>
    <t>1522794</t>
    <phoneticPr fontId="22" type="noConversion"/>
  </si>
  <si>
    <t>9015401</t>
    <phoneticPr fontId="22" type="noConversion"/>
  </si>
  <si>
    <t>0004831</t>
    <phoneticPr fontId="22" type="noConversion"/>
  </si>
  <si>
    <t>01911467</t>
    <phoneticPr fontId="22" type="noConversion"/>
  </si>
  <si>
    <t>9015402</t>
    <phoneticPr fontId="22" type="noConversion"/>
  </si>
  <si>
    <t>0004832</t>
    <phoneticPr fontId="22" type="noConversion"/>
  </si>
  <si>
    <t>01911466</t>
    <phoneticPr fontId="22" type="noConversion"/>
  </si>
  <si>
    <t>重庆川仪自动化股份有限公司金属功能材料分公司</t>
    <phoneticPr fontId="22" type="noConversion"/>
  </si>
  <si>
    <t>9015403</t>
    <phoneticPr fontId="22" type="noConversion"/>
  </si>
  <si>
    <t>方利</t>
    <phoneticPr fontId="22" type="noConversion"/>
  </si>
  <si>
    <t>13883820501</t>
    <phoneticPr fontId="22" type="noConversion"/>
  </si>
  <si>
    <t>重庆市北碚区三花石</t>
    <phoneticPr fontId="22" type="noConversion"/>
  </si>
  <si>
    <t>718096013734</t>
    <phoneticPr fontId="22" type="noConversion"/>
  </si>
  <si>
    <t>9015395</t>
    <phoneticPr fontId="22" type="noConversion"/>
  </si>
  <si>
    <t>023162172163</t>
    <phoneticPr fontId="22" type="noConversion"/>
  </si>
  <si>
    <t>9015393</t>
    <phoneticPr fontId="22" type="noConversion"/>
  </si>
  <si>
    <t>023162172172</t>
    <phoneticPr fontId="22" type="noConversion"/>
  </si>
  <si>
    <t>罗秋鸿</t>
    <phoneticPr fontId="22" type="noConversion"/>
  </si>
  <si>
    <t>13990081027</t>
    <phoneticPr fontId="22" type="noConversion"/>
  </si>
  <si>
    <t>0019007</t>
    <phoneticPr fontId="22" type="noConversion"/>
  </si>
  <si>
    <t>重庆中心机电设备有限公司</t>
    <phoneticPr fontId="22" type="noConversion"/>
  </si>
  <si>
    <t>9015396</t>
    <phoneticPr fontId="22" type="noConversion"/>
  </si>
  <si>
    <t>朱元祥</t>
    <phoneticPr fontId="22" type="noConversion"/>
  </si>
  <si>
    <t>13310208228</t>
    <phoneticPr fontId="22" type="noConversion"/>
  </si>
  <si>
    <t>E区3号</t>
    <phoneticPr fontId="22" type="noConversion"/>
  </si>
  <si>
    <t>重庆建工钢结构有限公司</t>
    <phoneticPr fontId="22" type="noConversion"/>
  </si>
  <si>
    <t>9015404</t>
    <phoneticPr fontId="22" type="noConversion"/>
  </si>
  <si>
    <t>01911454</t>
    <phoneticPr fontId="22" type="noConversion"/>
  </si>
  <si>
    <t>9015405</t>
    <phoneticPr fontId="22" type="noConversion"/>
  </si>
  <si>
    <t>艾诺斯（重庆）华达电源系统有限公司</t>
    <phoneticPr fontId="22" type="noConversion"/>
  </si>
  <si>
    <t>9015406</t>
    <phoneticPr fontId="22" type="noConversion"/>
  </si>
  <si>
    <t>飞毛腿货运到付</t>
    <phoneticPr fontId="22" type="noConversion"/>
  </si>
  <si>
    <t>陈小莉</t>
    <phoneticPr fontId="22" type="noConversion"/>
  </si>
  <si>
    <t>18883139216</t>
    <phoneticPr fontId="22" type="noConversion"/>
  </si>
  <si>
    <t>双桥</t>
    <phoneticPr fontId="22" type="noConversion"/>
  </si>
  <si>
    <t>0033028</t>
    <phoneticPr fontId="22" type="noConversion"/>
  </si>
  <si>
    <t>01299208</t>
    <phoneticPr fontId="22" type="noConversion"/>
  </si>
  <si>
    <t>718096013738</t>
    <phoneticPr fontId="22" type="noConversion"/>
  </si>
  <si>
    <t>7093 P100</t>
    <phoneticPr fontId="22" type="noConversion"/>
  </si>
  <si>
    <t>9015407</t>
    <phoneticPr fontId="22" type="noConversion"/>
  </si>
  <si>
    <t>飞达运货运现付</t>
    <phoneticPr fontId="22" type="noConversion"/>
  </si>
  <si>
    <t>0002658</t>
    <phoneticPr fontId="22" type="noConversion"/>
  </si>
  <si>
    <t>01911456-01911455</t>
    <phoneticPr fontId="22" type="noConversion"/>
  </si>
  <si>
    <t>718102646483</t>
    <phoneticPr fontId="22" type="noConversion"/>
  </si>
  <si>
    <t>9015397</t>
    <phoneticPr fontId="22" type="noConversion"/>
  </si>
  <si>
    <t>郑宏</t>
    <phoneticPr fontId="22" type="noConversion"/>
  </si>
  <si>
    <t>13983193484</t>
    <phoneticPr fontId="22" type="noConversion"/>
  </si>
  <si>
    <t>01911462</t>
    <phoneticPr fontId="22" type="noConversion"/>
  </si>
  <si>
    <t>023000458877</t>
    <phoneticPr fontId="22" type="noConversion"/>
  </si>
  <si>
    <t>鸿宝</t>
    <phoneticPr fontId="22" type="noConversion"/>
  </si>
  <si>
    <t>5KV</t>
    <phoneticPr fontId="22" type="noConversion"/>
  </si>
  <si>
    <t>9015398</t>
    <phoneticPr fontId="22" type="noConversion"/>
  </si>
  <si>
    <t>0048279</t>
    <phoneticPr fontId="22" type="noConversion"/>
  </si>
  <si>
    <t>送票上门（永安劳保）</t>
    <phoneticPr fontId="22" type="noConversion"/>
  </si>
  <si>
    <t>重庆拉法基瑞安地维水泥有限公司</t>
    <phoneticPr fontId="22" type="noConversion"/>
  </si>
  <si>
    <t>0006584</t>
    <phoneticPr fontId="22" type="noConversion"/>
  </si>
  <si>
    <t>程刚</t>
    <phoneticPr fontId="22" type="noConversion"/>
  </si>
  <si>
    <t>13983289460</t>
    <phoneticPr fontId="22" type="noConversion"/>
  </si>
  <si>
    <t>重庆市江津区珞璜工业园</t>
    <phoneticPr fontId="22" type="noConversion"/>
  </si>
  <si>
    <t>01911463</t>
    <phoneticPr fontId="22" type="noConversion"/>
  </si>
  <si>
    <t>023167333477</t>
    <phoneticPr fontId="22" type="noConversion"/>
  </si>
  <si>
    <t>9015409</t>
    <phoneticPr fontId="22" type="noConversion"/>
  </si>
  <si>
    <t>蒋老师</t>
    <phoneticPr fontId="22" type="noConversion"/>
  </si>
  <si>
    <t>13617674059</t>
    <phoneticPr fontId="22" type="noConversion"/>
  </si>
  <si>
    <t>9015410</t>
    <phoneticPr fontId="22" type="noConversion"/>
  </si>
  <si>
    <t>9015411</t>
    <phoneticPr fontId="22" type="noConversion"/>
  </si>
  <si>
    <t>9015412</t>
    <phoneticPr fontId="22" type="noConversion"/>
  </si>
  <si>
    <t>重庆川仪自动化股份有限公司电气成套分公司</t>
    <phoneticPr fontId="22" type="noConversion"/>
  </si>
  <si>
    <t>9015413</t>
    <phoneticPr fontId="22" type="noConversion"/>
  </si>
  <si>
    <t>潘光华</t>
    <phoneticPr fontId="22" type="noConversion"/>
  </si>
  <si>
    <t>13896101448</t>
    <phoneticPr fontId="22" type="noConversion"/>
  </si>
  <si>
    <t>重庆市北碚区龙凤三村</t>
    <phoneticPr fontId="22" type="noConversion"/>
  </si>
  <si>
    <t>718100256389</t>
    <phoneticPr fontId="22" type="noConversion"/>
  </si>
  <si>
    <t>9015414</t>
    <phoneticPr fontId="22" type="noConversion"/>
  </si>
  <si>
    <t>023167333495</t>
    <phoneticPr fontId="22" type="noConversion"/>
  </si>
  <si>
    <t>换货</t>
    <phoneticPr fontId="22" type="noConversion"/>
  </si>
  <si>
    <t>9015400</t>
    <phoneticPr fontId="22" type="noConversion"/>
  </si>
  <si>
    <t>023-68608434</t>
    <phoneticPr fontId="22" type="noConversion"/>
  </si>
  <si>
    <t>重庆永平劳保用品有限公司</t>
    <phoneticPr fontId="22" type="noConversion"/>
  </si>
  <si>
    <t>0001234</t>
    <phoneticPr fontId="22" type="noConversion"/>
  </si>
  <si>
    <t>熊老师</t>
    <phoneticPr fontId="22" type="noConversion"/>
  </si>
  <si>
    <t>68691304</t>
    <phoneticPr fontId="22" type="noConversion"/>
  </si>
  <si>
    <t>渝州交易城D区</t>
    <phoneticPr fontId="22" type="noConversion"/>
  </si>
  <si>
    <t>9015415</t>
    <phoneticPr fontId="22" type="noConversion"/>
  </si>
  <si>
    <t>戴建平</t>
    <phoneticPr fontId="22" type="noConversion"/>
  </si>
  <si>
    <t>15523662639</t>
    <phoneticPr fontId="22" type="noConversion"/>
  </si>
  <si>
    <t>垫江县</t>
    <phoneticPr fontId="22" type="noConversion"/>
  </si>
  <si>
    <t>3501CN</t>
    <phoneticPr fontId="22" type="noConversion"/>
  </si>
  <si>
    <t>9015416</t>
    <phoneticPr fontId="22" type="noConversion"/>
  </si>
  <si>
    <t>13508353157</t>
    <phoneticPr fontId="22" type="noConversion"/>
  </si>
  <si>
    <t>预过滤棉</t>
    <phoneticPr fontId="22" type="noConversion"/>
  </si>
  <si>
    <t>9015416</t>
    <phoneticPr fontId="22" type="noConversion"/>
  </si>
  <si>
    <t>重庆远新商贸有限责任公司</t>
    <phoneticPr fontId="22" type="noConversion"/>
  </si>
  <si>
    <t>3501CN</t>
    <phoneticPr fontId="22" type="noConversion"/>
  </si>
  <si>
    <t>0001235</t>
    <phoneticPr fontId="22" type="noConversion"/>
  </si>
  <si>
    <t>张炼</t>
    <phoneticPr fontId="22" type="noConversion"/>
  </si>
  <si>
    <t>15528188777</t>
    <phoneticPr fontId="22" type="noConversion"/>
  </si>
  <si>
    <t>渝中区</t>
    <phoneticPr fontId="22" type="noConversion"/>
  </si>
  <si>
    <t>01299207</t>
    <phoneticPr fontId="22" type="noConversion"/>
  </si>
  <si>
    <t>重庆乾鼎石材有限公司</t>
    <phoneticPr fontId="22" type="noConversion"/>
  </si>
  <si>
    <t>颗粒物防尘口罩-蓝色</t>
    <phoneticPr fontId="22" type="noConversion"/>
  </si>
  <si>
    <t>个</t>
    <phoneticPr fontId="57" type="noConversion"/>
  </si>
  <si>
    <t>9015417</t>
    <phoneticPr fontId="22" type="noConversion"/>
  </si>
  <si>
    <t>申通现付</t>
    <phoneticPr fontId="22" type="noConversion"/>
  </si>
  <si>
    <t>15123468489</t>
    <phoneticPr fontId="22" type="noConversion"/>
  </si>
  <si>
    <t>568134526874</t>
    <phoneticPr fontId="22" type="noConversion"/>
  </si>
  <si>
    <t>不开票</t>
    <phoneticPr fontId="22" type="noConversion"/>
  </si>
  <si>
    <t>终端</t>
    <phoneticPr fontId="22" type="noConversion"/>
  </si>
  <si>
    <t>渝北区广源劳保用品经营部</t>
    <phoneticPr fontId="22" type="noConversion"/>
  </si>
  <si>
    <t>3M</t>
    <phoneticPr fontId="22" type="noConversion"/>
  </si>
  <si>
    <t>9002A</t>
    <phoneticPr fontId="22" type="noConversion"/>
  </si>
  <si>
    <t>片</t>
    <phoneticPr fontId="22" type="noConversion"/>
  </si>
  <si>
    <t>0001237</t>
    <phoneticPr fontId="22" type="noConversion"/>
  </si>
  <si>
    <t>顺昌建辉到付</t>
    <phoneticPr fontId="22" type="noConversion"/>
  </si>
  <si>
    <t>刘军</t>
    <phoneticPr fontId="22" type="noConversion"/>
  </si>
  <si>
    <t>13452102967</t>
    <phoneticPr fontId="22" type="noConversion"/>
  </si>
  <si>
    <t>两路</t>
    <phoneticPr fontId="22" type="noConversion"/>
  </si>
  <si>
    <t>0005546</t>
    <phoneticPr fontId="22" type="noConversion"/>
  </si>
  <si>
    <t>渠道</t>
    <phoneticPr fontId="22" type="noConversion"/>
  </si>
  <si>
    <t>9042A</t>
    <phoneticPr fontId="22" type="noConversion"/>
  </si>
  <si>
    <t>个</t>
    <phoneticPr fontId="22" type="noConversion"/>
  </si>
  <si>
    <t>重庆清创机械有限公司</t>
    <phoneticPr fontId="22" type="noConversion"/>
  </si>
  <si>
    <t>农行对私</t>
    <phoneticPr fontId="22" type="noConversion"/>
  </si>
  <si>
    <t>9015418</t>
    <phoneticPr fontId="22" type="noConversion"/>
  </si>
  <si>
    <t>申通现付</t>
    <phoneticPr fontId="22" type="noConversion"/>
  </si>
  <si>
    <t>詹经理</t>
    <phoneticPr fontId="22" type="noConversion"/>
  </si>
  <si>
    <t>18325001189</t>
    <phoneticPr fontId="22" type="noConversion"/>
  </si>
  <si>
    <t>武隆白马工业园</t>
    <phoneticPr fontId="22" type="noConversion"/>
  </si>
  <si>
    <t>568134526875</t>
    <phoneticPr fontId="22" type="noConversion"/>
  </si>
  <si>
    <t>重庆建工钢结构有限公司</t>
    <phoneticPr fontId="22" type="noConversion"/>
  </si>
  <si>
    <t>颗粒物防尘口罩-蓝色</t>
    <phoneticPr fontId="22" type="noConversion"/>
  </si>
  <si>
    <t>0006644</t>
    <phoneticPr fontId="22" type="noConversion"/>
  </si>
  <si>
    <t>送货上门</t>
    <phoneticPr fontId="22" type="noConversion"/>
  </si>
  <si>
    <t>/</t>
    <phoneticPr fontId="22" type="noConversion"/>
  </si>
  <si>
    <t>01911454</t>
    <phoneticPr fontId="22" type="noConversion"/>
  </si>
  <si>
    <t>圣诞树型带线耳塞</t>
    <phoneticPr fontId="22" type="noConversion"/>
  </si>
  <si>
    <t>付</t>
    <phoneticPr fontId="22" type="noConversion"/>
  </si>
  <si>
    <t>中国款流线型防护眼镜（透明镜片，防雾）</t>
    <phoneticPr fontId="22" type="noConversion"/>
  </si>
  <si>
    <t>荣昌县远达建材有限公司</t>
    <phoneticPr fontId="22" type="noConversion"/>
  </si>
  <si>
    <t>0001239</t>
    <phoneticPr fontId="22" type="noConversion"/>
  </si>
  <si>
    <t>顺丰到付</t>
    <phoneticPr fontId="22" type="noConversion"/>
  </si>
  <si>
    <t>陈建</t>
    <phoneticPr fontId="22" type="noConversion"/>
  </si>
  <si>
    <t>13018348776</t>
    <phoneticPr fontId="22" type="noConversion"/>
  </si>
  <si>
    <t>重庆市荣昌县广顺东大街50号</t>
    <phoneticPr fontId="22" type="noConversion"/>
  </si>
  <si>
    <t>023169020855</t>
    <phoneticPr fontId="22" type="noConversion"/>
  </si>
  <si>
    <t>重庆永平劳保用品有限公司</t>
    <phoneticPr fontId="22" type="noConversion"/>
  </si>
  <si>
    <t>现金</t>
    <phoneticPr fontId="22" type="noConversion"/>
  </si>
  <si>
    <t>0001241</t>
    <phoneticPr fontId="22" type="noConversion"/>
  </si>
  <si>
    <t>熊老师</t>
    <phoneticPr fontId="22" type="noConversion"/>
  </si>
  <si>
    <t>68691304</t>
    <phoneticPr fontId="22" type="noConversion"/>
  </si>
  <si>
    <t>渝州交易城D区</t>
    <phoneticPr fontId="22" type="noConversion"/>
  </si>
  <si>
    <t>01299209</t>
    <phoneticPr fontId="22" type="noConversion"/>
  </si>
  <si>
    <t>送票上门</t>
    <phoneticPr fontId="22" type="noConversion"/>
  </si>
  <si>
    <t>滤棉承接座</t>
    <phoneticPr fontId="22" type="noConversion"/>
  </si>
  <si>
    <t>3701CN</t>
    <phoneticPr fontId="22" type="noConversion"/>
  </si>
  <si>
    <t>艾诺斯（重庆）华达电源系统有限公司</t>
    <phoneticPr fontId="22" type="noConversion"/>
  </si>
  <si>
    <t>中国款防护眼镜</t>
    <phoneticPr fontId="22" type="noConversion"/>
  </si>
  <si>
    <t>中行对公</t>
    <phoneticPr fontId="22" type="noConversion"/>
  </si>
  <si>
    <t>9015420</t>
    <phoneticPr fontId="22" type="noConversion"/>
  </si>
  <si>
    <t>顺丰现付</t>
    <phoneticPr fontId="22" type="noConversion"/>
  </si>
  <si>
    <t>陈小莉</t>
    <phoneticPr fontId="22" type="noConversion"/>
  </si>
  <si>
    <t>18883139216</t>
    <phoneticPr fontId="22" type="noConversion"/>
  </si>
  <si>
    <t>重庆市大足区双桥经济开发区双钱路4号</t>
    <phoneticPr fontId="22" type="noConversion"/>
  </si>
  <si>
    <t>023169020846</t>
    <phoneticPr fontId="22" type="noConversion"/>
  </si>
  <si>
    <t>01299208</t>
    <phoneticPr fontId="22" type="noConversion"/>
  </si>
  <si>
    <t>718096013738</t>
    <phoneticPr fontId="22" type="noConversion"/>
  </si>
  <si>
    <t>311-1101</t>
    <phoneticPr fontId="22" type="noConversion"/>
  </si>
  <si>
    <t>颗粒物滤尘盒</t>
    <phoneticPr fontId="22" type="noConversion"/>
  </si>
  <si>
    <t>7093 P100</t>
    <phoneticPr fontId="22" type="noConversion"/>
  </si>
  <si>
    <t>重庆和平制药有限公司</t>
    <phoneticPr fontId="22" type="noConversion"/>
  </si>
  <si>
    <t>0006577</t>
    <phoneticPr fontId="22" type="noConversion"/>
  </si>
  <si>
    <t>游桥</t>
    <phoneticPr fontId="22" type="noConversion"/>
  </si>
  <si>
    <t>13696479154</t>
    <phoneticPr fontId="22" type="noConversion"/>
  </si>
  <si>
    <t>重庆市铜梁县白龙三路9号</t>
    <phoneticPr fontId="22" type="noConversion"/>
  </si>
  <si>
    <t>023163508983</t>
    <phoneticPr fontId="22" type="noConversion"/>
  </si>
  <si>
    <t>01911469</t>
    <phoneticPr fontId="22" type="noConversion"/>
  </si>
  <si>
    <t>重庆建工工业有限公司</t>
    <phoneticPr fontId="22" type="noConversion"/>
  </si>
  <si>
    <t>代尔塔安全鞋</t>
    <phoneticPr fontId="22" type="noConversion"/>
  </si>
  <si>
    <t>双</t>
    <phoneticPr fontId="22" type="noConversion"/>
  </si>
  <si>
    <t>0006645</t>
    <phoneticPr fontId="22" type="noConversion"/>
  </si>
  <si>
    <t>送货上门</t>
    <phoneticPr fontId="22" type="noConversion"/>
  </si>
  <si>
    <t>刘均</t>
    <phoneticPr fontId="22" type="noConversion"/>
  </si>
  <si>
    <t>18696611456</t>
    <phoneticPr fontId="22" type="noConversion"/>
  </si>
  <si>
    <t>江津</t>
    <phoneticPr fontId="22" type="noConversion"/>
  </si>
  <si>
    <t>/</t>
    <phoneticPr fontId="22" type="noConversion"/>
  </si>
  <si>
    <t>01911448-01911449-01911450-01911451-01911451-01911452-01911453</t>
    <phoneticPr fontId="22" type="noConversion"/>
  </si>
  <si>
    <t>终端</t>
    <phoneticPr fontId="22" type="noConversion"/>
  </si>
  <si>
    <t>重庆建工工业有限公司</t>
    <phoneticPr fontId="22" type="noConversion"/>
  </si>
  <si>
    <t>3M</t>
    <phoneticPr fontId="22" type="noConversion"/>
  </si>
  <si>
    <t>100V自动变光焊接面罩保护片</t>
    <phoneticPr fontId="22" type="noConversion"/>
  </si>
  <si>
    <t>片</t>
    <phoneticPr fontId="22" type="noConversion"/>
  </si>
  <si>
    <t>重庆建工工业有限公司（安全部）</t>
    <phoneticPr fontId="22" type="noConversion"/>
  </si>
  <si>
    <t>便携式洗眼器</t>
    <phoneticPr fontId="22" type="noConversion"/>
  </si>
  <si>
    <t>WG6001</t>
    <phoneticPr fontId="22" type="noConversion"/>
  </si>
  <si>
    <t>台</t>
    <phoneticPr fontId="22" type="noConversion"/>
  </si>
  <si>
    <t>现金</t>
    <phoneticPr fontId="22" type="noConversion"/>
  </si>
  <si>
    <t>0006646</t>
    <phoneticPr fontId="22" type="noConversion"/>
  </si>
  <si>
    <t>王宪忠</t>
    <phoneticPr fontId="22" type="noConversion"/>
  </si>
  <si>
    <t>18696772062</t>
    <phoneticPr fontId="22" type="noConversion"/>
  </si>
  <si>
    <t>00269137</t>
    <phoneticPr fontId="22" type="noConversion"/>
  </si>
  <si>
    <t>普票</t>
    <phoneticPr fontId="22" type="noConversion"/>
  </si>
  <si>
    <t>渝北区广源劳保用品经营部</t>
    <phoneticPr fontId="22" type="noConversion"/>
  </si>
  <si>
    <t>中国款流线型防护眼镜（透明镜片，防雾）</t>
    <phoneticPr fontId="22" type="noConversion"/>
  </si>
  <si>
    <t>付</t>
    <phoneticPr fontId="22" type="noConversion"/>
  </si>
  <si>
    <t>0001244</t>
    <phoneticPr fontId="22" type="noConversion"/>
  </si>
  <si>
    <t>顺昌辉到付</t>
    <phoneticPr fontId="22" type="noConversion"/>
  </si>
  <si>
    <t>刘军</t>
    <phoneticPr fontId="22" type="noConversion"/>
  </si>
  <si>
    <t>13452102967</t>
    <phoneticPr fontId="22" type="noConversion"/>
  </si>
  <si>
    <t>两路</t>
    <phoneticPr fontId="22" type="noConversion"/>
  </si>
  <si>
    <t>0022936</t>
    <phoneticPr fontId="22" type="noConversion"/>
  </si>
  <si>
    <t>不开票</t>
    <phoneticPr fontId="22" type="noConversion"/>
  </si>
  <si>
    <t>渠道</t>
    <phoneticPr fontId="22" type="noConversion"/>
  </si>
  <si>
    <t>0001245</t>
    <phoneticPr fontId="22" type="noConversion"/>
  </si>
  <si>
    <t>经济型焊接用防尘口罩</t>
    <phoneticPr fontId="22" type="noConversion"/>
  </si>
  <si>
    <t>0001238</t>
    <phoneticPr fontId="22" type="noConversion"/>
  </si>
  <si>
    <t>钱开兰</t>
    <phoneticPr fontId="22" type="noConversion"/>
  </si>
  <si>
    <t>15320381097</t>
    <phoneticPr fontId="22" type="noConversion"/>
  </si>
  <si>
    <t>昆明瀚德经贸有限公司</t>
    <phoneticPr fontId="22" type="noConversion"/>
  </si>
  <si>
    <t>391-1001</t>
    <phoneticPr fontId="22" type="noConversion"/>
  </si>
  <si>
    <t>中行对公</t>
    <phoneticPr fontId="22" type="noConversion"/>
  </si>
  <si>
    <t>0006579</t>
    <phoneticPr fontId="22" type="noConversion"/>
  </si>
  <si>
    <t>巨邦物流到付</t>
    <phoneticPr fontId="22" type="noConversion"/>
  </si>
  <si>
    <t>杨伟</t>
    <phoneticPr fontId="22" type="noConversion"/>
  </si>
  <si>
    <t>13888727973</t>
    <phoneticPr fontId="22" type="noConversion"/>
  </si>
  <si>
    <t>昆明市烟草路华龙人家41栋1单元602号</t>
    <phoneticPr fontId="22" type="noConversion"/>
  </si>
  <si>
    <t>0001100</t>
    <phoneticPr fontId="22" type="noConversion"/>
  </si>
  <si>
    <t>01911468</t>
    <phoneticPr fontId="22" type="noConversion"/>
  </si>
  <si>
    <t>1900338189314</t>
    <phoneticPr fontId="22" type="noConversion"/>
  </si>
  <si>
    <t>重庆市勘测院</t>
    <phoneticPr fontId="22" type="noConversion"/>
  </si>
  <si>
    <r>
      <t>9</t>
    </r>
    <r>
      <rPr>
        <sz val="10"/>
        <color indexed="8"/>
        <rFont val="宋体"/>
        <family val="3"/>
        <charset val="134"/>
      </rPr>
      <t>002A</t>
    </r>
    <phoneticPr fontId="22" type="noConversion"/>
  </si>
  <si>
    <t>0001247</t>
    <phoneticPr fontId="22" type="noConversion"/>
  </si>
  <si>
    <t>顺丰现付</t>
    <phoneticPr fontId="22" type="noConversion"/>
  </si>
  <si>
    <t>薛松元</t>
    <phoneticPr fontId="22" type="noConversion"/>
  </si>
  <si>
    <t>15215005836</t>
    <phoneticPr fontId="22" type="noConversion"/>
  </si>
  <si>
    <t>重庆市江北区电测村231号</t>
    <phoneticPr fontId="22" type="noConversion"/>
  </si>
  <si>
    <t>023163507907</t>
    <phoneticPr fontId="22" type="noConversion"/>
  </si>
  <si>
    <t>00269136</t>
    <phoneticPr fontId="22" type="noConversion"/>
  </si>
  <si>
    <t>重庆市欧仑家具有限公司</t>
    <phoneticPr fontId="22" type="noConversion"/>
  </si>
  <si>
    <t>个</t>
    <phoneticPr fontId="22" type="noConversion"/>
  </si>
  <si>
    <t>0006578</t>
    <phoneticPr fontId="22" type="noConversion"/>
  </si>
  <si>
    <t>李林苍</t>
    <phoneticPr fontId="22" type="noConversion"/>
  </si>
  <si>
    <t>18623121133</t>
    <phoneticPr fontId="22" type="noConversion"/>
  </si>
  <si>
    <t>重庆市南岸区亚太商谷5栋27-10</t>
    <phoneticPr fontId="22" type="noConversion"/>
  </si>
  <si>
    <t>023163507943</t>
    <phoneticPr fontId="22" type="noConversion"/>
  </si>
  <si>
    <t>00269135</t>
    <phoneticPr fontId="22" type="noConversion"/>
  </si>
  <si>
    <t>重庆贝浪物资有限公司</t>
    <phoneticPr fontId="22" type="noConversion"/>
  </si>
  <si>
    <t>1621AF</t>
    <phoneticPr fontId="22" type="noConversion"/>
  </si>
  <si>
    <t>0001246</t>
    <phoneticPr fontId="22" type="noConversion"/>
  </si>
  <si>
    <t>李（交易城建行对面）</t>
    <phoneticPr fontId="22" type="noConversion"/>
  </si>
  <si>
    <t>023-68608434</t>
    <phoneticPr fontId="22" type="noConversion"/>
  </si>
  <si>
    <t>个人朱兑芬</t>
    <phoneticPr fontId="22" type="noConversion"/>
  </si>
  <si>
    <t>农行对私</t>
    <phoneticPr fontId="22" type="noConversion"/>
  </si>
  <si>
    <t>0001243</t>
    <phoneticPr fontId="22" type="noConversion"/>
  </si>
  <si>
    <t>力宏物流现付</t>
    <phoneticPr fontId="22" type="noConversion"/>
  </si>
  <si>
    <t>朱兑芬</t>
    <phoneticPr fontId="22" type="noConversion"/>
  </si>
  <si>
    <t>13708521966</t>
    <phoneticPr fontId="22" type="noConversion"/>
  </si>
  <si>
    <t>贵州省赤水市半天云小区</t>
    <phoneticPr fontId="22" type="noConversion"/>
  </si>
  <si>
    <t>0004607</t>
    <phoneticPr fontId="22" type="noConversion"/>
  </si>
  <si>
    <t>37-175</t>
    <phoneticPr fontId="22" type="noConversion"/>
  </si>
  <si>
    <t>白色带帽连体防护服L</t>
    <phoneticPr fontId="22" type="noConversion"/>
  </si>
  <si>
    <t>件</t>
    <phoneticPr fontId="22" type="noConversion"/>
  </si>
  <si>
    <t>重庆创新劳动防护用品有限公司</t>
    <phoneticPr fontId="22" type="noConversion"/>
  </si>
  <si>
    <t>9002A</t>
    <phoneticPr fontId="22" type="noConversion"/>
  </si>
  <si>
    <t>0001248</t>
    <phoneticPr fontId="22" type="noConversion"/>
  </si>
  <si>
    <t>自提</t>
    <phoneticPr fontId="22" type="noConversion"/>
  </si>
  <si>
    <t>刘永刚</t>
    <phoneticPr fontId="22" type="noConversion"/>
  </si>
  <si>
    <t>15909319509</t>
    <phoneticPr fontId="22" type="noConversion"/>
  </si>
  <si>
    <t>01911460-1</t>
    <phoneticPr fontId="22" type="noConversion"/>
  </si>
  <si>
    <t>颗粒物呼吸防护套装经济型</t>
    <phoneticPr fontId="22" type="noConversion"/>
  </si>
  <si>
    <t>广达货运现付</t>
    <phoneticPr fontId="22" type="noConversion"/>
  </si>
  <si>
    <t>沈首斐</t>
    <phoneticPr fontId="22" type="noConversion"/>
  </si>
  <si>
    <t>18784840055</t>
    <phoneticPr fontId="22" type="noConversion"/>
  </si>
  <si>
    <t>大竹</t>
    <phoneticPr fontId="22" type="noConversion"/>
  </si>
  <si>
    <t>0011743</t>
    <phoneticPr fontId="22" type="noConversion"/>
  </si>
  <si>
    <t xml:space="preserve">尘毒呼吸防护套装经济型 </t>
    <phoneticPr fontId="22" type="noConversion"/>
  </si>
  <si>
    <t>320P</t>
    <phoneticPr fontId="22" type="noConversion"/>
  </si>
  <si>
    <t>尘毒呼吸防护套装(MRO)舒适型</t>
    <phoneticPr fontId="22" type="noConversion"/>
  </si>
  <si>
    <t>尘毒呼吸防护套装实用性</t>
    <phoneticPr fontId="22" type="noConversion"/>
  </si>
  <si>
    <t>颗粒物防尘口罩-蓝色</t>
    <phoneticPr fontId="22" type="noConversion"/>
  </si>
  <si>
    <t>个</t>
    <phoneticPr fontId="57" type="noConversion"/>
  </si>
  <si>
    <t>颗粒物防护口罩-蓝色</t>
    <phoneticPr fontId="22" type="noConversion"/>
  </si>
  <si>
    <t xml:space="preserve">经济型耳罩 </t>
    <phoneticPr fontId="22" type="noConversion"/>
  </si>
  <si>
    <t>318-1005</t>
    <phoneticPr fontId="22" type="noConversion"/>
  </si>
  <si>
    <t>焊接防护眼罩</t>
    <phoneticPr fontId="22" type="noConversion"/>
  </si>
  <si>
    <t>大竹县竹阳镇欣宏副食门市</t>
    <phoneticPr fontId="22" type="noConversion"/>
  </si>
  <si>
    <t>中国款防护眼镜</t>
    <phoneticPr fontId="22" type="noConversion"/>
  </si>
  <si>
    <t>颗粒物滤棉</t>
    <phoneticPr fontId="22" type="noConversion"/>
  </si>
  <si>
    <t>有机蒸气滤毒盒</t>
    <phoneticPr fontId="22" type="noConversion"/>
  </si>
  <si>
    <t xml:space="preserve">3301CN </t>
    <phoneticPr fontId="22" type="noConversion"/>
  </si>
  <si>
    <t>预过滤棉</t>
    <phoneticPr fontId="22" type="noConversion"/>
  </si>
  <si>
    <t>5N11</t>
    <phoneticPr fontId="22" type="noConversion"/>
  </si>
  <si>
    <t>全面罩鼻罩组</t>
    <phoneticPr fontId="22" type="noConversion"/>
  </si>
  <si>
    <t>0001249</t>
    <phoneticPr fontId="22" type="noConversion"/>
  </si>
  <si>
    <t>宗明</t>
    <phoneticPr fontId="22" type="noConversion"/>
  </si>
  <si>
    <t>13990029388</t>
    <phoneticPr fontId="22" type="noConversion"/>
  </si>
  <si>
    <t>02077327</t>
    <phoneticPr fontId="22" type="noConversion"/>
  </si>
  <si>
    <t>面罩吸气阀</t>
    <phoneticPr fontId="22" type="noConversion"/>
  </si>
  <si>
    <t>0006647</t>
    <phoneticPr fontId="22" type="noConversion"/>
  </si>
  <si>
    <t>青岛日富科技有限公司</t>
    <phoneticPr fontId="22" type="noConversion"/>
  </si>
  <si>
    <t>西斯贝尔</t>
    <phoneticPr fontId="22" type="noConversion"/>
  </si>
  <si>
    <t>易燃液体安全储存柜</t>
    <phoneticPr fontId="22" type="noConversion"/>
  </si>
  <si>
    <t>WA810450</t>
    <phoneticPr fontId="22" type="noConversion"/>
  </si>
  <si>
    <t>供应商直接发往至需方</t>
    <phoneticPr fontId="22" type="noConversion"/>
  </si>
  <si>
    <t>石杰</t>
    <phoneticPr fontId="22" type="noConversion"/>
  </si>
  <si>
    <t>13969711596</t>
    <phoneticPr fontId="22" type="noConversion"/>
  </si>
  <si>
    <t>重庆市万州区申新劳保用品有限公司</t>
    <phoneticPr fontId="22" type="noConversion"/>
  </si>
  <si>
    <t>0001252</t>
    <phoneticPr fontId="22" type="noConversion"/>
  </si>
  <si>
    <t>飞达货运到付</t>
    <phoneticPr fontId="22" type="noConversion"/>
  </si>
  <si>
    <t>向传忠</t>
    <phoneticPr fontId="22" type="noConversion"/>
  </si>
  <si>
    <t>18996529017</t>
    <phoneticPr fontId="22" type="noConversion"/>
  </si>
  <si>
    <t>万州</t>
    <phoneticPr fontId="22" type="noConversion"/>
  </si>
  <si>
    <t>0002838</t>
    <phoneticPr fontId="22" type="noConversion"/>
  </si>
  <si>
    <t>01911446</t>
    <phoneticPr fontId="22" type="noConversion"/>
  </si>
  <si>
    <t>个人单子玲</t>
    <phoneticPr fontId="22" type="noConversion"/>
  </si>
  <si>
    <t>2012-12-13/2012-12-7</t>
    <phoneticPr fontId="22" type="noConversion"/>
  </si>
  <si>
    <t>0001250</t>
    <phoneticPr fontId="22" type="noConversion"/>
  </si>
  <si>
    <t>春秋运输现付</t>
    <phoneticPr fontId="22" type="noConversion"/>
  </si>
  <si>
    <t>单子玲</t>
    <phoneticPr fontId="22" type="noConversion"/>
  </si>
  <si>
    <t>13885034403</t>
    <phoneticPr fontId="22" type="noConversion"/>
  </si>
  <si>
    <t>贵阳</t>
    <phoneticPr fontId="22" type="noConversion"/>
  </si>
  <si>
    <t>0027275</t>
    <phoneticPr fontId="22" type="noConversion"/>
  </si>
  <si>
    <t>重庆市永川区金冠防护用品经营部</t>
    <phoneticPr fontId="22" type="noConversion"/>
  </si>
  <si>
    <t>0001251</t>
    <phoneticPr fontId="22" type="noConversion"/>
  </si>
  <si>
    <t>百信货运到付</t>
    <phoneticPr fontId="22" type="noConversion"/>
  </si>
  <si>
    <t>黎安平</t>
    <phoneticPr fontId="58" type="noConversion"/>
  </si>
  <si>
    <t>永川</t>
    <phoneticPr fontId="22" type="noConversion"/>
  </si>
  <si>
    <t>0054932</t>
    <phoneticPr fontId="22" type="noConversion"/>
  </si>
  <si>
    <t>01911458</t>
    <phoneticPr fontId="22" type="noConversion"/>
  </si>
  <si>
    <t>送票上门（永安劳保）</t>
    <phoneticPr fontId="22" type="noConversion"/>
  </si>
  <si>
    <t>320D</t>
    <phoneticPr fontId="22" type="noConversion"/>
  </si>
  <si>
    <t>重庆冠淦商贸有限公司</t>
    <phoneticPr fontId="22" type="noConversion"/>
  </si>
  <si>
    <t>9002V</t>
    <phoneticPr fontId="22" type="noConversion"/>
  </si>
  <si>
    <t>0003137</t>
    <phoneticPr fontId="22" type="noConversion"/>
  </si>
  <si>
    <t>周晓娥</t>
    <phoneticPr fontId="22" type="noConversion"/>
  </si>
  <si>
    <t>石桥铺佰腾数码负一楼</t>
    <phoneticPr fontId="22" type="noConversion"/>
  </si>
  <si>
    <t>达州市胜友劳保用品有限公司</t>
    <phoneticPr fontId="22" type="noConversion"/>
  </si>
  <si>
    <t>套</t>
    <phoneticPr fontId="22" type="noConversion"/>
  </si>
  <si>
    <t>0006580</t>
    <phoneticPr fontId="22" type="noConversion"/>
  </si>
  <si>
    <t>顺丰到付</t>
    <phoneticPr fontId="22" type="noConversion"/>
  </si>
  <si>
    <t>刘扬胜</t>
    <phoneticPr fontId="22" type="noConversion"/>
  </si>
  <si>
    <t>达州市西外新区通锦国际新城30号</t>
    <phoneticPr fontId="22" type="noConversion"/>
  </si>
  <si>
    <t>023163507998</t>
    <phoneticPr fontId="22" type="noConversion"/>
  </si>
  <si>
    <t>0001255</t>
    <phoneticPr fontId="22" type="noConversion"/>
  </si>
  <si>
    <t>顺畅建辉到付</t>
    <phoneticPr fontId="22" type="noConversion"/>
  </si>
  <si>
    <t>0017671</t>
    <phoneticPr fontId="22" type="noConversion"/>
  </si>
  <si>
    <t>3701CN</t>
    <phoneticPr fontId="22" type="noConversion"/>
  </si>
  <si>
    <t>重庆国俊物资有限公司</t>
    <phoneticPr fontId="22" type="noConversion"/>
  </si>
  <si>
    <t>子弹型带线耳塞</t>
    <phoneticPr fontId="22" type="noConversion"/>
  </si>
  <si>
    <t>0001253</t>
    <phoneticPr fontId="22" type="noConversion"/>
  </si>
  <si>
    <t xml:space="preserve">送货上门 </t>
    <phoneticPr fontId="22" type="noConversion"/>
  </si>
  <si>
    <t>伍亮</t>
    <phoneticPr fontId="22" type="noConversion"/>
  </si>
  <si>
    <t>02077322</t>
    <phoneticPr fontId="22" type="noConversion"/>
  </si>
  <si>
    <t>送票上门</t>
    <phoneticPr fontId="22" type="noConversion"/>
  </si>
  <si>
    <t>重庆远新商贸有限责任公司</t>
    <phoneticPr fontId="22" type="noConversion"/>
  </si>
  <si>
    <t>0001256</t>
    <phoneticPr fontId="22" type="noConversion"/>
  </si>
  <si>
    <t>张炼</t>
    <phoneticPr fontId="22" type="noConversion"/>
  </si>
  <si>
    <t>15528188777</t>
    <phoneticPr fontId="22" type="noConversion"/>
  </si>
  <si>
    <t>渝中区</t>
    <phoneticPr fontId="22" type="noConversion"/>
  </si>
  <si>
    <t>01911457</t>
    <phoneticPr fontId="22" type="noConversion"/>
  </si>
  <si>
    <t>滤棉承接座</t>
    <phoneticPr fontId="22" type="noConversion"/>
  </si>
  <si>
    <t>0006581</t>
    <phoneticPr fontId="22" type="noConversion"/>
  </si>
  <si>
    <t>曹老师</t>
    <phoneticPr fontId="22" type="noConversion"/>
  </si>
  <si>
    <t>13110110180</t>
    <phoneticPr fontId="22" type="noConversion"/>
  </si>
  <si>
    <t>0001259</t>
    <phoneticPr fontId="22" type="noConversion"/>
  </si>
  <si>
    <t>15023078788</t>
    <phoneticPr fontId="22" type="noConversion"/>
  </si>
  <si>
    <t>石坪桥西郊医院对面</t>
    <phoneticPr fontId="22" type="noConversion"/>
  </si>
  <si>
    <t>0001259</t>
    <phoneticPr fontId="22" type="noConversion"/>
  </si>
  <si>
    <t>0001257</t>
    <phoneticPr fontId="22" type="noConversion"/>
  </si>
  <si>
    <t>01911459</t>
    <phoneticPr fontId="22" type="noConversion"/>
  </si>
  <si>
    <t>0001261</t>
    <phoneticPr fontId="22" type="noConversion"/>
  </si>
  <si>
    <t>0001260</t>
    <phoneticPr fontId="22" type="noConversion"/>
  </si>
  <si>
    <t>重庆市沙坪坝区石小路165号附4号</t>
    <phoneticPr fontId="22" type="noConversion"/>
  </si>
  <si>
    <t>76-501</t>
    <phoneticPr fontId="22" type="noConversion"/>
  </si>
  <si>
    <t>0001258</t>
    <phoneticPr fontId="22" type="noConversion"/>
  </si>
  <si>
    <t>0001263</t>
    <phoneticPr fontId="22" type="noConversion"/>
  </si>
  <si>
    <t>丰都崇兴花炮厂</t>
    <phoneticPr fontId="22" type="noConversion"/>
  </si>
  <si>
    <t>0006582</t>
    <phoneticPr fontId="22" type="noConversion"/>
  </si>
  <si>
    <t>贺丰</t>
    <phoneticPr fontId="22" type="noConversion"/>
  </si>
  <si>
    <t>18983313111</t>
    <phoneticPr fontId="22" type="noConversion"/>
  </si>
  <si>
    <t>3251CNS</t>
    <phoneticPr fontId="22" type="noConversion"/>
  </si>
  <si>
    <t>0001264</t>
    <phoneticPr fontId="22" type="noConversion"/>
  </si>
  <si>
    <t>张炼</t>
    <phoneticPr fontId="22" type="noConversion"/>
  </si>
  <si>
    <t>15528188777</t>
    <phoneticPr fontId="22" type="noConversion"/>
  </si>
  <si>
    <t>渝中区</t>
    <phoneticPr fontId="22" type="noConversion"/>
  </si>
  <si>
    <t>02077323-325</t>
    <phoneticPr fontId="22" type="noConversion"/>
  </si>
  <si>
    <t>0003071</t>
    <phoneticPr fontId="22" type="noConversion"/>
  </si>
  <si>
    <t xml:space="preserve">送货上门 </t>
    <phoneticPr fontId="22" type="noConversion"/>
  </si>
  <si>
    <t>0001266</t>
    <phoneticPr fontId="22" type="noConversion"/>
  </si>
  <si>
    <t>5*0.8</t>
    <phoneticPr fontId="22" type="noConversion"/>
  </si>
  <si>
    <t>平方米</t>
    <phoneticPr fontId="22" type="noConversion"/>
  </si>
  <si>
    <t>023169142471</t>
    <phoneticPr fontId="22" type="noConversion"/>
  </si>
  <si>
    <t>01911470</t>
    <phoneticPr fontId="22" type="noConversion"/>
  </si>
  <si>
    <t>1900338189295</t>
    <phoneticPr fontId="22" type="noConversion"/>
  </si>
  <si>
    <t>重庆市永川区金冠防护用品经营部</t>
    <phoneticPr fontId="22" type="noConversion"/>
  </si>
  <si>
    <t>颗粒物呼吸防护套装经济型</t>
    <phoneticPr fontId="22" type="noConversion"/>
  </si>
  <si>
    <t>320D</t>
    <phoneticPr fontId="22" type="noConversion"/>
  </si>
  <si>
    <t>套</t>
    <phoneticPr fontId="22" type="noConversion"/>
  </si>
  <si>
    <t>转账支票</t>
    <phoneticPr fontId="22" type="noConversion"/>
  </si>
  <si>
    <t>0003072</t>
    <phoneticPr fontId="22" type="noConversion"/>
  </si>
  <si>
    <t>百信货运到付</t>
    <phoneticPr fontId="22" type="noConversion"/>
  </si>
  <si>
    <t>黎安平</t>
    <phoneticPr fontId="58" type="noConversion"/>
  </si>
  <si>
    <t>永川</t>
    <phoneticPr fontId="22" type="noConversion"/>
  </si>
  <si>
    <t>0055489</t>
    <phoneticPr fontId="22" type="noConversion"/>
  </si>
  <si>
    <t>01911465</t>
    <phoneticPr fontId="22" type="noConversion"/>
  </si>
  <si>
    <t>送票上门</t>
    <phoneticPr fontId="22" type="noConversion"/>
  </si>
  <si>
    <t xml:space="preserve">尘毒呼吸防护套装经济型 </t>
    <phoneticPr fontId="22" type="noConversion"/>
  </si>
  <si>
    <t>320P</t>
    <phoneticPr fontId="22" type="noConversion"/>
  </si>
  <si>
    <t>中国款流线型防护眼镜（透明镜片，防雾）</t>
    <phoneticPr fontId="22" type="noConversion"/>
  </si>
  <si>
    <t>付</t>
    <phoneticPr fontId="22" type="noConversion"/>
  </si>
  <si>
    <t>中国款防护眼镜</t>
    <phoneticPr fontId="22" type="noConversion"/>
  </si>
  <si>
    <t>白色带帽连体防护服L</t>
    <phoneticPr fontId="22" type="noConversion"/>
  </si>
  <si>
    <t>件</t>
    <phoneticPr fontId="22" type="noConversion"/>
  </si>
  <si>
    <t>重庆创新劳动防护用品有限公司</t>
    <phoneticPr fontId="22" type="noConversion"/>
  </si>
  <si>
    <t>0003074</t>
    <phoneticPr fontId="22" type="noConversion"/>
  </si>
  <si>
    <t>自提</t>
    <phoneticPr fontId="22" type="noConversion"/>
  </si>
  <si>
    <t>刘永刚</t>
    <phoneticPr fontId="22" type="noConversion"/>
  </si>
  <si>
    <t>15909319509</t>
    <phoneticPr fontId="22" type="noConversion"/>
  </si>
  <si>
    <t>/</t>
    <phoneticPr fontId="22" type="noConversion"/>
  </si>
  <si>
    <t>02077333</t>
    <phoneticPr fontId="22" type="noConversion"/>
  </si>
  <si>
    <t>颗粒物滤棉</t>
    <phoneticPr fontId="22" type="noConversion"/>
  </si>
  <si>
    <t>3501CN</t>
    <phoneticPr fontId="22" type="noConversion"/>
  </si>
  <si>
    <t>重庆永平劳保用品有限公司</t>
    <phoneticPr fontId="22" type="noConversion"/>
  </si>
  <si>
    <t>现金</t>
    <phoneticPr fontId="22" type="noConversion"/>
  </si>
  <si>
    <t>0003073</t>
    <phoneticPr fontId="22" type="noConversion"/>
  </si>
  <si>
    <t>送货上门</t>
    <phoneticPr fontId="22" type="noConversion"/>
  </si>
  <si>
    <t>熊老师</t>
    <phoneticPr fontId="22" type="noConversion"/>
  </si>
  <si>
    <t>68691304</t>
    <phoneticPr fontId="22" type="noConversion"/>
  </si>
  <si>
    <t>渝州交易城D区</t>
    <phoneticPr fontId="22" type="noConversion"/>
  </si>
  <si>
    <t>不开票</t>
    <phoneticPr fontId="22" type="noConversion"/>
  </si>
  <si>
    <t>半面型防护面罩</t>
    <phoneticPr fontId="22" type="noConversion"/>
  </si>
  <si>
    <t>重庆国俊物资有限公司</t>
    <phoneticPr fontId="22" type="noConversion"/>
  </si>
  <si>
    <t>3M H-412 头罩组合</t>
    <phoneticPr fontId="22" type="noConversion"/>
  </si>
  <si>
    <t xml:space="preserve">送货上门 </t>
    <phoneticPr fontId="22" type="noConversion"/>
  </si>
  <si>
    <t>伍亮</t>
    <phoneticPr fontId="22" type="noConversion"/>
  </si>
  <si>
    <t>02077322</t>
    <phoneticPr fontId="22" type="noConversion"/>
  </si>
  <si>
    <t>3M BT-20S 呼吸管</t>
    <phoneticPr fontId="22" type="noConversion"/>
  </si>
  <si>
    <t>箱</t>
    <phoneticPr fontId="22" type="noConversion"/>
  </si>
  <si>
    <t>3M V-300 空气调节阀</t>
    <phoneticPr fontId="22" type="noConversion"/>
  </si>
  <si>
    <t>Ultrafit27 圣诞树型带线耳塞( 带把手)</t>
    <phoneticPr fontId="22" type="noConversion"/>
  </si>
  <si>
    <t>340-8002</t>
    <phoneticPr fontId="22" type="noConversion"/>
  </si>
  <si>
    <t>1621AF</t>
    <phoneticPr fontId="22" type="noConversion"/>
  </si>
  <si>
    <t>渝北区广源劳保用品经营部</t>
    <phoneticPr fontId="22" type="noConversion"/>
  </si>
  <si>
    <t>5N11</t>
    <phoneticPr fontId="22" type="noConversion"/>
  </si>
  <si>
    <t>0003076</t>
    <phoneticPr fontId="22" type="noConversion"/>
  </si>
  <si>
    <t>顺昌辉到付</t>
    <phoneticPr fontId="22" type="noConversion"/>
  </si>
  <si>
    <t>刘军</t>
    <phoneticPr fontId="22" type="noConversion"/>
  </si>
  <si>
    <t>13452102967</t>
    <phoneticPr fontId="22" type="noConversion"/>
  </si>
  <si>
    <t>两路</t>
    <phoneticPr fontId="22" type="noConversion"/>
  </si>
  <si>
    <t>0009679</t>
    <phoneticPr fontId="22" type="noConversion"/>
  </si>
  <si>
    <t>有机蒸气异味及颗粒物滤棉</t>
    <phoneticPr fontId="22" type="noConversion"/>
  </si>
  <si>
    <t>3744K</t>
    <phoneticPr fontId="22" type="noConversion"/>
  </si>
  <si>
    <t>9002A</t>
    <phoneticPr fontId="22" type="noConversion"/>
  </si>
  <si>
    <r>
      <t>1</t>
    </r>
    <r>
      <rPr>
        <sz val="10"/>
        <color indexed="8"/>
        <rFont val="宋体"/>
        <family val="3"/>
        <charset val="134"/>
      </rPr>
      <t>621AF</t>
    </r>
    <phoneticPr fontId="22" type="noConversion"/>
  </si>
  <si>
    <t>巴伦支现付</t>
    <phoneticPr fontId="22" type="noConversion"/>
  </si>
  <si>
    <t>陈小兰</t>
    <phoneticPr fontId="22" type="noConversion"/>
  </si>
  <si>
    <t>023000458876</t>
    <phoneticPr fontId="22" type="noConversion"/>
  </si>
  <si>
    <t>02077321</t>
    <phoneticPr fontId="22" type="noConversion"/>
  </si>
  <si>
    <t>023000458879</t>
    <phoneticPr fontId="22" type="noConversion"/>
  </si>
  <si>
    <t>0003077</t>
    <phoneticPr fontId="22" type="noConversion"/>
  </si>
  <si>
    <t>自贡市正信物资有限公司</t>
    <phoneticPr fontId="22" type="noConversion"/>
  </si>
  <si>
    <t>子弹型带线耳塞</t>
    <phoneticPr fontId="22" type="noConversion"/>
  </si>
  <si>
    <t>0003078</t>
    <phoneticPr fontId="22" type="noConversion"/>
  </si>
  <si>
    <t>乾智货运到付</t>
    <phoneticPr fontId="22" type="noConversion"/>
  </si>
  <si>
    <t>凌莉英</t>
    <phoneticPr fontId="22" type="noConversion"/>
  </si>
  <si>
    <t>18990016852</t>
    <phoneticPr fontId="22" type="noConversion"/>
  </si>
  <si>
    <t>自贡市</t>
    <phoneticPr fontId="22" type="noConversion"/>
  </si>
  <si>
    <t>0000738</t>
    <phoneticPr fontId="22" type="noConversion"/>
  </si>
  <si>
    <t>重庆建工钢结构有限公司</t>
    <phoneticPr fontId="22" type="noConversion"/>
  </si>
  <si>
    <t>颗粒物防护口罩-蓝色</t>
    <phoneticPr fontId="22" type="noConversion"/>
  </si>
  <si>
    <t>0006648</t>
    <phoneticPr fontId="22" type="noConversion"/>
  </si>
  <si>
    <t>江津珞璜工业园</t>
    <phoneticPr fontId="22" type="noConversion"/>
  </si>
  <si>
    <t>终端</t>
    <phoneticPr fontId="22" type="noConversion"/>
  </si>
  <si>
    <t>圣诞树型带线耳塞</t>
    <phoneticPr fontId="22" type="noConversion"/>
  </si>
  <si>
    <t>6200</t>
    <phoneticPr fontId="22" type="noConversion"/>
  </si>
  <si>
    <t>0003079</t>
    <phoneticPr fontId="22" type="noConversion"/>
  </si>
  <si>
    <t>嘉烨</t>
    <phoneticPr fontId="22" type="noConversion"/>
  </si>
  <si>
    <t>6001CN</t>
    <phoneticPr fontId="22" type="noConversion"/>
  </si>
  <si>
    <t>滤棉盖</t>
    <phoneticPr fontId="22" type="noConversion"/>
  </si>
  <si>
    <t>重庆荣生人造板有限公司</t>
    <phoneticPr fontId="22" type="noConversion"/>
  </si>
  <si>
    <t>0003104</t>
    <phoneticPr fontId="22" type="noConversion"/>
  </si>
  <si>
    <t>自提</t>
    <phoneticPr fontId="45" type="noConversion"/>
  </si>
  <si>
    <t>何永刚</t>
    <phoneticPr fontId="22" type="noConversion"/>
  </si>
  <si>
    <t>13508397297</t>
    <phoneticPr fontId="22" type="noConversion"/>
  </si>
  <si>
    <t>沙坪坝区歌乐山镇</t>
    <phoneticPr fontId="22" type="noConversion"/>
  </si>
  <si>
    <t>终端</t>
    <phoneticPr fontId="45" type="noConversion"/>
  </si>
  <si>
    <t>有机气体防护口罩( 中文包装）</t>
    <phoneticPr fontId="60" type="noConversion"/>
  </si>
  <si>
    <t>三州物流到付</t>
    <phoneticPr fontId="45" type="noConversion"/>
  </si>
  <si>
    <t>13888956566</t>
    <phoneticPr fontId="22" type="noConversion"/>
  </si>
  <si>
    <t>昆明</t>
    <phoneticPr fontId="22" type="noConversion"/>
  </si>
  <si>
    <t>0004354</t>
    <phoneticPr fontId="22" type="noConversion"/>
  </si>
  <si>
    <t>渠道</t>
    <phoneticPr fontId="45" type="noConversion"/>
  </si>
  <si>
    <t>重庆嘉烨商贸有限公司</t>
    <phoneticPr fontId="22" type="noConversion"/>
  </si>
  <si>
    <t>镀铝防护面屏</t>
    <phoneticPr fontId="22" type="noConversion"/>
  </si>
  <si>
    <t>82518</t>
    <phoneticPr fontId="22" type="noConversion"/>
  </si>
  <si>
    <t>顺丰到付</t>
    <phoneticPr fontId="22" type="noConversion"/>
  </si>
  <si>
    <t>黄永琼</t>
    <phoneticPr fontId="22" type="noConversion"/>
  </si>
  <si>
    <t>13708434910</t>
    <phoneticPr fontId="22" type="noConversion"/>
  </si>
  <si>
    <t>昆明市小龙村万象城5栋1501号</t>
    <phoneticPr fontId="22" type="noConversion"/>
  </si>
  <si>
    <t>023169142499</t>
    <phoneticPr fontId="22" type="noConversion"/>
  </si>
  <si>
    <t>尘毒呼吸防护套装(MRO)舒适型</t>
    <phoneticPr fontId="22" type="noConversion"/>
  </si>
  <si>
    <t>720P</t>
    <phoneticPr fontId="22" type="noConversion"/>
  </si>
  <si>
    <t>尘毒呼吸防护套装实用性</t>
    <phoneticPr fontId="22" type="noConversion"/>
  </si>
  <si>
    <t>620P</t>
    <phoneticPr fontId="22" type="noConversion"/>
  </si>
  <si>
    <t>个</t>
    <phoneticPr fontId="57" type="noConversion"/>
  </si>
  <si>
    <t>经济型耳罩</t>
    <phoneticPr fontId="22" type="noConversion"/>
  </si>
  <si>
    <t>中国款流线型防护眼镜（灰色镜片，防雾）</t>
    <phoneticPr fontId="22" type="noConversion"/>
  </si>
  <si>
    <t>有机蒸气滤毒盒</t>
    <phoneticPr fontId="22" type="noConversion"/>
  </si>
  <si>
    <t>3301CN</t>
    <phoneticPr fontId="22" type="noConversion"/>
  </si>
  <si>
    <t>预过滤棉</t>
    <phoneticPr fontId="22" type="noConversion"/>
  </si>
  <si>
    <t>3N11CN</t>
    <phoneticPr fontId="22" type="noConversion"/>
  </si>
  <si>
    <t>昆明瀚德经贸有限公司</t>
    <phoneticPr fontId="22" type="noConversion"/>
  </si>
  <si>
    <t>0006589</t>
    <phoneticPr fontId="22" type="noConversion"/>
  </si>
  <si>
    <t>杨伟</t>
    <phoneticPr fontId="22" type="noConversion"/>
  </si>
  <si>
    <t>13888727973</t>
    <phoneticPr fontId="22" type="noConversion"/>
  </si>
  <si>
    <t>昆明市烟草路华龙人家41栋1单元602号</t>
    <phoneticPr fontId="22" type="noConversion"/>
  </si>
  <si>
    <t>0004558</t>
    <phoneticPr fontId="22" type="noConversion"/>
  </si>
  <si>
    <t>02196776-784</t>
    <phoneticPr fontId="22" type="noConversion"/>
  </si>
  <si>
    <t>1900338189314</t>
    <phoneticPr fontId="22" type="noConversion"/>
  </si>
  <si>
    <t>云南光裕工贸有限公司</t>
    <phoneticPr fontId="22" type="noConversion"/>
  </si>
  <si>
    <t>舒适型面屏支架</t>
    <phoneticPr fontId="22" type="noConversion"/>
  </si>
  <si>
    <t>0006585</t>
    <phoneticPr fontId="22" type="noConversion"/>
  </si>
  <si>
    <t>0004547</t>
    <phoneticPr fontId="22" type="noConversion"/>
  </si>
  <si>
    <t>02077335-337</t>
    <phoneticPr fontId="22" type="noConversion"/>
  </si>
  <si>
    <t>1900338189294</t>
    <phoneticPr fontId="22" type="noConversion"/>
  </si>
  <si>
    <t>有机气体及颗粒物防护口罩</t>
    <phoneticPr fontId="22" type="noConversion"/>
  </si>
  <si>
    <t>Ultrafit 圣诞树型带线耳塞</t>
    <phoneticPr fontId="22" type="noConversion"/>
  </si>
  <si>
    <t>340-4004</t>
    <phoneticPr fontId="22" type="noConversion"/>
  </si>
  <si>
    <t>绿色带帽连体防护服M</t>
    <phoneticPr fontId="22" type="noConversion"/>
  </si>
  <si>
    <t>绿色带帽连体防护服L</t>
    <phoneticPr fontId="22" type="noConversion"/>
  </si>
  <si>
    <t>重庆煌辉化学危险品销售有限公司</t>
    <phoneticPr fontId="22" type="noConversion"/>
  </si>
  <si>
    <t>金佰利</t>
    <phoneticPr fontId="22" type="noConversion"/>
  </si>
  <si>
    <t>W5无尘擦拭布</t>
    <phoneticPr fontId="22" type="noConversion"/>
  </si>
  <si>
    <t>0003080</t>
    <phoneticPr fontId="22" type="noConversion"/>
  </si>
  <si>
    <t>付强</t>
    <phoneticPr fontId="22" type="noConversion"/>
  </si>
  <si>
    <t>13627687245</t>
    <phoneticPr fontId="22" type="noConversion"/>
  </si>
  <si>
    <t>重庆市沙坪坝区石小路165号附4号</t>
    <phoneticPr fontId="22" type="noConversion"/>
  </si>
  <si>
    <t>0006586</t>
    <phoneticPr fontId="22" type="noConversion"/>
  </si>
  <si>
    <t>世纪兴物流到付</t>
    <phoneticPr fontId="22" type="noConversion"/>
  </si>
  <si>
    <t>宗明</t>
    <phoneticPr fontId="22" type="noConversion"/>
  </si>
  <si>
    <t>13990029388</t>
    <phoneticPr fontId="22" type="noConversion"/>
  </si>
  <si>
    <t>0015037</t>
    <phoneticPr fontId="22" type="noConversion"/>
  </si>
  <si>
    <t>02077327</t>
    <phoneticPr fontId="22" type="noConversion"/>
  </si>
  <si>
    <t>杜邦防护服</t>
    <phoneticPr fontId="22" type="noConversion"/>
  </si>
  <si>
    <t>candex</t>
    <phoneticPr fontId="22" type="noConversion"/>
  </si>
  <si>
    <t>重庆中电</t>
    <phoneticPr fontId="22" type="noConversion"/>
  </si>
  <si>
    <t>0006588</t>
    <phoneticPr fontId="22" type="noConversion"/>
  </si>
  <si>
    <t>李端</t>
    <phoneticPr fontId="22" type="noConversion"/>
  </si>
  <si>
    <t>0003082</t>
    <phoneticPr fontId="22" type="noConversion"/>
  </si>
  <si>
    <t>艾诺斯（重庆）华达电源系统有限公司</t>
    <phoneticPr fontId="22" type="noConversion"/>
  </si>
  <si>
    <t>颗粒物滤毒盒</t>
    <phoneticPr fontId="22" type="noConversion"/>
  </si>
  <si>
    <t>7093 P100</t>
    <phoneticPr fontId="22" type="noConversion"/>
  </si>
  <si>
    <t>0006591</t>
    <phoneticPr fontId="22" type="noConversion"/>
  </si>
  <si>
    <t>顺丰现付</t>
    <phoneticPr fontId="22" type="noConversion"/>
  </si>
  <si>
    <t>邓旭</t>
    <phoneticPr fontId="22" type="noConversion"/>
  </si>
  <si>
    <t>15023777398</t>
    <phoneticPr fontId="22" type="noConversion"/>
  </si>
  <si>
    <t>重庆市大足区双桥经济开发区双钱路4号</t>
    <phoneticPr fontId="22" type="noConversion"/>
  </si>
  <si>
    <t>023169142480</t>
    <phoneticPr fontId="22" type="noConversion"/>
  </si>
  <si>
    <t>02077343</t>
    <phoneticPr fontId="22" type="noConversion"/>
  </si>
  <si>
    <t>硅胶半面型防护面罩（中号）</t>
    <phoneticPr fontId="22" type="noConversion"/>
  </si>
  <si>
    <t>3003K-100</t>
    <phoneticPr fontId="22" type="noConversion"/>
  </si>
  <si>
    <t>经济型焊接用防尘口罩</t>
    <phoneticPr fontId="22" type="noConversion"/>
  </si>
  <si>
    <t>8515</t>
    <phoneticPr fontId="22" type="noConversion"/>
  </si>
  <si>
    <t>0003081</t>
    <phoneticPr fontId="22" type="noConversion"/>
  </si>
  <si>
    <t>送货上门（小殷）</t>
    <phoneticPr fontId="22" type="noConversion"/>
  </si>
  <si>
    <t>钱开兰</t>
    <phoneticPr fontId="22" type="noConversion"/>
  </si>
  <si>
    <t>15320381097</t>
    <phoneticPr fontId="22" type="noConversion"/>
  </si>
  <si>
    <t>多用气体/蒸气滤毒盒</t>
    <phoneticPr fontId="22" type="noConversion"/>
  </si>
  <si>
    <t>6006</t>
    <phoneticPr fontId="22" type="noConversion"/>
  </si>
  <si>
    <t>0003083</t>
    <phoneticPr fontId="22" type="noConversion"/>
  </si>
  <si>
    <t>白色带帽连体防护服L</t>
    <phoneticPr fontId="22" type="noConversion"/>
  </si>
  <si>
    <t>0006592</t>
    <phoneticPr fontId="22" type="noConversion"/>
  </si>
  <si>
    <t>拉法基瑞安（北京）技术服务有限公司重庆分公司工会委员会</t>
    <phoneticPr fontId="22" type="noConversion"/>
  </si>
  <si>
    <t>消防逃生面具</t>
    <phoneticPr fontId="22" type="noConversion"/>
  </si>
  <si>
    <t>XHZLC30</t>
    <phoneticPr fontId="22" type="noConversion"/>
  </si>
  <si>
    <t>/</t>
    <phoneticPr fontId="22" type="noConversion"/>
  </si>
  <si>
    <t>00269138-9139</t>
    <phoneticPr fontId="22" type="noConversion"/>
  </si>
  <si>
    <t>烟雾报警器</t>
    <phoneticPr fontId="22" type="noConversion"/>
  </si>
  <si>
    <t>GTY-GD802</t>
    <phoneticPr fontId="22" type="noConversion"/>
  </si>
  <si>
    <t>灭火毯</t>
    <phoneticPr fontId="22" type="noConversion"/>
  </si>
  <si>
    <t>0.43mm*1.0*1.0m</t>
    <phoneticPr fontId="22" type="noConversion"/>
  </si>
  <si>
    <t>张</t>
    <phoneticPr fontId="22" type="noConversion"/>
  </si>
  <si>
    <t>安全应急手提包</t>
    <phoneticPr fontId="22" type="noConversion"/>
  </si>
  <si>
    <t>420D</t>
    <phoneticPr fontId="22" type="noConversion"/>
  </si>
  <si>
    <t>昆明海世定泰商贸有限公司</t>
    <phoneticPr fontId="22" type="noConversion"/>
  </si>
  <si>
    <t>3003K-100</t>
    <phoneticPr fontId="22" type="noConversion"/>
  </si>
  <si>
    <t>三州物流到付</t>
    <phoneticPr fontId="45" type="noConversion"/>
  </si>
  <si>
    <t>龙柳昆</t>
    <phoneticPr fontId="22" type="noConversion"/>
  </si>
  <si>
    <t>15987175322</t>
    <phoneticPr fontId="22" type="noConversion"/>
  </si>
  <si>
    <t>昆明市环城南路666号云纺国际商厦4F-65</t>
    <phoneticPr fontId="22" type="noConversion"/>
  </si>
  <si>
    <t>0004575</t>
    <phoneticPr fontId="22" type="noConversion"/>
  </si>
  <si>
    <t>02077338-341</t>
    <phoneticPr fontId="22" type="noConversion"/>
  </si>
  <si>
    <t>1900338189295</t>
    <phoneticPr fontId="22" type="noConversion"/>
  </si>
  <si>
    <t>重庆国俊物资有限公司</t>
    <phoneticPr fontId="22" type="noConversion"/>
  </si>
  <si>
    <t>0006593</t>
    <phoneticPr fontId="22" type="noConversion"/>
  </si>
  <si>
    <t xml:space="preserve">送货上门 </t>
    <phoneticPr fontId="22" type="noConversion"/>
  </si>
  <si>
    <t>伍亮</t>
    <phoneticPr fontId="22" type="noConversion"/>
  </si>
  <si>
    <t>重庆清创机械有限公司</t>
    <phoneticPr fontId="22" type="noConversion"/>
  </si>
  <si>
    <t>0006594</t>
    <phoneticPr fontId="22" type="noConversion"/>
  </si>
  <si>
    <t>詹经理</t>
    <phoneticPr fontId="22" type="noConversion"/>
  </si>
  <si>
    <t>18325001189</t>
    <phoneticPr fontId="22" type="noConversion"/>
  </si>
  <si>
    <t>武隆白马工业园</t>
    <phoneticPr fontId="22" type="noConversion"/>
  </si>
  <si>
    <t>568133667992</t>
    <phoneticPr fontId="22" type="noConversion"/>
  </si>
  <si>
    <t>重庆嘉烨商贸有限公司</t>
    <phoneticPr fontId="22" type="noConversion"/>
  </si>
  <si>
    <t>银盈</t>
    <phoneticPr fontId="22" type="noConversion"/>
  </si>
  <si>
    <t>023163507989</t>
    <phoneticPr fontId="22" type="noConversion"/>
  </si>
  <si>
    <t>渠道</t>
    <phoneticPr fontId="45" type="noConversion"/>
  </si>
  <si>
    <t>重庆沙坪坝环境监测站</t>
    <phoneticPr fontId="22" type="noConversion"/>
  </si>
  <si>
    <t>9042A</t>
    <phoneticPr fontId="22" type="noConversion"/>
  </si>
  <si>
    <t>0006595</t>
    <phoneticPr fontId="22" type="noConversion"/>
  </si>
  <si>
    <t>叶老师</t>
    <phoneticPr fontId="22" type="noConversion"/>
  </si>
  <si>
    <t>15902333346</t>
    <phoneticPr fontId="22" type="noConversion"/>
  </si>
  <si>
    <t>重庆沙坪坝</t>
    <phoneticPr fontId="22" type="noConversion"/>
  </si>
  <si>
    <t>00269140</t>
    <phoneticPr fontId="22" type="noConversion"/>
  </si>
  <si>
    <t>重庆市大足县胡家沟建材有限公司</t>
    <phoneticPr fontId="22" type="noConversion"/>
  </si>
  <si>
    <t>0006597</t>
    <phoneticPr fontId="22" type="noConversion"/>
  </si>
  <si>
    <t>秋实物流到付</t>
    <phoneticPr fontId="22" type="noConversion"/>
  </si>
  <si>
    <t>龙老师</t>
    <phoneticPr fontId="22" type="noConversion"/>
  </si>
  <si>
    <t>13883445417</t>
    <phoneticPr fontId="22" type="noConversion"/>
  </si>
  <si>
    <t>大足龙水</t>
    <phoneticPr fontId="22" type="noConversion"/>
  </si>
  <si>
    <t>0051525</t>
    <phoneticPr fontId="22" type="noConversion"/>
  </si>
  <si>
    <t>00400567</t>
    <phoneticPr fontId="22" type="noConversion"/>
  </si>
  <si>
    <t>1900338189313</t>
    <phoneticPr fontId="22" type="noConversion"/>
  </si>
  <si>
    <t>0003085</t>
    <phoneticPr fontId="22" type="noConversion"/>
  </si>
  <si>
    <t>九羚物流到付</t>
    <phoneticPr fontId="22" type="noConversion"/>
  </si>
  <si>
    <t>两路</t>
    <phoneticPr fontId="22" type="noConversion"/>
  </si>
  <si>
    <t>0009945</t>
    <phoneticPr fontId="22" type="noConversion"/>
  </si>
  <si>
    <t>8210</t>
    <phoneticPr fontId="22" type="noConversion"/>
  </si>
  <si>
    <t>圣诞树型带线耳塞</t>
    <phoneticPr fontId="22" type="noConversion"/>
  </si>
  <si>
    <t>10434</t>
    <phoneticPr fontId="22" type="noConversion"/>
  </si>
  <si>
    <t>11394</t>
    <phoneticPr fontId="22" type="noConversion"/>
  </si>
  <si>
    <t>0006598</t>
    <phoneticPr fontId="22" type="noConversion"/>
  </si>
  <si>
    <t>颗粒物呼吸防护组合</t>
    <phoneticPr fontId="22" type="noConversion"/>
  </si>
  <si>
    <t>3251CNL</t>
    <phoneticPr fontId="22" type="noConversion"/>
  </si>
  <si>
    <t>套</t>
    <phoneticPr fontId="22" type="noConversion"/>
  </si>
  <si>
    <t>02077331-332</t>
    <phoneticPr fontId="22" type="noConversion"/>
  </si>
  <si>
    <t>重庆兴源木业</t>
    <phoneticPr fontId="22" type="noConversion"/>
  </si>
  <si>
    <t>0003138</t>
    <phoneticPr fontId="22" type="noConversion"/>
  </si>
  <si>
    <t>3700</t>
    <phoneticPr fontId="22" type="noConversion"/>
  </si>
  <si>
    <t>重庆恒富机电制造有限公司</t>
    <phoneticPr fontId="22" type="noConversion"/>
  </si>
  <si>
    <t>37-175</t>
    <phoneticPr fontId="22" type="noConversion"/>
  </si>
  <si>
    <t>双</t>
    <phoneticPr fontId="22" type="noConversion"/>
  </si>
  <si>
    <t>0003140</t>
    <phoneticPr fontId="22" type="noConversion"/>
  </si>
  <si>
    <t>48-913</t>
    <phoneticPr fontId="22" type="noConversion"/>
  </si>
  <si>
    <t>0003139</t>
    <phoneticPr fontId="22" type="noConversion"/>
  </si>
  <si>
    <t>重庆宁秀机械制造厂</t>
    <phoneticPr fontId="22" type="noConversion"/>
  </si>
  <si>
    <t>37-176</t>
    <phoneticPr fontId="22" type="noConversion"/>
  </si>
  <si>
    <t>0003141</t>
    <phoneticPr fontId="22" type="noConversion"/>
  </si>
  <si>
    <t>N100 高效防护口罩</t>
    <phoneticPr fontId="22" type="noConversion"/>
  </si>
  <si>
    <t>8233</t>
    <phoneticPr fontId="22" type="noConversion"/>
  </si>
  <si>
    <t>0006600</t>
    <phoneticPr fontId="22" type="noConversion"/>
  </si>
  <si>
    <t>世纪兴物流到付</t>
    <phoneticPr fontId="22" type="noConversion"/>
  </si>
  <si>
    <t>宗明</t>
    <phoneticPr fontId="22" type="noConversion"/>
  </si>
  <si>
    <t>13990029388</t>
    <phoneticPr fontId="22" type="noConversion"/>
  </si>
  <si>
    <t>02077327</t>
    <phoneticPr fontId="22" type="noConversion"/>
  </si>
  <si>
    <t>折叠式防尘口罩( 标准号)</t>
    <phoneticPr fontId="22" type="noConversion"/>
  </si>
  <si>
    <t xml:space="preserve">9102C </t>
    <phoneticPr fontId="22" type="noConversion"/>
  </si>
  <si>
    <t>0003086</t>
    <phoneticPr fontId="22" type="noConversion"/>
  </si>
  <si>
    <t>0009023</t>
    <phoneticPr fontId="22" type="noConversion"/>
  </si>
  <si>
    <t>重庆开元松下焊机销售有限公司</t>
    <phoneticPr fontId="22" type="noConversion"/>
  </si>
  <si>
    <t>0006599</t>
    <phoneticPr fontId="22" type="noConversion"/>
  </si>
  <si>
    <t>左雪莲</t>
    <phoneticPr fontId="22" type="noConversion"/>
  </si>
  <si>
    <t>重庆市九龙坡区杨家坪直港大道18号</t>
    <phoneticPr fontId="22" type="noConversion"/>
  </si>
  <si>
    <t>02077326</t>
    <phoneticPr fontId="22" type="noConversion"/>
  </si>
  <si>
    <t>重庆申蓉商贸有限公司</t>
    <phoneticPr fontId="22" type="noConversion"/>
  </si>
  <si>
    <t>0006601</t>
    <phoneticPr fontId="22" type="noConversion"/>
  </si>
  <si>
    <t>个人李东明</t>
    <phoneticPr fontId="22" type="noConversion"/>
  </si>
  <si>
    <t>达县南外广达到付</t>
    <phoneticPr fontId="22" type="noConversion"/>
  </si>
  <si>
    <t>李东明</t>
    <phoneticPr fontId="22" type="noConversion"/>
  </si>
  <si>
    <t>13908243167</t>
    <phoneticPr fontId="22" type="noConversion"/>
  </si>
  <si>
    <t>四川大竹</t>
    <phoneticPr fontId="22" type="noConversion"/>
  </si>
  <si>
    <t>颗粒物滤棉</t>
    <phoneticPr fontId="22" type="noConversion"/>
  </si>
  <si>
    <t>2091 P100</t>
    <phoneticPr fontId="22" type="noConversion"/>
  </si>
  <si>
    <t>德邦物流现付</t>
    <phoneticPr fontId="22" type="noConversion"/>
  </si>
  <si>
    <t>102803620</t>
    <phoneticPr fontId="22" type="noConversion"/>
  </si>
  <si>
    <t>02077338-341</t>
    <phoneticPr fontId="22" type="noConversion"/>
  </si>
  <si>
    <t>颗粒物防尘口罩-蓝色</t>
    <phoneticPr fontId="22" type="noConversion"/>
  </si>
  <si>
    <t>0006603</t>
    <phoneticPr fontId="22" type="noConversion"/>
  </si>
  <si>
    <t>391-1001</t>
    <phoneticPr fontId="22" type="noConversion"/>
  </si>
  <si>
    <t>0006379</t>
    <phoneticPr fontId="22" type="noConversion"/>
  </si>
  <si>
    <t>0006377</t>
    <phoneticPr fontId="22" type="noConversion"/>
  </si>
  <si>
    <t>0003087</t>
    <phoneticPr fontId="22" type="noConversion"/>
  </si>
  <si>
    <t>3700</t>
    <phoneticPr fontId="22" type="noConversion"/>
  </si>
  <si>
    <t>3701CN</t>
    <phoneticPr fontId="22" type="noConversion"/>
  </si>
  <si>
    <t>昆明海世定泰商贸有限公司</t>
    <phoneticPr fontId="22" type="noConversion"/>
  </si>
  <si>
    <t>6002CN</t>
    <phoneticPr fontId="22" type="noConversion"/>
  </si>
  <si>
    <t>龙柳昆</t>
    <phoneticPr fontId="22" type="noConversion"/>
  </si>
  <si>
    <t>15987175322</t>
    <phoneticPr fontId="22" type="noConversion"/>
  </si>
  <si>
    <t>昆明市环城南路666号云纺国际商厦4F-65</t>
    <phoneticPr fontId="22" type="noConversion"/>
  </si>
  <si>
    <t>0006376</t>
    <phoneticPr fontId="22" type="noConversion"/>
  </si>
  <si>
    <t>0003089</t>
    <phoneticPr fontId="22" type="noConversion"/>
  </si>
  <si>
    <t>颗粒物滤棉</t>
    <phoneticPr fontId="22" type="noConversion"/>
  </si>
  <si>
    <t>2091 P100</t>
    <phoneticPr fontId="22" type="noConversion"/>
  </si>
  <si>
    <t>1270</t>
    <phoneticPr fontId="22" type="noConversion"/>
  </si>
  <si>
    <t>重庆跨越卓远机械制造有限公司</t>
    <phoneticPr fontId="22" type="noConversion"/>
  </si>
  <si>
    <t>0006605</t>
    <phoneticPr fontId="22" type="noConversion"/>
  </si>
  <si>
    <t>顺昌建辉现付</t>
    <phoneticPr fontId="22" type="noConversion"/>
  </si>
  <si>
    <t>张翔</t>
    <phoneticPr fontId="22" type="noConversion"/>
  </si>
  <si>
    <t>15084321018</t>
    <phoneticPr fontId="22" type="noConversion"/>
  </si>
  <si>
    <t>0014512</t>
    <phoneticPr fontId="22" type="noConversion"/>
  </si>
  <si>
    <t>02077345</t>
    <phoneticPr fontId="22" type="noConversion"/>
  </si>
  <si>
    <t>重庆朕尔科技有限公司</t>
    <phoneticPr fontId="22" type="noConversion"/>
  </si>
  <si>
    <t>0003091</t>
    <phoneticPr fontId="22" type="noConversion"/>
  </si>
  <si>
    <t>不含税</t>
    <phoneticPr fontId="22" type="noConversion"/>
  </si>
  <si>
    <t>Ansell</t>
    <phoneticPr fontId="22" type="noConversion"/>
  </si>
  <si>
    <t>37-175</t>
    <phoneticPr fontId="22" type="noConversion"/>
  </si>
  <si>
    <t>0003092</t>
    <phoneticPr fontId="22" type="noConversion"/>
  </si>
  <si>
    <t>02196787-788</t>
    <phoneticPr fontId="22" type="noConversion"/>
  </si>
  <si>
    <t>荣昌县远达建材有限公司</t>
    <phoneticPr fontId="22" type="noConversion"/>
  </si>
  <si>
    <t>0003094</t>
    <phoneticPr fontId="22" type="noConversion"/>
  </si>
  <si>
    <t>顺昌建辉到付</t>
    <phoneticPr fontId="22" type="noConversion"/>
  </si>
  <si>
    <t>陈建</t>
    <phoneticPr fontId="22" type="noConversion"/>
  </si>
  <si>
    <t>13018348776</t>
    <phoneticPr fontId="22" type="noConversion"/>
  </si>
  <si>
    <t>重庆市荣昌县广顺东大街50号</t>
    <phoneticPr fontId="22" type="noConversion"/>
  </si>
  <si>
    <t>0014037</t>
    <phoneticPr fontId="22" type="noConversion"/>
  </si>
  <si>
    <t>重庆申蓉商贸有限公司</t>
    <phoneticPr fontId="22" type="noConversion"/>
  </si>
  <si>
    <t>HyFlex11-800</t>
    <phoneticPr fontId="22" type="noConversion"/>
  </si>
  <si>
    <t>11-800</t>
    <phoneticPr fontId="22" type="noConversion"/>
  </si>
  <si>
    <t>双</t>
    <phoneticPr fontId="22" type="noConversion"/>
  </si>
  <si>
    <t>0003093</t>
    <phoneticPr fontId="22" type="noConversion"/>
  </si>
  <si>
    <t>重庆永荣矿业有限公司洗选厂</t>
    <phoneticPr fontId="22" type="noConversion"/>
  </si>
  <si>
    <t>0006604</t>
    <phoneticPr fontId="22" type="noConversion"/>
  </si>
  <si>
    <t>刘老师</t>
    <phoneticPr fontId="22" type="noConversion"/>
  </si>
  <si>
    <t>13996463557</t>
    <phoneticPr fontId="22" type="noConversion"/>
  </si>
  <si>
    <t>重庆大足邮亭工业园区</t>
    <phoneticPr fontId="22" type="noConversion"/>
  </si>
  <si>
    <t>未开票</t>
    <phoneticPr fontId="22" type="noConversion"/>
  </si>
  <si>
    <t>0003095</t>
    <phoneticPr fontId="22" type="noConversion"/>
  </si>
  <si>
    <t>重庆贝浪物资有限公司</t>
    <phoneticPr fontId="22" type="noConversion"/>
  </si>
  <si>
    <t>0001367</t>
    <phoneticPr fontId="22" type="noConversion"/>
  </si>
  <si>
    <t>李（交易城建行对面）</t>
    <phoneticPr fontId="22" type="noConversion"/>
  </si>
  <si>
    <t>023-68608434</t>
    <phoneticPr fontId="22" type="noConversion"/>
  </si>
  <si>
    <t>重庆商祺商贸有限公司</t>
    <phoneticPr fontId="22" type="noConversion"/>
  </si>
  <si>
    <t>李光银</t>
    <phoneticPr fontId="22" type="noConversion"/>
  </si>
  <si>
    <t>18725666444</t>
    <phoneticPr fontId="22" type="noConversion"/>
  </si>
  <si>
    <t>合川区振兴路438号</t>
    <phoneticPr fontId="22" type="noConversion"/>
  </si>
  <si>
    <t>023190474727</t>
    <phoneticPr fontId="22" type="noConversion"/>
  </si>
  <si>
    <t>02077328</t>
    <phoneticPr fontId="22" type="noConversion"/>
  </si>
  <si>
    <t>有机及酸性气体异味颗粒物滤棉</t>
    <phoneticPr fontId="22" type="noConversion"/>
  </si>
  <si>
    <t>02077329</t>
    <phoneticPr fontId="22" type="noConversion"/>
  </si>
  <si>
    <t>重庆西亭科技有限公司</t>
    <phoneticPr fontId="22" type="noConversion"/>
  </si>
  <si>
    <t>周勇</t>
    <phoneticPr fontId="22" type="noConversion"/>
  </si>
  <si>
    <t>13228626203</t>
    <phoneticPr fontId="22" type="noConversion"/>
  </si>
  <si>
    <t>重庆市长寿区凤城李家坪（川染厂内）</t>
    <phoneticPr fontId="22" type="noConversion"/>
  </si>
  <si>
    <t>023190474736</t>
    <phoneticPr fontId="22" type="noConversion"/>
  </si>
  <si>
    <t>02077334</t>
    <phoneticPr fontId="22" type="noConversion"/>
  </si>
  <si>
    <t>1900338189296</t>
    <phoneticPr fontId="22" type="noConversion"/>
  </si>
  <si>
    <t>重庆民族经济发展有限公司汽车服务分公司</t>
    <phoneticPr fontId="22" type="noConversion"/>
  </si>
  <si>
    <t>0001368</t>
    <phoneticPr fontId="22" type="noConversion"/>
  </si>
  <si>
    <t>02077330</t>
    <phoneticPr fontId="22" type="noConversion"/>
  </si>
  <si>
    <t>荣昌县吴家镇管道配件加工厂</t>
    <phoneticPr fontId="22" type="noConversion"/>
  </si>
  <si>
    <t>0006606</t>
    <phoneticPr fontId="22" type="noConversion"/>
  </si>
  <si>
    <t>王国祥</t>
    <phoneticPr fontId="22" type="noConversion"/>
  </si>
  <si>
    <t>13609403014</t>
    <phoneticPr fontId="22" type="noConversion"/>
  </si>
  <si>
    <t>荣昌县吴家镇</t>
    <phoneticPr fontId="22" type="noConversion"/>
  </si>
  <si>
    <t>02077342</t>
    <phoneticPr fontId="22" type="noConversion"/>
  </si>
  <si>
    <t>重庆欧瑞工贸有限公司</t>
    <phoneticPr fontId="22" type="noConversion"/>
  </si>
  <si>
    <t>0001370</t>
    <phoneticPr fontId="22" type="noConversion"/>
  </si>
  <si>
    <t>0001371</t>
    <phoneticPr fontId="22" type="noConversion"/>
  </si>
  <si>
    <t>拉法基瑞安（北京）技术服务有限公司重庆分公司工会委员会</t>
    <phoneticPr fontId="22" type="noConversion"/>
  </si>
  <si>
    <r>
      <t>3M</t>
    </r>
    <r>
      <rPr>
        <sz val="9"/>
        <color indexed="8"/>
        <rFont val="宋体"/>
        <family val="3"/>
        <charset val="134"/>
      </rPr>
      <t/>
    </r>
    <phoneticPr fontId="22" type="noConversion"/>
  </si>
  <si>
    <t>0003097</t>
    <phoneticPr fontId="22" type="noConversion"/>
  </si>
  <si>
    <t>/</t>
    <phoneticPr fontId="22" type="noConversion"/>
  </si>
  <si>
    <t>独立式光电感烟探测器</t>
    <phoneticPr fontId="22" type="noConversion"/>
  </si>
  <si>
    <t>灭火毯</t>
    <phoneticPr fontId="22" type="noConversion"/>
  </si>
  <si>
    <t>0.43mm*1.0*1.0m</t>
    <phoneticPr fontId="22" type="noConversion"/>
  </si>
  <si>
    <t>条</t>
    <phoneticPr fontId="22" type="noConversion"/>
  </si>
  <si>
    <t>420D</t>
    <phoneticPr fontId="22" type="noConversion"/>
  </si>
  <si>
    <t>个</t>
    <phoneticPr fontId="22" type="noConversion"/>
  </si>
  <si>
    <t>0003097</t>
    <phoneticPr fontId="22" type="noConversion"/>
  </si>
  <si>
    <t xml:space="preserve">送货上门 </t>
    <phoneticPr fontId="22" type="noConversion"/>
  </si>
  <si>
    <t>/</t>
    <phoneticPr fontId="22" type="noConversion"/>
  </si>
  <si>
    <t>/</t>
    <phoneticPr fontId="22" type="noConversion"/>
  </si>
  <si>
    <t>不开票</t>
    <phoneticPr fontId="22" type="noConversion"/>
  </si>
  <si>
    <t>终端</t>
    <phoneticPr fontId="22" type="noConversion"/>
  </si>
  <si>
    <t>拉法基瑞安（北京）技术服务有限公司重庆分公司工会委员会</t>
    <phoneticPr fontId="22" type="noConversion"/>
  </si>
  <si>
    <t>Ansell</t>
    <phoneticPr fontId="22" type="noConversion"/>
  </si>
  <si>
    <t>48-501</t>
    <phoneticPr fontId="22" type="noConversion"/>
  </si>
  <si>
    <t>双</t>
    <phoneticPr fontId="22" type="noConversion"/>
  </si>
  <si>
    <r>
      <t>3M</t>
    </r>
    <r>
      <rPr>
        <sz val="9"/>
        <color indexed="8"/>
        <rFont val="宋体"/>
        <family val="3"/>
        <charset val="134"/>
      </rPr>
      <t/>
    </r>
    <phoneticPr fontId="22" type="noConversion"/>
  </si>
  <si>
    <t>只</t>
    <phoneticPr fontId="22" type="noConversion"/>
  </si>
  <si>
    <t>0003098</t>
    <phoneticPr fontId="22" type="noConversion"/>
  </si>
  <si>
    <t xml:space="preserve">送货上门 </t>
    <phoneticPr fontId="22" type="noConversion"/>
  </si>
  <si>
    <t>/</t>
    <phoneticPr fontId="22" type="noConversion"/>
  </si>
  <si>
    <t>/</t>
    <phoneticPr fontId="22" type="noConversion"/>
  </si>
  <si>
    <t>不开票</t>
    <phoneticPr fontId="22" type="noConversion"/>
  </si>
  <si>
    <t>终端</t>
    <phoneticPr fontId="22" type="noConversion"/>
  </si>
  <si>
    <t>拉法基瑞安（北京）技术服务有限公司重庆分公司工会委员会</t>
    <phoneticPr fontId="22" type="noConversion"/>
  </si>
  <si>
    <t>重庆宇立金属化工有限公司</t>
    <phoneticPr fontId="22" type="noConversion"/>
  </si>
  <si>
    <t>Ansell</t>
    <phoneticPr fontId="22" type="noConversion"/>
  </si>
  <si>
    <t>双</t>
    <phoneticPr fontId="22" type="noConversion"/>
  </si>
  <si>
    <t>0001372</t>
    <phoneticPr fontId="22" type="noConversion"/>
  </si>
  <si>
    <t>刘秋静</t>
    <phoneticPr fontId="22" type="noConversion"/>
  </si>
  <si>
    <t>13983418436</t>
    <phoneticPr fontId="22" type="noConversion"/>
  </si>
  <si>
    <r>
      <t>3M</t>
    </r>
    <r>
      <rPr>
        <sz val="9"/>
        <color indexed="8"/>
        <rFont val="宋体"/>
        <family val="3"/>
        <charset val="134"/>
      </rPr>
      <t/>
    </r>
    <phoneticPr fontId="22" type="noConversion"/>
  </si>
  <si>
    <t>个</t>
    <phoneticPr fontId="22" type="noConversion"/>
  </si>
  <si>
    <t>重庆拉法基瑞安特种水泥有限公司</t>
    <phoneticPr fontId="22" type="noConversion"/>
  </si>
  <si>
    <t>3M</t>
    <phoneticPr fontId="22" type="noConversion"/>
  </si>
  <si>
    <t>0006608</t>
    <phoneticPr fontId="22" type="noConversion"/>
  </si>
  <si>
    <t>合川区草街街道蔡家湾</t>
    <phoneticPr fontId="22" type="noConversion"/>
  </si>
  <si>
    <t>02196785-786</t>
    <phoneticPr fontId="22" type="noConversion"/>
  </si>
  <si>
    <t>送票上门</t>
    <phoneticPr fontId="22" type="noConversion"/>
  </si>
  <si>
    <t>颗粒物滤棉</t>
    <phoneticPr fontId="22" type="noConversion"/>
  </si>
  <si>
    <t>片</t>
    <phoneticPr fontId="22" type="noConversion"/>
  </si>
  <si>
    <t>尘毒呼吸防护套装实用性</t>
    <phoneticPr fontId="22" type="noConversion"/>
  </si>
  <si>
    <t>套</t>
    <phoneticPr fontId="22" type="noConversion"/>
  </si>
  <si>
    <t>农行对私</t>
    <phoneticPr fontId="22" type="noConversion"/>
  </si>
  <si>
    <t>0006609</t>
    <phoneticPr fontId="22" type="noConversion"/>
  </si>
  <si>
    <t>韵达快递</t>
    <phoneticPr fontId="22" type="noConversion"/>
  </si>
  <si>
    <t>戴建平</t>
    <phoneticPr fontId="22" type="noConversion"/>
  </si>
  <si>
    <t>13628255812</t>
    <phoneticPr fontId="22" type="noConversion"/>
  </si>
  <si>
    <t>垫江县</t>
    <phoneticPr fontId="22" type="noConversion"/>
  </si>
  <si>
    <t>1900338189315</t>
    <phoneticPr fontId="22" type="noConversion"/>
  </si>
  <si>
    <t>重庆商祺商贸有限公司</t>
    <phoneticPr fontId="22" type="noConversion"/>
  </si>
  <si>
    <t>0003099</t>
    <phoneticPr fontId="22" type="noConversion"/>
  </si>
  <si>
    <t>顺丰到付</t>
    <phoneticPr fontId="22" type="noConversion"/>
  </si>
  <si>
    <t>李光银</t>
    <phoneticPr fontId="22" type="noConversion"/>
  </si>
  <si>
    <t>18725666444</t>
    <phoneticPr fontId="22" type="noConversion"/>
  </si>
  <si>
    <t>合川区振兴路438号</t>
    <phoneticPr fontId="22" type="noConversion"/>
  </si>
  <si>
    <t>023190474772</t>
    <phoneticPr fontId="22" type="noConversion"/>
  </si>
  <si>
    <t>渠道</t>
    <phoneticPr fontId="22" type="noConversion"/>
  </si>
  <si>
    <t>重庆创新劳动防护用品有限公司</t>
    <phoneticPr fontId="22" type="noConversion"/>
  </si>
  <si>
    <t>中行对公</t>
    <phoneticPr fontId="22" type="noConversion"/>
  </si>
  <si>
    <t>0006610</t>
    <phoneticPr fontId="22" type="noConversion"/>
  </si>
  <si>
    <t>自提</t>
    <phoneticPr fontId="22" type="noConversion"/>
  </si>
  <si>
    <t>刘永刚</t>
    <phoneticPr fontId="22" type="noConversion"/>
  </si>
  <si>
    <t>15909319509</t>
    <phoneticPr fontId="22" type="noConversion"/>
  </si>
  <si>
    <t>02077333</t>
    <phoneticPr fontId="22" type="noConversion"/>
  </si>
  <si>
    <t>重庆三恩科技发展有限公司</t>
    <phoneticPr fontId="22" type="noConversion"/>
  </si>
  <si>
    <t>0003100</t>
    <phoneticPr fontId="22" type="noConversion"/>
  </si>
  <si>
    <t>重庆国俊物资有限公司</t>
    <phoneticPr fontId="22" type="noConversion"/>
  </si>
  <si>
    <t>颗粒物滤棉</t>
    <phoneticPr fontId="22" type="noConversion"/>
  </si>
  <si>
    <t>0001374</t>
    <phoneticPr fontId="22" type="noConversion"/>
  </si>
  <si>
    <t>伍亮</t>
    <phoneticPr fontId="22" type="noConversion"/>
  </si>
  <si>
    <t>个</t>
    <phoneticPr fontId="22" type="noConversion"/>
  </si>
  <si>
    <t>重庆申蓉商贸有限公司</t>
    <phoneticPr fontId="22" type="noConversion"/>
  </si>
  <si>
    <t>Stringknits 8号</t>
    <phoneticPr fontId="22" type="noConversion"/>
  </si>
  <si>
    <t>双</t>
    <phoneticPr fontId="22" type="noConversion"/>
  </si>
  <si>
    <t>0001373</t>
    <phoneticPr fontId="22" type="noConversion"/>
  </si>
  <si>
    <t>Stringknits 9号</t>
    <phoneticPr fontId="22" type="noConversion"/>
  </si>
  <si>
    <t>艾诺斯（重庆）华达电源系统有限公司</t>
    <phoneticPr fontId="22" type="noConversion"/>
  </si>
  <si>
    <t>硅胶半面型防护面罩（中号）</t>
    <phoneticPr fontId="22" type="noConversion"/>
  </si>
  <si>
    <t>颗粒物滤毒盒</t>
    <phoneticPr fontId="22" type="noConversion"/>
  </si>
  <si>
    <t>有机蒸气异味及颗粒物滤棉</t>
    <phoneticPr fontId="22" type="noConversion"/>
  </si>
  <si>
    <t>预过滤棉</t>
    <phoneticPr fontId="22" type="noConversion"/>
  </si>
  <si>
    <t>385CN</t>
    <phoneticPr fontId="22" type="noConversion"/>
  </si>
  <si>
    <t>付</t>
    <phoneticPr fontId="22" type="noConversion"/>
  </si>
  <si>
    <t>0000005</t>
    <phoneticPr fontId="22" type="noConversion"/>
  </si>
  <si>
    <t>SA201301230126</t>
    <phoneticPr fontId="22" type="noConversion"/>
  </si>
  <si>
    <t>0001376</t>
    <phoneticPr fontId="22" type="noConversion"/>
  </si>
  <si>
    <t>顺昌建辉现付</t>
    <phoneticPr fontId="22" type="noConversion"/>
  </si>
  <si>
    <t>0010334</t>
    <phoneticPr fontId="22" type="noConversion"/>
  </si>
  <si>
    <t>02196789-790</t>
    <phoneticPr fontId="22" type="noConversion"/>
  </si>
  <si>
    <t>顺昌建辉到付</t>
    <phoneticPr fontId="22" type="noConversion"/>
  </si>
  <si>
    <t>0007148</t>
    <phoneticPr fontId="22" type="noConversion"/>
  </si>
  <si>
    <t xml:space="preserve"> /</t>
    <phoneticPr fontId="22" type="noConversion"/>
  </si>
  <si>
    <t>中行对公</t>
    <phoneticPr fontId="22" type="noConversion"/>
  </si>
  <si>
    <t>双</t>
    <phoneticPr fontId="22" type="noConversion"/>
  </si>
  <si>
    <t>XHZLC-30</t>
    <phoneticPr fontId="22" type="noConversion"/>
  </si>
  <si>
    <t>个</t>
    <phoneticPr fontId="22" type="noConversion"/>
  </si>
  <si>
    <t>MFZ/ABC1</t>
    <phoneticPr fontId="22" type="noConversion"/>
  </si>
  <si>
    <t>/</t>
    <phoneticPr fontId="22" type="noConversion"/>
  </si>
  <si>
    <t>/</t>
    <phoneticPr fontId="22" type="noConversion"/>
  </si>
  <si>
    <t>1公斤</t>
    <phoneticPr fontId="22" type="noConversion"/>
  </si>
  <si>
    <t>0000008</t>
    <phoneticPr fontId="22" type="noConversion"/>
  </si>
  <si>
    <t>现金</t>
    <phoneticPr fontId="22" type="noConversion"/>
  </si>
  <si>
    <t>3301CN</t>
    <phoneticPr fontId="22" type="noConversion"/>
  </si>
  <si>
    <t>5N11</t>
    <phoneticPr fontId="22" type="noConversion"/>
  </si>
  <si>
    <t>片</t>
    <phoneticPr fontId="22" type="noConversion"/>
  </si>
  <si>
    <t>现金</t>
    <phoneticPr fontId="22" type="noConversion"/>
  </si>
  <si>
    <t>滤棉盖</t>
    <phoneticPr fontId="22" type="noConversion"/>
  </si>
  <si>
    <t>0001379</t>
    <phoneticPr fontId="22" type="noConversion"/>
  </si>
  <si>
    <t>0001377</t>
    <phoneticPr fontId="22" type="noConversion"/>
  </si>
  <si>
    <t>0001378</t>
    <phoneticPr fontId="22" type="noConversion"/>
  </si>
  <si>
    <t>02196791-792</t>
    <phoneticPr fontId="22" type="noConversion"/>
  </si>
  <si>
    <t>023000438486</t>
    <phoneticPr fontId="22" type="noConversion"/>
  </si>
  <si>
    <t>飞毛腿现付</t>
    <phoneticPr fontId="22" type="noConversion"/>
  </si>
  <si>
    <t>0097515</t>
    <phoneticPr fontId="22" type="noConversion"/>
  </si>
  <si>
    <r>
      <t>8</t>
    </r>
    <r>
      <rPr>
        <sz val="10"/>
        <color indexed="8"/>
        <rFont val="宋体"/>
        <family val="3"/>
        <charset val="134"/>
      </rPr>
      <t>7-650</t>
    </r>
    <phoneticPr fontId="22" type="noConversion"/>
  </si>
  <si>
    <t>罗丽</t>
    <phoneticPr fontId="22" type="noConversion"/>
  </si>
  <si>
    <t>吴丽娜</t>
    <phoneticPr fontId="22" type="noConversion"/>
  </si>
  <si>
    <t>个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</si>
  <si>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7-176</t>
    </r>
    <phoneticPr fontId="22" type="noConversion"/>
  </si>
  <si>
    <t>双</t>
    <phoneticPr fontId="22" type="noConversion"/>
  </si>
  <si>
    <t>吴丽娜给陈总</t>
    <phoneticPr fontId="22" type="noConversion"/>
  </si>
  <si>
    <r>
      <t>Universal Plus</t>
    </r>
    <r>
      <rPr>
        <sz val="10"/>
        <color indexed="8"/>
        <rFont val="宋体"/>
        <family val="3"/>
        <charset val="134"/>
      </rPr>
      <t xml:space="preserve"> M</t>
    </r>
    <phoneticPr fontId="22" type="noConversion"/>
  </si>
  <si>
    <r>
      <t>Universal Plus</t>
    </r>
    <r>
      <rPr>
        <sz val="10"/>
        <color indexed="8"/>
        <rFont val="宋体"/>
        <family val="3"/>
        <charset val="134"/>
      </rPr>
      <t xml:space="preserve"> L</t>
    </r>
    <phoneticPr fontId="22" type="noConversion"/>
  </si>
  <si>
    <t>Solvex 8号</t>
    <phoneticPr fontId="22" type="noConversion"/>
  </si>
  <si>
    <t>重庆格瑞特电力设备有限公司</t>
    <phoneticPr fontId="22" type="noConversion"/>
  </si>
  <si>
    <t>43-116</t>
    <phoneticPr fontId="22" type="noConversion"/>
  </si>
  <si>
    <t>现金</t>
    <phoneticPr fontId="22" type="noConversion"/>
  </si>
  <si>
    <t>0001391</t>
    <phoneticPr fontId="22" type="noConversion"/>
  </si>
  <si>
    <t>自提</t>
    <phoneticPr fontId="22" type="noConversion"/>
  </si>
  <si>
    <t>汤建</t>
    <phoneticPr fontId="22" type="noConversion"/>
  </si>
  <si>
    <t>重庆市南岸区亚太商谷1栋5-13</t>
  </si>
  <si>
    <t>13983911363</t>
  </si>
  <si>
    <t>/</t>
    <phoneticPr fontId="22" type="noConversion"/>
  </si>
  <si>
    <t>1623AF</t>
    <phoneticPr fontId="22" type="noConversion"/>
  </si>
  <si>
    <t>付</t>
    <phoneticPr fontId="22" type="noConversion"/>
  </si>
  <si>
    <t>防高温手套</t>
    <phoneticPr fontId="22" type="noConversion"/>
  </si>
  <si>
    <t>0000012</t>
    <phoneticPr fontId="22" type="noConversion"/>
  </si>
  <si>
    <t>0001380</t>
    <phoneticPr fontId="22" type="noConversion"/>
  </si>
  <si>
    <t>/</t>
    <phoneticPr fontId="22" type="noConversion"/>
  </si>
  <si>
    <t>重庆拉法基瑞安参天水泥有限公司</t>
    <phoneticPr fontId="22" type="noConversion"/>
  </si>
  <si>
    <t>片</t>
    <phoneticPr fontId="22" type="noConversion"/>
  </si>
  <si>
    <t>9002A</t>
    <phoneticPr fontId="22" type="noConversion"/>
  </si>
  <si>
    <t>个</t>
    <phoneticPr fontId="22" type="noConversion"/>
  </si>
  <si>
    <t>5N11</t>
    <phoneticPr fontId="22" type="noConversion"/>
  </si>
  <si>
    <t>付</t>
    <phoneticPr fontId="22" type="noConversion"/>
  </si>
  <si>
    <t>0001385</t>
    <phoneticPr fontId="22" type="noConversion"/>
  </si>
  <si>
    <t>7051195931</t>
    <phoneticPr fontId="22" type="noConversion"/>
  </si>
  <si>
    <t>0000018</t>
    <phoneticPr fontId="22" type="noConversion"/>
  </si>
  <si>
    <t>6001CN</t>
    <phoneticPr fontId="22" type="noConversion"/>
  </si>
  <si>
    <t>XOUT158813</t>
    <phoneticPr fontId="22" type="noConversion"/>
  </si>
  <si>
    <t>0001382</t>
    <phoneticPr fontId="22" type="noConversion"/>
  </si>
  <si>
    <t>320P</t>
    <phoneticPr fontId="22" type="noConversion"/>
  </si>
  <si>
    <t>套</t>
    <phoneticPr fontId="22" type="noConversion"/>
  </si>
  <si>
    <t>0003101</t>
    <phoneticPr fontId="22" type="noConversion"/>
  </si>
  <si>
    <t>现金</t>
    <phoneticPr fontId="22" type="noConversion"/>
  </si>
  <si>
    <t>张骥个人</t>
    <phoneticPr fontId="22" type="noConversion"/>
  </si>
  <si>
    <t>防护眼镜（带双射灯，防雾）</t>
  </si>
  <si>
    <t>农行对私</t>
    <phoneticPr fontId="22" type="noConversion"/>
  </si>
  <si>
    <t>0003171</t>
    <phoneticPr fontId="22" type="noConversion"/>
  </si>
  <si>
    <t>送货上门</t>
    <phoneticPr fontId="22" type="noConversion"/>
  </si>
  <si>
    <t>张骥</t>
    <phoneticPr fontId="22" type="noConversion"/>
  </si>
  <si>
    <t>13996320260</t>
    <phoneticPr fontId="22" type="noConversion"/>
  </si>
  <si>
    <t>0003103</t>
    <phoneticPr fontId="22" type="noConversion"/>
  </si>
  <si>
    <t>自提</t>
    <phoneticPr fontId="22" type="noConversion"/>
  </si>
  <si>
    <t>嘉烨</t>
    <phoneticPr fontId="22" type="noConversion"/>
  </si>
  <si>
    <t>15023623023</t>
    <phoneticPr fontId="22" type="noConversion"/>
  </si>
  <si>
    <t>顺丰现付</t>
    <phoneticPr fontId="22" type="noConversion"/>
  </si>
  <si>
    <t>023190474745</t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</si>
  <si>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8-125</t>
    </r>
    <phoneticPr fontId="22" type="noConversion"/>
  </si>
  <si>
    <t>Edge 8号</t>
    <phoneticPr fontId="22" type="noConversion"/>
  </si>
  <si>
    <t>送客户样品</t>
    <phoneticPr fontId="22" type="noConversion"/>
  </si>
  <si>
    <t>殷千兵</t>
    <phoneticPr fontId="22" type="noConversion"/>
  </si>
  <si>
    <t>李端</t>
    <phoneticPr fontId="22" type="noConversion"/>
  </si>
  <si>
    <t>罗丽</t>
    <phoneticPr fontId="22" type="noConversion"/>
  </si>
  <si>
    <t>02196793-797</t>
    <phoneticPr fontId="22" type="noConversion"/>
  </si>
  <si>
    <t>个</t>
    <phoneticPr fontId="22" type="noConversion"/>
  </si>
  <si>
    <t>0006649</t>
    <phoneticPr fontId="22" type="noConversion"/>
  </si>
  <si>
    <t>重庆华捷消防设备有限公司</t>
    <phoneticPr fontId="22" type="noConversion"/>
  </si>
  <si>
    <t>1623AF</t>
    <phoneticPr fontId="22" type="noConversion"/>
  </si>
  <si>
    <t>92-600</t>
    <phoneticPr fontId="22" type="noConversion"/>
  </si>
  <si>
    <t>11-800</t>
    <phoneticPr fontId="22" type="noConversion"/>
  </si>
  <si>
    <t>SA201302010075</t>
    <phoneticPr fontId="22" type="noConversion"/>
  </si>
  <si>
    <t>无粉尘超薄腈胶手套</t>
    <phoneticPr fontId="22" type="noConversion"/>
  </si>
  <si>
    <t>HyFlex11-800 9码</t>
    <phoneticPr fontId="22" type="noConversion"/>
  </si>
  <si>
    <t>双</t>
    <phoneticPr fontId="22" type="noConversion"/>
  </si>
  <si>
    <t>付</t>
    <phoneticPr fontId="22" type="noConversion"/>
  </si>
  <si>
    <t>0001386</t>
    <phoneticPr fontId="22" type="noConversion"/>
  </si>
  <si>
    <t>顺丰到付</t>
    <phoneticPr fontId="22" type="noConversion"/>
  </si>
  <si>
    <t>何慧</t>
    <phoneticPr fontId="22" type="noConversion"/>
  </si>
  <si>
    <t>重庆市渝北区龙塔街道荷塘路80号附11号</t>
  </si>
  <si>
    <t>13983950811</t>
    <phoneticPr fontId="22" type="noConversion"/>
  </si>
  <si>
    <t>023190474763</t>
    <phoneticPr fontId="22" type="noConversion"/>
  </si>
  <si>
    <t>SA201302010081</t>
    <phoneticPr fontId="22" type="noConversion"/>
  </si>
  <si>
    <t>02196788-800</t>
    <phoneticPr fontId="22" type="noConversion"/>
  </si>
  <si>
    <t>11-800</t>
    <phoneticPr fontId="22" type="noConversion"/>
  </si>
  <si>
    <t>92-600</t>
    <phoneticPr fontId="22" type="noConversion"/>
  </si>
  <si>
    <t>双</t>
    <phoneticPr fontId="22" type="noConversion"/>
  </si>
  <si>
    <t>0006651</t>
    <phoneticPr fontId="22" type="noConversion"/>
  </si>
  <si>
    <t>件</t>
    <phoneticPr fontId="22" type="noConversion"/>
  </si>
  <si>
    <t>620P</t>
    <phoneticPr fontId="22" type="noConversion"/>
  </si>
  <si>
    <t>现金</t>
    <phoneticPr fontId="22" type="noConversion"/>
  </si>
  <si>
    <t>0006650</t>
    <phoneticPr fontId="22" type="noConversion"/>
  </si>
  <si>
    <t>中行对公</t>
    <phoneticPr fontId="22" type="noConversion"/>
  </si>
  <si>
    <t>37-175</t>
    <phoneticPr fontId="22" type="noConversion"/>
  </si>
  <si>
    <t>9002A</t>
    <phoneticPr fontId="22" type="noConversion"/>
  </si>
  <si>
    <t>双</t>
    <phoneticPr fontId="22" type="noConversion"/>
  </si>
  <si>
    <t>个</t>
    <phoneticPr fontId="22" type="noConversion"/>
  </si>
  <si>
    <t>/</t>
    <phoneticPr fontId="22" type="noConversion"/>
  </si>
  <si>
    <t>0001387</t>
    <phoneticPr fontId="22" type="noConversion"/>
  </si>
  <si>
    <t>0003350</t>
    <phoneticPr fontId="22" type="noConversion"/>
  </si>
  <si>
    <t>5N11</t>
    <phoneticPr fontId="22" type="noConversion"/>
  </si>
  <si>
    <t>片</t>
    <phoneticPr fontId="22" type="noConversion"/>
  </si>
  <si>
    <t>6001CN</t>
    <phoneticPr fontId="22" type="noConversion"/>
  </si>
  <si>
    <t>Solvex-手套（9码）</t>
    <phoneticPr fontId="22" type="noConversion"/>
  </si>
  <si>
    <t>Solvex-手套</t>
    <phoneticPr fontId="60" type="noConversion"/>
  </si>
  <si>
    <t>Solvex-手套(8码)</t>
    <phoneticPr fontId="68" type="noConversion"/>
  </si>
  <si>
    <t>Solvex-手套</t>
    <phoneticPr fontId="22" type="noConversion"/>
  </si>
  <si>
    <t>Eco Green™-手套（9码）</t>
    <phoneticPr fontId="68" type="noConversion"/>
  </si>
  <si>
    <t>Edge-手套（8码）</t>
    <phoneticPr fontId="68" type="noConversion"/>
  </si>
  <si>
    <t>Edge-手套（9码）</t>
    <phoneticPr fontId="68" type="noConversion"/>
  </si>
  <si>
    <t>Stringknits-手套（8码）</t>
    <phoneticPr fontId="68" type="noConversion"/>
  </si>
  <si>
    <t>Stringknits-手套（8码）</t>
    <phoneticPr fontId="68" type="noConversion"/>
  </si>
  <si>
    <t>FiberTuf-手套（8码）</t>
    <phoneticPr fontId="68" type="noConversion"/>
  </si>
  <si>
    <t>Stringknits-手套（9码）</t>
    <phoneticPr fontId="68" type="noConversion"/>
  </si>
  <si>
    <t>Solvex-手套（9码）</t>
    <phoneticPr fontId="68" type="noConversion"/>
  </si>
  <si>
    <t>HyFlex Dyneema-手套（9码）</t>
    <phoneticPr fontId="68" type="noConversion"/>
  </si>
  <si>
    <t>Micro-Touch DermaClean-手套（L）</t>
    <phoneticPr fontId="68" type="noConversion"/>
  </si>
  <si>
    <t>Micro-Touch Nitratex-手套（L）</t>
    <phoneticPr fontId="68" type="noConversion"/>
  </si>
  <si>
    <t>Micro-Touch Nitratex-手套（M）</t>
    <phoneticPr fontId="68" type="noConversion"/>
  </si>
  <si>
    <t>Micro-Touch DermaClean-手套（M）</t>
    <phoneticPr fontId="68" type="noConversion"/>
  </si>
  <si>
    <t>Chemipro-手套（9码）</t>
    <phoneticPr fontId="68" type="noConversion"/>
  </si>
  <si>
    <t>Eco Green™-手套（8码）</t>
    <phoneticPr fontId="68" type="noConversion"/>
  </si>
  <si>
    <t>Universal Plus-手套（M）</t>
    <phoneticPr fontId="68" type="noConversion"/>
  </si>
  <si>
    <t>Touch N Tuff-手套（M）</t>
    <phoneticPr fontId="68" type="noConversion"/>
  </si>
  <si>
    <t>Nitrilite-手套（M）</t>
    <phoneticPr fontId="68" type="noConversion"/>
  </si>
  <si>
    <t>顺达经销商</t>
    <phoneticPr fontId="22" type="noConversion"/>
  </si>
  <si>
    <t>羊毛球（3寸）</t>
    <phoneticPr fontId="22" type="noConversion"/>
  </si>
  <si>
    <t>0003351</t>
    <phoneticPr fontId="22" type="noConversion"/>
  </si>
  <si>
    <t>0006652</t>
    <phoneticPr fontId="22" type="noConversion"/>
  </si>
  <si>
    <t>6001CN</t>
    <phoneticPr fontId="22" type="noConversion"/>
  </si>
  <si>
    <t>XOUT159135</t>
    <phoneticPr fontId="22" type="noConversion"/>
  </si>
  <si>
    <t>4*0.80</t>
    <phoneticPr fontId="22" type="noConversion"/>
  </si>
  <si>
    <t>10*0.80</t>
    <phoneticPr fontId="22" type="noConversion"/>
  </si>
  <si>
    <t>1621AF</t>
    <phoneticPr fontId="22" type="noConversion"/>
  </si>
  <si>
    <t>付</t>
    <phoneticPr fontId="22" type="noConversion"/>
  </si>
  <si>
    <t>个</t>
    <phoneticPr fontId="22" type="noConversion"/>
  </si>
  <si>
    <t>/</t>
    <phoneticPr fontId="22" type="noConversion"/>
  </si>
  <si>
    <t>中行对公</t>
    <phoneticPr fontId="22" type="noConversion"/>
  </si>
  <si>
    <t>3701CN</t>
    <phoneticPr fontId="22" type="noConversion"/>
  </si>
  <si>
    <t>片</t>
    <phoneticPr fontId="22" type="noConversion"/>
  </si>
  <si>
    <t>0001388</t>
    <phoneticPr fontId="22" type="noConversion"/>
  </si>
  <si>
    <t xml:space="preserve">                 </t>
    <phoneticPr fontId="60" type="noConversion"/>
  </si>
  <si>
    <t>普通版 N95 防护口罩</t>
    <phoneticPr fontId="22" type="noConversion"/>
  </si>
  <si>
    <t>舒适版 N95 防护口罩</t>
    <phoneticPr fontId="22" type="noConversion"/>
  </si>
  <si>
    <t>中行对公</t>
    <phoneticPr fontId="22" type="noConversion"/>
  </si>
  <si>
    <t>个</t>
    <phoneticPr fontId="22" type="noConversion"/>
  </si>
  <si>
    <t>片</t>
    <phoneticPr fontId="22" type="noConversion"/>
  </si>
  <si>
    <t>现金</t>
    <phoneticPr fontId="22" type="noConversion"/>
  </si>
  <si>
    <t>320D</t>
    <phoneticPr fontId="22" type="noConversion"/>
  </si>
  <si>
    <t>套</t>
    <phoneticPr fontId="22" type="noConversion"/>
  </si>
  <si>
    <t>0001389</t>
    <phoneticPr fontId="22" type="noConversion"/>
  </si>
  <si>
    <t>周旋</t>
    <phoneticPr fontId="22" type="noConversion"/>
  </si>
  <si>
    <t>13508186640</t>
    <phoneticPr fontId="22" type="noConversion"/>
  </si>
  <si>
    <t>宜宾市慈善路140号</t>
    <phoneticPr fontId="22" type="noConversion"/>
  </si>
  <si>
    <t>1900338189318</t>
    <phoneticPr fontId="22" type="noConversion"/>
  </si>
  <si>
    <t>不开票</t>
    <phoneticPr fontId="22" type="noConversion"/>
  </si>
  <si>
    <t xml:space="preserve">3嘉烨 </t>
    <phoneticPr fontId="60" type="noConversion"/>
  </si>
  <si>
    <t>Eco Green™-手套（9码）</t>
  </si>
  <si>
    <t>付</t>
    <phoneticPr fontId="22" type="noConversion"/>
  </si>
  <si>
    <t>9002A</t>
    <phoneticPr fontId="22" type="noConversion"/>
  </si>
  <si>
    <t>0006654</t>
    <phoneticPr fontId="22" type="noConversion"/>
  </si>
  <si>
    <t>0006657</t>
    <phoneticPr fontId="22" type="noConversion"/>
  </si>
  <si>
    <t>0006655</t>
    <phoneticPr fontId="22" type="noConversion"/>
  </si>
  <si>
    <t>1611HC</t>
    <phoneticPr fontId="22" type="noConversion"/>
  </si>
  <si>
    <t>访客用防护眼镜（防刮擦涂层）</t>
  </si>
  <si>
    <t>8个嘉烨</t>
    <phoneticPr fontId="22" type="noConversion"/>
  </si>
  <si>
    <t>0003355</t>
    <phoneticPr fontId="22" type="noConversion"/>
  </si>
  <si>
    <t>重庆百货大楼股份有限公司劳保用品分公司</t>
    <phoneticPr fontId="22" type="noConversion"/>
  </si>
  <si>
    <t>37-175</t>
    <phoneticPr fontId="22" type="noConversion"/>
  </si>
  <si>
    <t>成都万方机电有限公司</t>
    <phoneticPr fontId="22" type="noConversion"/>
  </si>
  <si>
    <t>100V内保护片</t>
    <phoneticPr fontId="22" type="noConversion"/>
  </si>
  <si>
    <t>100V外保护片</t>
    <phoneticPr fontId="22" type="noConversion"/>
  </si>
  <si>
    <t>四川高木安防设备有限公司</t>
    <phoneticPr fontId="22" type="noConversion"/>
  </si>
  <si>
    <t>0001390</t>
    <phoneticPr fontId="22" type="noConversion"/>
  </si>
  <si>
    <t>重庆市特安劳保用品有限公司</t>
    <phoneticPr fontId="22" type="noConversion"/>
  </si>
  <si>
    <t>/</t>
    <phoneticPr fontId="22" type="noConversion"/>
  </si>
  <si>
    <t>02006836</t>
    <phoneticPr fontId="22" type="noConversion"/>
  </si>
  <si>
    <t>重庆澜派装饰有限公司</t>
    <phoneticPr fontId="22" type="noConversion"/>
  </si>
  <si>
    <t>9042A</t>
    <phoneticPr fontId="22" type="noConversion"/>
  </si>
  <si>
    <t>现金</t>
    <phoneticPr fontId="22" type="noConversion"/>
  </si>
  <si>
    <t>0006658</t>
    <phoneticPr fontId="22" type="noConversion"/>
  </si>
  <si>
    <t>自提</t>
    <phoneticPr fontId="22" type="noConversion"/>
  </si>
  <si>
    <t>王老师</t>
    <phoneticPr fontId="22" type="noConversion"/>
  </si>
  <si>
    <t>13436076751</t>
    <phoneticPr fontId="22" type="noConversion"/>
  </si>
  <si>
    <t>不开票</t>
    <phoneticPr fontId="22" type="noConversion"/>
  </si>
  <si>
    <t>3744K</t>
    <phoneticPr fontId="22" type="noConversion"/>
  </si>
  <si>
    <t>顺丰到付</t>
    <phoneticPr fontId="22" type="noConversion"/>
  </si>
  <si>
    <t>世纪兴到付</t>
    <phoneticPr fontId="22" type="noConversion"/>
  </si>
  <si>
    <t>退货</t>
    <phoneticPr fontId="22" type="noConversion"/>
  </si>
  <si>
    <t>3501CN</t>
    <phoneticPr fontId="22" type="noConversion"/>
  </si>
  <si>
    <t>0001391</t>
    <phoneticPr fontId="22" type="noConversion"/>
  </si>
  <si>
    <t>手套描述</t>
    <phoneticPr fontId="68" type="noConversion"/>
  </si>
  <si>
    <t>抗溶剂腈胶棉植绒，0.38mm厚，33cm长，直戴式/7/8/9/10</t>
    <phoneticPr fontId="68" type="noConversion"/>
  </si>
  <si>
    <t>抗溶剂腈胶棉植绒，亚洲版，0.38mm厚，33cm长7/8/9/10</t>
  </si>
  <si>
    <t>天然橡胶表浸25%氯丁橡胶涂层，棉植绒8/9/10</t>
  </si>
  <si>
    <t>经济款丁腈橡胶抗化手套，0.36mm 厚，32CM 长，直戴式7/8/9/10</t>
  </si>
  <si>
    <t>3级Dyneema带PU涂层,针织袖口，抗割手套8/9/10</t>
  </si>
  <si>
    <t>涤纶PU掌部涂层,黑色6/7/8/9/10</t>
  </si>
  <si>
    <t>涤纶PU掌部涂层,黑色6/7/8/9/10</t>
    <phoneticPr fontId="68" type="noConversion"/>
  </si>
  <si>
    <r>
      <t>涤纶PU掌部涂层,白色</t>
    </r>
    <r>
      <rPr>
        <sz val="11"/>
        <color indexed="8"/>
        <rFont val="宋体"/>
        <family val="3"/>
        <charset val="134"/>
      </rPr>
      <t>6/7/8/9/10</t>
    </r>
    <phoneticPr fontId="68" type="noConversion"/>
  </si>
  <si>
    <t>经济款掌涂天然橡胶手套，聚酯衬里7/8/9/10</t>
  </si>
  <si>
    <t>经济款掌背全涂丁腈橡胶手套，加长款安全袖口，全长27.5-29 CM 8/9/10/11</t>
  </si>
  <si>
    <t>经济款3/4浸丁腈橡胶涂层耐磨耐油手套，罗纹袖口8/9/10/11</t>
  </si>
  <si>
    <t>经济款抗割手套，虎口加强型，13针7/8/9/10</t>
  </si>
  <si>
    <t>尼龙不掉毛通用手套，轻型6/7/8/9/10</t>
  </si>
  <si>
    <t>尼龙不掉毛通用手套，轻型6/7/8/9/10</t>
    <phoneticPr fontId="68" type="noConversion"/>
  </si>
  <si>
    <t>深蓝色耐用聚酯纤维带PVC点塑7/8/9</t>
  </si>
  <si>
    <t>高级黄色天然橡胶手套，可在核电站使用，并可作为经济款家用手套使用S/M/L</t>
  </si>
  <si>
    <t>无内衬,内喷棉,黑色天然橡胶抗化手套, 32cm长, 0.73mm厚7.5/8/9/10/11</t>
  </si>
  <si>
    <t>类别</t>
    <phoneticPr fontId="68" type="noConversion"/>
  </si>
  <si>
    <t>化学防护</t>
    <phoneticPr fontId="68" type="noConversion"/>
  </si>
  <si>
    <t>机械防护</t>
    <phoneticPr fontId="68" type="noConversion"/>
  </si>
  <si>
    <t>宜宾飞鸽</t>
    <phoneticPr fontId="22" type="noConversion"/>
  </si>
  <si>
    <t>付</t>
    <phoneticPr fontId="22" type="noConversion"/>
  </si>
  <si>
    <t>个</t>
    <phoneticPr fontId="22" type="noConversion"/>
  </si>
  <si>
    <t>顺昌建辉到付</t>
    <phoneticPr fontId="22" type="noConversion"/>
  </si>
  <si>
    <t>现金</t>
    <phoneticPr fontId="22" type="noConversion"/>
  </si>
  <si>
    <t>0000322</t>
    <phoneticPr fontId="22" type="noConversion"/>
  </si>
  <si>
    <t>01748648</t>
    <phoneticPr fontId="22" type="noConversion"/>
  </si>
  <si>
    <t>1.54</t>
    <phoneticPr fontId="60" type="noConversion"/>
  </si>
  <si>
    <t>个</t>
    <phoneticPr fontId="22" type="noConversion"/>
  </si>
  <si>
    <t>0010863</t>
    <phoneticPr fontId="22" type="noConversion"/>
  </si>
  <si>
    <t>巫山经销商</t>
    <phoneticPr fontId="22" type="noConversion"/>
  </si>
  <si>
    <t>0006659</t>
    <phoneticPr fontId="22" type="noConversion"/>
  </si>
  <si>
    <t>杨老师</t>
    <phoneticPr fontId="22" type="noConversion"/>
  </si>
  <si>
    <t>18623432888</t>
    <phoneticPr fontId="22" type="noConversion"/>
  </si>
  <si>
    <t>0002891</t>
    <phoneticPr fontId="22" type="noConversion"/>
  </si>
  <si>
    <t>0006661</t>
    <phoneticPr fontId="22" type="noConversion"/>
  </si>
  <si>
    <t>个</t>
    <phoneticPr fontId="22" type="noConversion"/>
  </si>
  <si>
    <t>华莱进出口（福州）有限公司</t>
  </si>
  <si>
    <t>1623AF</t>
    <phoneticPr fontId="22" type="noConversion"/>
  </si>
  <si>
    <t>付</t>
    <phoneticPr fontId="22" type="noConversion"/>
  </si>
  <si>
    <t>/</t>
    <phoneticPr fontId="22" type="noConversion"/>
  </si>
  <si>
    <t>中行对公</t>
    <phoneticPr fontId="22" type="noConversion"/>
  </si>
  <si>
    <t>0001392</t>
    <phoneticPr fontId="22" type="noConversion"/>
  </si>
  <si>
    <t>陈远辉</t>
    <phoneticPr fontId="22" type="noConversion"/>
  </si>
  <si>
    <t>九龙园区绿云石都B区13栋F2-25号</t>
    <phoneticPr fontId="22" type="noConversion"/>
  </si>
  <si>
    <t>0006662</t>
    <phoneticPr fontId="22" type="noConversion"/>
  </si>
  <si>
    <t>力宏物流现付</t>
    <phoneticPr fontId="22" type="noConversion"/>
  </si>
  <si>
    <t>0006988</t>
    <phoneticPr fontId="22" type="noConversion"/>
  </si>
  <si>
    <t>好汉帮物流到付</t>
    <phoneticPr fontId="22" type="noConversion"/>
  </si>
  <si>
    <t>0000643</t>
    <phoneticPr fontId="22" type="noConversion"/>
  </si>
  <si>
    <t>05186742</t>
    <phoneticPr fontId="22" type="noConversion"/>
  </si>
  <si>
    <t>0010876</t>
    <phoneticPr fontId="22" type="noConversion"/>
  </si>
  <si>
    <t>/</t>
    <phoneticPr fontId="22" type="noConversion"/>
  </si>
  <si>
    <t>0001394</t>
    <phoneticPr fontId="22" type="noConversion"/>
  </si>
  <si>
    <t>9002A</t>
    <phoneticPr fontId="22" type="noConversion"/>
  </si>
  <si>
    <t>个</t>
    <phoneticPr fontId="22" type="noConversion"/>
  </si>
  <si>
    <t>0001393</t>
    <phoneticPr fontId="22" type="noConversion"/>
  </si>
  <si>
    <t>04905476</t>
    <phoneticPr fontId="22" type="noConversion"/>
  </si>
  <si>
    <t>中行对公</t>
    <phoneticPr fontId="22" type="noConversion"/>
  </si>
  <si>
    <t>SA201302220050</t>
    <phoneticPr fontId="22" type="noConversion"/>
  </si>
  <si>
    <t>0010880</t>
    <phoneticPr fontId="22" type="noConversion"/>
  </si>
  <si>
    <t>0006663</t>
    <phoneticPr fontId="22" type="noConversion"/>
  </si>
  <si>
    <t>昆明安利达劳保用品有限公司</t>
    <phoneticPr fontId="22" type="noConversion"/>
  </si>
  <si>
    <t>现金</t>
    <phoneticPr fontId="22" type="noConversion"/>
  </si>
  <si>
    <t>套</t>
    <phoneticPr fontId="22" type="noConversion"/>
  </si>
  <si>
    <t>个</t>
    <phoneticPr fontId="22" type="noConversion"/>
  </si>
  <si>
    <t>0001397</t>
    <phoneticPr fontId="22" type="noConversion"/>
  </si>
  <si>
    <t>0001395/0001398</t>
    <phoneticPr fontId="22" type="noConversion"/>
  </si>
  <si>
    <t>0001504</t>
    <phoneticPr fontId="22" type="noConversion"/>
  </si>
  <si>
    <t>9021A</t>
    <phoneticPr fontId="22" type="noConversion"/>
  </si>
  <si>
    <t>XS-2013-2-22-003</t>
    <phoneticPr fontId="22" type="noConversion"/>
  </si>
  <si>
    <t>3701CN</t>
    <phoneticPr fontId="22" type="noConversion"/>
  </si>
  <si>
    <t>1900338415848</t>
    <phoneticPr fontId="22" type="noConversion"/>
  </si>
  <si>
    <t>320D</t>
    <phoneticPr fontId="22" type="noConversion"/>
  </si>
  <si>
    <t>换货</t>
    <phoneticPr fontId="22" type="noConversion"/>
  </si>
  <si>
    <t>重庆志宣科技有限公司</t>
    <phoneticPr fontId="22" type="noConversion"/>
  </si>
  <si>
    <t>/</t>
    <phoneticPr fontId="22" type="noConversion"/>
  </si>
  <si>
    <t>0001396</t>
    <phoneticPr fontId="22" type="noConversion"/>
  </si>
  <si>
    <t>李经理</t>
    <phoneticPr fontId="22" type="noConversion"/>
  </si>
  <si>
    <t>13908347345</t>
    <phoneticPr fontId="22" type="noConversion"/>
  </si>
  <si>
    <t>嘉烨</t>
    <phoneticPr fontId="22" type="noConversion"/>
  </si>
  <si>
    <t>/</t>
    <phoneticPr fontId="22" type="noConversion"/>
  </si>
  <si>
    <t>0011826</t>
    <phoneticPr fontId="22" type="noConversion"/>
  </si>
  <si>
    <t>付</t>
    <phoneticPr fontId="22" type="noConversion"/>
  </si>
  <si>
    <t>城远货运到付</t>
    <phoneticPr fontId="22" type="noConversion"/>
  </si>
  <si>
    <t>张力文</t>
    <phoneticPr fontId="22" type="noConversion"/>
  </si>
  <si>
    <t>18523509221</t>
    <phoneticPr fontId="22" type="noConversion"/>
  </si>
  <si>
    <t>白涛</t>
    <phoneticPr fontId="22" type="noConversion"/>
  </si>
  <si>
    <t>0020477</t>
    <phoneticPr fontId="22" type="noConversion"/>
  </si>
  <si>
    <t>健隆双庆到付</t>
    <phoneticPr fontId="22" type="noConversion"/>
  </si>
  <si>
    <t>0007225</t>
    <phoneticPr fontId="22" type="noConversion"/>
  </si>
  <si>
    <t>P95/氟化氢/酸性气体异味颗粒物滤棉</t>
    <phoneticPr fontId="22" type="noConversion"/>
  </si>
  <si>
    <t>片</t>
    <phoneticPr fontId="22" type="noConversion"/>
  </si>
  <si>
    <t>杜邦</t>
    <phoneticPr fontId="22" type="noConversion"/>
  </si>
  <si>
    <t>1621AF</t>
    <phoneticPr fontId="22" type="noConversion"/>
  </si>
  <si>
    <t>1422A</t>
    <phoneticPr fontId="22" type="noConversion"/>
  </si>
  <si>
    <t>胶条型医用防护服</t>
    <phoneticPr fontId="22" type="noConversion"/>
  </si>
  <si>
    <t>件</t>
    <phoneticPr fontId="22" type="noConversion"/>
  </si>
  <si>
    <t>个</t>
    <phoneticPr fontId="22" type="noConversion"/>
  </si>
  <si>
    <t>重庆誉商代科技有限公司</t>
    <phoneticPr fontId="22" type="noConversion"/>
  </si>
  <si>
    <t>N95 医用防护口罩</t>
    <phoneticPr fontId="22" type="noConversion"/>
  </si>
  <si>
    <t>0001399</t>
    <phoneticPr fontId="22" type="noConversion"/>
  </si>
  <si>
    <t>中行对公</t>
    <phoneticPr fontId="22" type="noConversion"/>
  </si>
  <si>
    <t>现金</t>
    <phoneticPr fontId="22" type="noConversion"/>
  </si>
  <si>
    <t>谭中华</t>
    <phoneticPr fontId="22" type="noConversion"/>
  </si>
  <si>
    <t>13888800070</t>
    <phoneticPr fontId="22" type="noConversion"/>
  </si>
  <si>
    <t>云南省昆明市广福路广福小区一期西区8栋1单元602室</t>
  </si>
  <si>
    <t>0006664</t>
    <phoneticPr fontId="22" type="noConversion"/>
  </si>
  <si>
    <t>颗粒物防尘口罩-蓝色</t>
    <phoneticPr fontId="60" type="noConversion"/>
  </si>
  <si>
    <t>2嘉烨+27.0*30</t>
    <phoneticPr fontId="60" type="noConversion"/>
  </si>
  <si>
    <t>0023121</t>
    <phoneticPr fontId="22" type="noConversion"/>
  </si>
  <si>
    <t>0006665</t>
    <phoneticPr fontId="22" type="noConversion"/>
  </si>
  <si>
    <t>防护服F级（XL）</t>
    <phoneticPr fontId="22" type="noConversion"/>
  </si>
  <si>
    <t>0019041</t>
    <phoneticPr fontId="22" type="noConversion"/>
  </si>
  <si>
    <t>胶条型医用防护服(L)</t>
    <phoneticPr fontId="22" type="noConversion"/>
  </si>
  <si>
    <t>韵达现付</t>
    <phoneticPr fontId="22" type="noConversion"/>
  </si>
  <si>
    <t>1900338189322</t>
    <phoneticPr fontId="22" type="noConversion"/>
  </si>
  <si>
    <t>/</t>
    <phoneticPr fontId="22" type="noConversion"/>
  </si>
  <si>
    <t>1900338189321</t>
    <phoneticPr fontId="22" type="noConversion"/>
  </si>
  <si>
    <t>1900338189323</t>
    <phoneticPr fontId="22" type="noConversion"/>
  </si>
  <si>
    <t>巫溪经销商</t>
    <phoneticPr fontId="22" type="noConversion"/>
  </si>
  <si>
    <t>10-2112</t>
    <phoneticPr fontId="22" type="noConversion"/>
  </si>
  <si>
    <t>双</t>
    <phoneticPr fontId="22" type="noConversion"/>
  </si>
  <si>
    <t>XSD-2013-02-26-00082</t>
    <phoneticPr fontId="22" type="noConversion"/>
  </si>
  <si>
    <t>威特仕</t>
    <phoneticPr fontId="22" type="noConversion"/>
  </si>
  <si>
    <t>灰色实惠电焊皮手套</t>
    <phoneticPr fontId="22" type="noConversion"/>
  </si>
  <si>
    <t>9002A</t>
    <phoneticPr fontId="22" type="noConversion"/>
  </si>
  <si>
    <t>3701CN</t>
    <phoneticPr fontId="22" type="noConversion"/>
  </si>
  <si>
    <t>片</t>
    <phoneticPr fontId="22" type="noConversion"/>
  </si>
  <si>
    <t>0001512</t>
    <phoneticPr fontId="22" type="noConversion"/>
  </si>
  <si>
    <t>02291364</t>
    <phoneticPr fontId="22" type="noConversion"/>
  </si>
  <si>
    <t>三州物流到付</t>
    <phoneticPr fontId="22" type="noConversion"/>
  </si>
  <si>
    <t>0006736</t>
    <phoneticPr fontId="22" type="noConversion"/>
  </si>
  <si>
    <t>3301CN</t>
    <phoneticPr fontId="22" type="noConversion"/>
  </si>
  <si>
    <t>滤棉盖（新）</t>
  </si>
  <si>
    <t>3N11CN</t>
    <phoneticPr fontId="22" type="noConversion"/>
  </si>
  <si>
    <t>0001334</t>
    <phoneticPr fontId="22" type="noConversion"/>
  </si>
  <si>
    <t>渝奉货运到付</t>
    <phoneticPr fontId="22" type="noConversion"/>
  </si>
  <si>
    <t>杨军</t>
    <phoneticPr fontId="22" type="noConversion"/>
  </si>
  <si>
    <t>18883608888</t>
    <phoneticPr fontId="22" type="noConversion"/>
  </si>
  <si>
    <t>巫溪</t>
    <phoneticPr fontId="22" type="noConversion"/>
  </si>
  <si>
    <t>0032195</t>
    <phoneticPr fontId="22" type="noConversion"/>
  </si>
  <si>
    <t>00400568</t>
    <phoneticPr fontId="22" type="noConversion"/>
  </si>
  <si>
    <t>中行对公</t>
    <phoneticPr fontId="22" type="noConversion"/>
  </si>
  <si>
    <t>个</t>
    <phoneticPr fontId="22" type="noConversion"/>
  </si>
  <si>
    <t>0001336</t>
    <phoneticPr fontId="22" type="noConversion"/>
  </si>
  <si>
    <t>退货</t>
    <phoneticPr fontId="22" type="noConversion"/>
  </si>
  <si>
    <t>9021A</t>
    <phoneticPr fontId="22" type="noConversion"/>
  </si>
  <si>
    <t>有机蒸气滤毒盒</t>
    <phoneticPr fontId="22" type="noConversion"/>
  </si>
  <si>
    <t>遵义飘安医疗器械有限公司</t>
  </si>
  <si>
    <t>0001337</t>
    <phoneticPr fontId="22" type="noConversion"/>
  </si>
  <si>
    <t>0871-8228778</t>
  </si>
  <si>
    <t>自提</t>
    <phoneticPr fontId="22" type="noConversion"/>
  </si>
  <si>
    <t>/</t>
    <phoneticPr fontId="22" type="noConversion"/>
  </si>
  <si>
    <t>00400569</t>
    <phoneticPr fontId="22" type="noConversion"/>
  </si>
  <si>
    <t>0074702</t>
    <phoneticPr fontId="22" type="noConversion"/>
  </si>
  <si>
    <t>00400570</t>
    <phoneticPr fontId="22" type="noConversion"/>
  </si>
  <si>
    <t>宜宾市宜美物资有限责任公司</t>
    <phoneticPr fontId="22" type="noConversion"/>
  </si>
  <si>
    <t>四川省宜宾市翠屏区西郊批发市场11幢5层A号</t>
  </si>
  <si>
    <t>骆经理</t>
    <phoneticPr fontId="22" type="noConversion"/>
  </si>
  <si>
    <t>15181109363</t>
    <phoneticPr fontId="22" type="noConversion"/>
  </si>
  <si>
    <t>0009673</t>
    <phoneticPr fontId="22" type="noConversion"/>
  </si>
  <si>
    <t>0001340</t>
    <phoneticPr fontId="22" type="noConversion"/>
  </si>
  <si>
    <t>3N11CN</t>
    <phoneticPr fontId="22" type="noConversion"/>
  </si>
  <si>
    <t>片</t>
    <phoneticPr fontId="22" type="noConversion"/>
  </si>
  <si>
    <t>0001400</t>
    <phoneticPr fontId="22" type="noConversion"/>
  </si>
  <si>
    <t>00673361</t>
    <phoneticPr fontId="22" type="noConversion"/>
  </si>
  <si>
    <t>00673362</t>
    <phoneticPr fontId="22" type="noConversion"/>
  </si>
  <si>
    <t>1900340992491</t>
    <phoneticPr fontId="22" type="noConversion"/>
  </si>
  <si>
    <t>00673363</t>
    <phoneticPr fontId="22" type="noConversion"/>
  </si>
  <si>
    <t>00673364</t>
    <phoneticPr fontId="22" type="noConversion"/>
  </si>
  <si>
    <t>00673365</t>
    <phoneticPr fontId="22" type="noConversion"/>
  </si>
  <si>
    <t>1900340992492</t>
    <phoneticPr fontId="22" type="noConversion"/>
  </si>
  <si>
    <t>00673366</t>
    <phoneticPr fontId="22" type="noConversion"/>
  </si>
  <si>
    <t>00673367</t>
    <phoneticPr fontId="22" type="noConversion"/>
  </si>
  <si>
    <t>0063744</t>
    <phoneticPr fontId="22" type="noConversion"/>
  </si>
  <si>
    <t>万鹏运务到付</t>
    <phoneticPr fontId="22" type="noConversion"/>
  </si>
  <si>
    <t>9021A</t>
    <phoneticPr fontId="22" type="noConversion"/>
  </si>
  <si>
    <t>0001519</t>
    <phoneticPr fontId="22" type="noConversion"/>
  </si>
  <si>
    <t>18嘉烨+15*1.75</t>
    <phoneticPr fontId="60" type="noConversion"/>
  </si>
  <si>
    <t>防护口罩 (双片）</t>
  </si>
  <si>
    <t>防护口罩 (双片）</t>
    <phoneticPr fontId="22" type="noConversion"/>
  </si>
  <si>
    <t>0074701</t>
    <phoneticPr fontId="22" type="noConversion"/>
  </si>
  <si>
    <t>双桥劳保店</t>
    <phoneticPr fontId="22" type="noConversion"/>
  </si>
  <si>
    <t>现金</t>
    <phoneticPr fontId="22" type="noConversion"/>
  </si>
  <si>
    <t>0001339</t>
    <phoneticPr fontId="22" type="noConversion"/>
  </si>
  <si>
    <t>高新物流现付</t>
    <phoneticPr fontId="22" type="noConversion"/>
  </si>
  <si>
    <t>0006359</t>
    <phoneticPr fontId="22" type="noConversion"/>
  </si>
  <si>
    <t>何惠</t>
    <phoneticPr fontId="22" type="noConversion"/>
  </si>
  <si>
    <t>13883258198</t>
    <phoneticPr fontId="22" type="noConversion"/>
  </si>
  <si>
    <t>龙水双桥</t>
    <phoneticPr fontId="22" type="noConversion"/>
  </si>
  <si>
    <t>0005666</t>
    <phoneticPr fontId="22" type="noConversion"/>
  </si>
  <si>
    <t>不开票</t>
    <phoneticPr fontId="22" type="noConversion"/>
  </si>
  <si>
    <t>1900340992490</t>
    <phoneticPr fontId="22" type="noConversion"/>
  </si>
  <si>
    <t>1900340992489</t>
    <phoneticPr fontId="22" type="noConversion"/>
  </si>
  <si>
    <t>1900340992496</t>
    <phoneticPr fontId="22" type="noConversion"/>
  </si>
  <si>
    <t>1900340992493</t>
    <phoneticPr fontId="22" type="noConversion"/>
  </si>
  <si>
    <t>江北区桃花园综合楼405室</t>
  </si>
  <si>
    <t>/</t>
    <phoneticPr fontId="22" type="noConversion"/>
  </si>
  <si>
    <t>02547107</t>
    <phoneticPr fontId="22" type="noConversion"/>
  </si>
  <si>
    <t>现金</t>
    <phoneticPr fontId="22" type="noConversion"/>
  </si>
  <si>
    <t>023000458871</t>
    <phoneticPr fontId="22" type="noConversion"/>
  </si>
  <si>
    <t>023000458870</t>
    <phoneticPr fontId="22" type="noConversion"/>
  </si>
  <si>
    <t>42-474</t>
    <phoneticPr fontId="22" type="noConversion"/>
  </si>
  <si>
    <t>双</t>
    <phoneticPr fontId="22" type="noConversion"/>
  </si>
  <si>
    <t>0001562</t>
    <phoneticPr fontId="22" type="noConversion"/>
  </si>
  <si>
    <t>0001342</t>
    <phoneticPr fontId="22" type="noConversion"/>
  </si>
  <si>
    <t>0001343</t>
    <phoneticPr fontId="22" type="noConversion"/>
  </si>
  <si>
    <t>XS-2013-2-25-067</t>
    <phoneticPr fontId="22" type="noConversion"/>
  </si>
  <si>
    <t>340-4004</t>
    <phoneticPr fontId="22" type="noConversion"/>
  </si>
  <si>
    <t>Ultrafit 圣诞树型带线耳塞</t>
  </si>
  <si>
    <t>3.97*41+4*160</t>
    <phoneticPr fontId="60" type="noConversion"/>
  </si>
  <si>
    <t>0006666</t>
    <phoneticPr fontId="22" type="noConversion"/>
  </si>
  <si>
    <t>0006667</t>
    <phoneticPr fontId="22" type="noConversion"/>
  </si>
  <si>
    <t>双</t>
    <phoneticPr fontId="22" type="noConversion"/>
  </si>
  <si>
    <t>0871-63572513</t>
    <phoneticPr fontId="22" type="noConversion"/>
  </si>
  <si>
    <t>6001CN</t>
    <phoneticPr fontId="22" type="noConversion"/>
  </si>
  <si>
    <t>个</t>
    <phoneticPr fontId="22" type="noConversion"/>
  </si>
  <si>
    <t>0000328</t>
    <phoneticPr fontId="22" type="noConversion"/>
  </si>
  <si>
    <t>0006668</t>
    <phoneticPr fontId="22" type="noConversion"/>
  </si>
  <si>
    <t>重庆市北碚区蔡家岗镇嘉运大道121号</t>
  </si>
  <si>
    <t>陈濛</t>
    <phoneticPr fontId="22" type="noConversion"/>
  </si>
  <si>
    <t>13368328118</t>
  </si>
  <si>
    <t>韵达现付</t>
    <phoneticPr fontId="22" type="noConversion"/>
  </si>
  <si>
    <t>1900340992497</t>
    <phoneticPr fontId="22" type="noConversion"/>
  </si>
  <si>
    <t>通金货运到付</t>
    <phoneticPr fontId="22" type="noConversion"/>
  </si>
  <si>
    <t>0022803</t>
    <phoneticPr fontId="22" type="noConversion"/>
  </si>
  <si>
    <t>/</t>
    <phoneticPr fontId="22" type="noConversion"/>
  </si>
  <si>
    <t>XS-2013-02-27036</t>
    <phoneticPr fontId="22" type="noConversion"/>
  </si>
  <si>
    <t>件</t>
    <phoneticPr fontId="22" type="noConversion"/>
  </si>
  <si>
    <t>SA201302270041</t>
    <phoneticPr fontId="22" type="noConversion"/>
  </si>
  <si>
    <t>防护服F级（M）</t>
    <phoneticPr fontId="22" type="noConversion"/>
  </si>
  <si>
    <t>不开票</t>
    <phoneticPr fontId="22" type="noConversion"/>
  </si>
  <si>
    <t>0001344</t>
    <phoneticPr fontId="22" type="noConversion"/>
  </si>
  <si>
    <t>个人</t>
    <phoneticPr fontId="22" type="noConversion"/>
  </si>
  <si>
    <t>320P</t>
    <phoneticPr fontId="22" type="noConversion"/>
  </si>
  <si>
    <t>套</t>
    <phoneticPr fontId="22" type="noConversion"/>
  </si>
  <si>
    <t>0001346</t>
    <phoneticPr fontId="22" type="noConversion"/>
  </si>
  <si>
    <t>邮政现付</t>
    <phoneticPr fontId="22" type="noConversion"/>
  </si>
  <si>
    <t>云南省罗平县人民医院，药库负责人收</t>
    <phoneticPr fontId="22" type="noConversion"/>
  </si>
  <si>
    <t>药库负责人</t>
  </si>
  <si>
    <t>1092122455501</t>
    <phoneticPr fontId="22" type="noConversion"/>
  </si>
  <si>
    <t>447/4</t>
    <phoneticPr fontId="68" type="noConversion"/>
  </si>
  <si>
    <t>447/6</t>
    <phoneticPr fontId="68" type="noConversion"/>
  </si>
  <si>
    <t>457/4</t>
    <phoneticPr fontId="68" type="noConversion"/>
  </si>
  <si>
    <t>457/6</t>
    <phoneticPr fontId="68" type="noConversion"/>
  </si>
  <si>
    <t>37-176</t>
    <phoneticPr fontId="68" type="noConversion"/>
  </si>
  <si>
    <t>76-200</t>
    <phoneticPr fontId="68" type="noConversion"/>
  </si>
  <si>
    <r>
      <t>9</t>
    </r>
    <r>
      <rPr>
        <sz val="11"/>
        <color indexed="8"/>
        <rFont val="宋体"/>
        <family val="3"/>
        <charset val="134"/>
      </rPr>
      <t>2-600</t>
    </r>
    <phoneticPr fontId="68" type="noConversion"/>
  </si>
  <si>
    <t>93-311</t>
    <phoneticPr fontId="68" type="noConversion"/>
  </si>
  <si>
    <t>9002A</t>
    <phoneticPr fontId="22" type="noConversion"/>
  </si>
  <si>
    <t>南京嘉骏安全防护设备有限公司</t>
    <phoneticPr fontId="22" type="noConversion"/>
  </si>
  <si>
    <t>武汉利丰达贸易有限公司</t>
  </si>
  <si>
    <t>付</t>
    <phoneticPr fontId="22" type="noConversion"/>
  </si>
  <si>
    <t>片</t>
    <phoneticPr fontId="22" type="noConversion"/>
  </si>
  <si>
    <t>0001347</t>
    <phoneticPr fontId="22" type="noConversion"/>
  </si>
  <si>
    <t>自提</t>
    <phoneticPr fontId="22" type="noConversion"/>
  </si>
  <si>
    <t>/</t>
    <phoneticPr fontId="22" type="noConversion"/>
  </si>
  <si>
    <t>现金</t>
    <phoneticPr fontId="22" type="noConversion"/>
  </si>
  <si>
    <t>11-801</t>
    <phoneticPr fontId="22" type="noConversion"/>
  </si>
  <si>
    <t>87-650</t>
    <phoneticPr fontId="22" type="noConversion"/>
  </si>
  <si>
    <t>5N11</t>
    <phoneticPr fontId="22" type="noConversion"/>
  </si>
  <si>
    <t>9002A</t>
    <phoneticPr fontId="22" type="noConversion"/>
  </si>
  <si>
    <t>0006670</t>
    <phoneticPr fontId="22" type="noConversion"/>
  </si>
  <si>
    <t>0030183</t>
    <phoneticPr fontId="22" type="noConversion"/>
  </si>
  <si>
    <t>XSD2013030113035</t>
    <phoneticPr fontId="22" type="noConversion"/>
  </si>
  <si>
    <t>0001583</t>
    <phoneticPr fontId="22" type="noConversion"/>
  </si>
  <si>
    <r>
      <t>3303CN</t>
    </r>
    <r>
      <rPr>
        <sz val="12"/>
        <color indexed="8"/>
        <rFont val="宋体"/>
        <family val="3"/>
        <charset val="134"/>
      </rPr>
      <t xml:space="preserve"> </t>
    </r>
  </si>
  <si>
    <t>3N11CN</t>
    <phoneticPr fontId="22" type="noConversion"/>
  </si>
  <si>
    <t>37-175</t>
    <phoneticPr fontId="22" type="noConversion"/>
  </si>
  <si>
    <t>3303CN</t>
    <phoneticPr fontId="22" type="noConversion"/>
  </si>
  <si>
    <t>个</t>
    <phoneticPr fontId="22" type="noConversion"/>
  </si>
  <si>
    <t>02546591</t>
    <phoneticPr fontId="22" type="noConversion"/>
  </si>
  <si>
    <t>07206256</t>
    <phoneticPr fontId="60" type="noConversion"/>
  </si>
  <si>
    <t>双</t>
    <phoneticPr fontId="22" type="noConversion"/>
  </si>
  <si>
    <t>0001350</t>
    <phoneticPr fontId="22" type="noConversion"/>
  </si>
  <si>
    <t>南京坤宝安全防护设备有限公司</t>
    <phoneticPr fontId="22" type="noConversion"/>
  </si>
  <si>
    <t>绿色丁腈橡胶，无粉尘，工业级，限次用，0.12mm厚，24cm长S/M/L/XL</t>
  </si>
  <si>
    <r>
      <t>Extra Black-手套（</t>
    </r>
    <r>
      <rPr>
        <sz val="11"/>
        <color indexed="8"/>
        <rFont val="宋体"/>
        <family val="3"/>
        <charset val="134"/>
      </rPr>
      <t>L</t>
    </r>
    <r>
      <rPr>
        <sz val="11"/>
        <color indexed="8"/>
        <rFont val="宋体"/>
        <family val="3"/>
        <charset val="134"/>
      </rPr>
      <t>）</t>
    </r>
    <phoneticPr fontId="68" type="noConversion"/>
  </si>
  <si>
    <r>
      <t>Extra Black-手套（</t>
    </r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）</t>
    </r>
    <phoneticPr fontId="68" type="noConversion"/>
  </si>
  <si>
    <t>换货</t>
    <phoneticPr fontId="22" type="noConversion"/>
  </si>
  <si>
    <t>林长驱</t>
    <phoneticPr fontId="22" type="noConversion"/>
  </si>
  <si>
    <t>高新物流到付</t>
    <phoneticPr fontId="22" type="noConversion"/>
  </si>
  <si>
    <t>0011891</t>
    <phoneticPr fontId="22" type="noConversion"/>
  </si>
  <si>
    <t>龙国物流到付</t>
    <phoneticPr fontId="22" type="noConversion"/>
  </si>
  <si>
    <t>0301772</t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</si>
  <si>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8-500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</si>
  <si>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8-501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</si>
  <si>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7-176</t>
    </r>
    <phoneticPr fontId="22" type="noConversion"/>
  </si>
  <si>
    <r>
      <t>8</t>
    </r>
    <r>
      <rPr>
        <sz val="10"/>
        <color indexed="8"/>
        <rFont val="宋体"/>
        <family val="3"/>
        <charset val="134"/>
      </rPr>
      <t>7-650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</si>
  <si>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8-125</t>
    </r>
    <phoneticPr fontId="22" type="noConversion"/>
  </si>
  <si>
    <t>Edge-手套（9码）</t>
    <phoneticPr fontId="22" type="noConversion"/>
  </si>
  <si>
    <t>Universal Plus-手套（M）</t>
    <phoneticPr fontId="22" type="noConversion"/>
  </si>
  <si>
    <t>Edge-手套（8码）</t>
    <phoneticPr fontId="22" type="noConversion"/>
  </si>
  <si>
    <t>李总拿给客户</t>
    <phoneticPr fontId="22" type="noConversion"/>
  </si>
  <si>
    <t>李端</t>
    <phoneticPr fontId="22" type="noConversion"/>
  </si>
  <si>
    <t>卷</t>
    <phoneticPr fontId="22" type="noConversion"/>
  </si>
  <si>
    <t>胶带</t>
    <phoneticPr fontId="22" type="noConversion"/>
  </si>
  <si>
    <t>TESA</t>
    <phoneticPr fontId="22" type="noConversion"/>
  </si>
  <si>
    <t>重庆正寅机械有限公司</t>
    <phoneticPr fontId="22" type="noConversion"/>
  </si>
  <si>
    <t>现金</t>
    <phoneticPr fontId="22" type="noConversion"/>
  </si>
  <si>
    <t>自提</t>
    <phoneticPr fontId="22" type="noConversion"/>
  </si>
  <si>
    <t>钟老师</t>
    <phoneticPr fontId="22" type="noConversion"/>
  </si>
  <si>
    <t>65475563</t>
    <phoneticPr fontId="22" type="noConversion"/>
  </si>
  <si>
    <t>/</t>
    <phoneticPr fontId="22" type="noConversion"/>
  </si>
  <si>
    <t>/</t>
    <phoneticPr fontId="22" type="noConversion"/>
  </si>
  <si>
    <t>107.64</t>
    <phoneticPr fontId="60" type="noConversion"/>
  </si>
  <si>
    <t>个</t>
    <phoneticPr fontId="22" type="noConversion"/>
  </si>
  <si>
    <t>付</t>
    <phoneticPr fontId="22" type="noConversion"/>
  </si>
  <si>
    <t>MJ2013022801</t>
    <phoneticPr fontId="22" type="noConversion"/>
  </si>
  <si>
    <t>南充经销商</t>
    <phoneticPr fontId="22" type="noConversion"/>
  </si>
  <si>
    <t>何德涛</t>
    <phoneticPr fontId="22" type="noConversion"/>
  </si>
  <si>
    <t>13309079368</t>
    <phoneticPr fontId="22" type="noConversion"/>
  </si>
  <si>
    <t>南充</t>
    <phoneticPr fontId="22" type="noConversion"/>
  </si>
  <si>
    <t>中行对公</t>
    <phoneticPr fontId="22" type="noConversion"/>
  </si>
  <si>
    <t>云南联嘉贸易有限公司</t>
  </si>
  <si>
    <t>云南省昆明市宏昌路名宅吉苑A-9号</t>
    <phoneticPr fontId="22" type="noConversion"/>
  </si>
  <si>
    <t>13888979718</t>
  </si>
  <si>
    <t>谢安贵</t>
    <phoneticPr fontId="22" type="noConversion"/>
  </si>
  <si>
    <t>0001351</t>
    <phoneticPr fontId="22" type="noConversion"/>
  </si>
  <si>
    <t>0001352</t>
    <phoneticPr fontId="22" type="noConversion"/>
  </si>
  <si>
    <t>0001354</t>
    <phoneticPr fontId="22" type="noConversion"/>
  </si>
  <si>
    <t>0006672</t>
    <phoneticPr fontId="22" type="noConversion"/>
  </si>
  <si>
    <t>0000348</t>
    <phoneticPr fontId="22" type="noConversion"/>
  </si>
  <si>
    <t>0000351</t>
    <phoneticPr fontId="22" type="noConversion"/>
  </si>
  <si>
    <t>顺昌建辉到付</t>
    <phoneticPr fontId="22" type="noConversion"/>
  </si>
  <si>
    <t>0008028</t>
    <phoneticPr fontId="22" type="noConversion"/>
  </si>
  <si>
    <t>0008254</t>
    <phoneticPr fontId="22" type="noConversion"/>
  </si>
  <si>
    <t>双片包装折叠式防护口罩（耳带式/ 标准号）</t>
  </si>
  <si>
    <t>9001A</t>
    <phoneticPr fontId="22" type="noConversion"/>
  </si>
  <si>
    <t>0006673</t>
    <phoneticPr fontId="22" type="noConversion"/>
  </si>
  <si>
    <t>送货上门</t>
    <phoneticPr fontId="22" type="noConversion"/>
  </si>
  <si>
    <t>9002A</t>
    <phoneticPr fontId="22" type="noConversion"/>
  </si>
  <si>
    <t>个</t>
    <phoneticPr fontId="22" type="noConversion"/>
  </si>
  <si>
    <t>付</t>
    <phoneticPr fontId="22" type="noConversion"/>
  </si>
  <si>
    <t>/</t>
    <phoneticPr fontId="22" type="noConversion"/>
  </si>
  <si>
    <t>XOUT161840</t>
    <phoneticPr fontId="22" type="noConversion"/>
  </si>
  <si>
    <t>0000136</t>
    <phoneticPr fontId="22" type="noConversion"/>
  </si>
  <si>
    <t>农行对私</t>
    <phoneticPr fontId="22" type="noConversion"/>
  </si>
  <si>
    <t>0020813</t>
    <phoneticPr fontId="22" type="noConversion"/>
  </si>
  <si>
    <t>0020813</t>
    <phoneticPr fontId="22" type="noConversion"/>
  </si>
  <si>
    <t>片</t>
    <phoneticPr fontId="22" type="noConversion"/>
  </si>
  <si>
    <t>18*10</t>
    <phoneticPr fontId="22" type="noConversion"/>
  </si>
  <si>
    <t>1500电工胶带</t>
    <phoneticPr fontId="22" type="noConversion"/>
  </si>
  <si>
    <t>卷</t>
    <phoneticPr fontId="22" type="noConversion"/>
  </si>
  <si>
    <t>0000337</t>
    <phoneticPr fontId="22" type="noConversion"/>
  </si>
  <si>
    <t>0001359</t>
    <phoneticPr fontId="22" type="noConversion"/>
  </si>
  <si>
    <t>0006676</t>
    <phoneticPr fontId="22" type="noConversion"/>
  </si>
  <si>
    <t>1621AF</t>
    <phoneticPr fontId="22" type="noConversion"/>
  </si>
  <si>
    <t>付</t>
    <phoneticPr fontId="22" type="noConversion"/>
  </si>
  <si>
    <t>现金</t>
    <phoneticPr fontId="22" type="noConversion"/>
  </si>
  <si>
    <t>0006674</t>
    <phoneticPr fontId="22" type="noConversion"/>
  </si>
  <si>
    <t>0006677</t>
    <phoneticPr fontId="22" type="noConversion"/>
  </si>
  <si>
    <t>0006678</t>
    <phoneticPr fontId="22" type="noConversion"/>
  </si>
  <si>
    <t>89.66</t>
    <phoneticPr fontId="60" type="noConversion"/>
  </si>
  <si>
    <t>长沙振湘劳保用品有限公司</t>
  </si>
  <si>
    <t>个</t>
    <phoneticPr fontId="22" type="noConversion"/>
  </si>
  <si>
    <t>0001362</t>
    <phoneticPr fontId="22" type="noConversion"/>
  </si>
  <si>
    <t>0000341</t>
    <phoneticPr fontId="22" type="noConversion"/>
  </si>
  <si>
    <t>个</t>
    <phoneticPr fontId="22" type="noConversion"/>
  </si>
  <si>
    <t>6001CN</t>
    <phoneticPr fontId="22" type="noConversion"/>
  </si>
  <si>
    <t>5N11</t>
    <phoneticPr fontId="22" type="noConversion"/>
  </si>
  <si>
    <t>片</t>
    <phoneticPr fontId="22" type="noConversion"/>
  </si>
  <si>
    <t>付</t>
    <phoneticPr fontId="22" type="noConversion"/>
  </si>
  <si>
    <t>9002A</t>
    <phoneticPr fontId="22" type="noConversion"/>
  </si>
  <si>
    <t>0001363</t>
    <phoneticPr fontId="22" type="noConversion"/>
  </si>
  <si>
    <t>中行对公</t>
    <phoneticPr fontId="22" type="noConversion"/>
  </si>
  <si>
    <t>/</t>
    <phoneticPr fontId="22" type="noConversion"/>
  </si>
  <si>
    <t>0001366</t>
    <phoneticPr fontId="22" type="noConversion"/>
  </si>
  <si>
    <t>/</t>
    <phoneticPr fontId="22" type="noConversion"/>
  </si>
  <si>
    <t>0001365</t>
    <phoneticPr fontId="22" type="noConversion"/>
  </si>
  <si>
    <t>0000130</t>
    <phoneticPr fontId="22" type="noConversion"/>
  </si>
  <si>
    <t>个</t>
    <phoneticPr fontId="22" type="noConversion"/>
  </si>
  <si>
    <t>0001364</t>
    <phoneticPr fontId="22" type="noConversion"/>
  </si>
  <si>
    <t>飞达货运现付</t>
    <phoneticPr fontId="22" type="noConversion"/>
  </si>
  <si>
    <t>0006679</t>
    <phoneticPr fontId="22" type="noConversion"/>
  </si>
  <si>
    <t>力宏物流现付</t>
    <phoneticPr fontId="22" type="noConversion"/>
  </si>
  <si>
    <t>0023187</t>
    <phoneticPr fontId="22" type="noConversion"/>
  </si>
  <si>
    <t>0000581</t>
    <phoneticPr fontId="22" type="noConversion"/>
  </si>
  <si>
    <t>0000147</t>
    <phoneticPr fontId="22" type="noConversion"/>
  </si>
  <si>
    <t>0001356</t>
    <phoneticPr fontId="22" type="noConversion"/>
  </si>
  <si>
    <t>0000148</t>
    <phoneticPr fontId="22" type="noConversion"/>
  </si>
  <si>
    <t>周建丽</t>
    <phoneticPr fontId="22" type="noConversion"/>
  </si>
  <si>
    <t>18696772026</t>
    <phoneticPr fontId="22" type="noConversion"/>
  </si>
  <si>
    <t>9041A</t>
    <phoneticPr fontId="22" type="noConversion"/>
  </si>
  <si>
    <t>上海君安劳动保护用品有限公司</t>
    <phoneticPr fontId="22" type="noConversion"/>
  </si>
  <si>
    <t>中行对公</t>
    <phoneticPr fontId="22" type="noConversion"/>
  </si>
  <si>
    <t>上海市虹口区中山北一路1250号1号楼1908室</t>
  </si>
  <si>
    <t>9021A</t>
    <phoneticPr fontId="22" type="noConversion"/>
  </si>
  <si>
    <t>付</t>
    <phoneticPr fontId="22" type="noConversion"/>
  </si>
  <si>
    <t>9002V</t>
    <phoneticPr fontId="22" type="noConversion"/>
  </si>
  <si>
    <t>XOUT162544</t>
    <phoneticPr fontId="22" type="noConversion"/>
  </si>
  <si>
    <t>0001435</t>
    <phoneticPr fontId="22" type="noConversion"/>
  </si>
  <si>
    <t>0003173</t>
    <phoneticPr fontId="22" type="noConversion"/>
  </si>
  <si>
    <t>现金</t>
    <phoneticPr fontId="22" type="noConversion"/>
  </si>
  <si>
    <t>/</t>
    <phoneticPr fontId="22" type="noConversion"/>
  </si>
  <si>
    <t>023200191192</t>
    <phoneticPr fontId="22" type="noConversion"/>
  </si>
  <si>
    <t>顺丰到付</t>
    <phoneticPr fontId="22" type="noConversion"/>
  </si>
  <si>
    <t>0310204</t>
    <phoneticPr fontId="22" type="noConversion"/>
  </si>
  <si>
    <t>0001361</t>
    <phoneticPr fontId="22" type="noConversion"/>
  </si>
  <si>
    <t>高新物流到付</t>
    <phoneticPr fontId="22" type="noConversion"/>
  </si>
  <si>
    <t>0027116</t>
    <phoneticPr fontId="22" type="noConversion"/>
  </si>
  <si>
    <t>志康到付</t>
    <phoneticPr fontId="22" type="noConversion"/>
  </si>
  <si>
    <t>0000148</t>
    <phoneticPr fontId="22" type="noConversion"/>
  </si>
  <si>
    <t>9002V</t>
    <phoneticPr fontId="22" type="noConversion"/>
  </si>
  <si>
    <t>9021A</t>
    <phoneticPr fontId="22" type="noConversion"/>
  </si>
  <si>
    <t>0000351</t>
    <phoneticPr fontId="22" type="noConversion"/>
  </si>
  <si>
    <t>00673368</t>
    <phoneticPr fontId="22" type="noConversion"/>
  </si>
  <si>
    <t>00673371</t>
    <phoneticPr fontId="22" type="noConversion"/>
  </si>
  <si>
    <t>00673372</t>
    <phoneticPr fontId="22" type="noConversion"/>
  </si>
  <si>
    <t>02083797</t>
    <phoneticPr fontId="22" type="noConversion"/>
  </si>
  <si>
    <t>00673369</t>
    <phoneticPr fontId="22" type="noConversion"/>
  </si>
  <si>
    <t>00673370</t>
    <phoneticPr fontId="22" type="noConversion"/>
  </si>
  <si>
    <t>00673373</t>
    <phoneticPr fontId="22" type="noConversion"/>
  </si>
  <si>
    <t>00673373</t>
    <phoneticPr fontId="22" type="noConversion"/>
  </si>
  <si>
    <t>00673373</t>
    <phoneticPr fontId="22" type="noConversion"/>
  </si>
  <si>
    <t>重庆大足区智凤镇</t>
    <phoneticPr fontId="22" type="noConversion"/>
  </si>
  <si>
    <t>023200191208</t>
    <phoneticPr fontId="22" type="noConversion"/>
  </si>
  <si>
    <t>TESA</t>
  </si>
  <si>
    <t>中行对公</t>
    <phoneticPr fontId="22" type="noConversion"/>
  </si>
  <si>
    <t>付</t>
    <phoneticPr fontId="22" type="noConversion"/>
  </si>
  <si>
    <t>现金</t>
    <phoneticPr fontId="22" type="noConversion"/>
  </si>
  <si>
    <t>个</t>
    <phoneticPr fontId="22" type="noConversion"/>
  </si>
  <si>
    <t>子弹型带线耳塞</t>
    <phoneticPr fontId="22" type="noConversion"/>
  </si>
  <si>
    <t>颗粒物防尘口罩-蓝色</t>
    <phoneticPr fontId="22" type="noConversion"/>
  </si>
  <si>
    <t>0001438</t>
    <phoneticPr fontId="22" type="noConversion"/>
  </si>
  <si>
    <t>0001437</t>
    <phoneticPr fontId="22" type="noConversion"/>
  </si>
  <si>
    <t>片</t>
    <phoneticPr fontId="22" type="noConversion"/>
  </si>
  <si>
    <t>1900340992994</t>
    <phoneticPr fontId="22" type="noConversion"/>
  </si>
  <si>
    <t>9002A</t>
    <phoneticPr fontId="22" type="noConversion"/>
  </si>
  <si>
    <t>个</t>
    <phoneticPr fontId="22" type="noConversion"/>
  </si>
  <si>
    <t>付</t>
    <phoneticPr fontId="22" type="noConversion"/>
  </si>
  <si>
    <t>嘉烨</t>
    <phoneticPr fontId="22" type="noConversion"/>
  </si>
  <si>
    <t>0006671/0006680</t>
    <phoneticPr fontId="22" type="noConversion"/>
  </si>
  <si>
    <t>0001357</t>
    <phoneticPr fontId="22" type="noConversion"/>
  </si>
  <si>
    <t>自提</t>
    <phoneticPr fontId="22" type="noConversion"/>
  </si>
  <si>
    <t>00673384</t>
    <phoneticPr fontId="22" type="noConversion"/>
  </si>
  <si>
    <t>1900340992995</t>
    <phoneticPr fontId="22" type="noConversion"/>
  </si>
  <si>
    <t>0003174</t>
    <phoneticPr fontId="22" type="noConversion"/>
  </si>
  <si>
    <t>00673382-83</t>
    <phoneticPr fontId="22" type="noConversion"/>
  </si>
  <si>
    <t>00673381</t>
    <phoneticPr fontId="22" type="noConversion"/>
  </si>
  <si>
    <t>/</t>
    <phoneticPr fontId="22" type="noConversion"/>
  </si>
  <si>
    <t>00673379-80</t>
    <phoneticPr fontId="22" type="noConversion"/>
  </si>
  <si>
    <t>00673378</t>
    <phoneticPr fontId="22" type="noConversion"/>
  </si>
  <si>
    <t>00673375-77</t>
    <phoneticPr fontId="22" type="noConversion"/>
  </si>
  <si>
    <t>00673374</t>
    <phoneticPr fontId="22" type="noConversion"/>
  </si>
  <si>
    <t>0001439</t>
    <phoneticPr fontId="22" type="noConversion"/>
  </si>
  <si>
    <t>片</t>
    <phoneticPr fontId="22" type="noConversion"/>
  </si>
  <si>
    <t>0000358</t>
    <phoneticPr fontId="22" type="noConversion"/>
  </si>
  <si>
    <t>0001440</t>
    <phoneticPr fontId="22" type="noConversion"/>
  </si>
  <si>
    <t>3.78</t>
    <phoneticPr fontId="60" type="noConversion"/>
  </si>
  <si>
    <t>飞达货运到付</t>
    <phoneticPr fontId="22" type="noConversion"/>
  </si>
  <si>
    <t>0000587</t>
    <phoneticPr fontId="22" type="noConversion"/>
  </si>
  <si>
    <t>0028639</t>
    <phoneticPr fontId="22" type="noConversion"/>
  </si>
  <si>
    <t>0310252</t>
    <phoneticPr fontId="22" type="noConversion"/>
  </si>
  <si>
    <t>0001255</t>
    <phoneticPr fontId="22" type="noConversion"/>
  </si>
  <si>
    <t>中友货运到付</t>
    <phoneticPr fontId="22" type="noConversion"/>
  </si>
  <si>
    <t>0003064</t>
    <phoneticPr fontId="22" type="noConversion"/>
  </si>
  <si>
    <t>付</t>
    <phoneticPr fontId="22" type="noConversion"/>
  </si>
  <si>
    <t>王丹维</t>
    <phoneticPr fontId="22" type="noConversion"/>
  </si>
  <si>
    <t>1365658407</t>
    <phoneticPr fontId="22" type="noConversion"/>
  </si>
  <si>
    <t>浙江台州市仙居县大战乡桐员溪</t>
    <phoneticPr fontId="22" type="noConversion"/>
  </si>
  <si>
    <t>1900340992996</t>
    <phoneticPr fontId="22" type="noConversion"/>
  </si>
  <si>
    <t>个人</t>
    <phoneticPr fontId="22" type="noConversion"/>
  </si>
  <si>
    <t>现金</t>
    <phoneticPr fontId="22" type="noConversion"/>
  </si>
  <si>
    <t>0001442</t>
    <phoneticPr fontId="22" type="noConversion"/>
  </si>
  <si>
    <t>自提</t>
    <phoneticPr fontId="22" type="noConversion"/>
  </si>
  <si>
    <t>/</t>
    <phoneticPr fontId="22" type="noConversion"/>
  </si>
  <si>
    <t>不开票</t>
    <phoneticPr fontId="22" type="noConversion"/>
  </si>
  <si>
    <t>0000385</t>
    <phoneticPr fontId="22" type="noConversion"/>
  </si>
  <si>
    <t>9042A</t>
    <phoneticPr fontId="22" type="noConversion"/>
  </si>
  <si>
    <t>个</t>
    <phoneticPr fontId="22" type="noConversion"/>
  </si>
  <si>
    <t>嘉烨</t>
    <phoneticPr fontId="22" type="noConversion"/>
  </si>
  <si>
    <t>0003177</t>
    <phoneticPr fontId="22" type="noConversion"/>
  </si>
  <si>
    <t>0003176</t>
    <phoneticPr fontId="22" type="noConversion"/>
  </si>
  <si>
    <t>重庆百货大楼股份有限公司劳保用品分公司</t>
    <phoneticPr fontId="22" type="noConversion"/>
  </si>
  <si>
    <t>0000386</t>
    <phoneticPr fontId="22" type="noConversion"/>
  </si>
  <si>
    <t>重庆通天焊机有限公司</t>
    <phoneticPr fontId="22" type="noConversion"/>
  </si>
  <si>
    <t>0001444</t>
    <phoneticPr fontId="22" type="noConversion"/>
  </si>
  <si>
    <t>0001445</t>
    <phoneticPr fontId="22" type="noConversion"/>
  </si>
  <si>
    <t>送货上门</t>
    <phoneticPr fontId="22" type="noConversion"/>
  </si>
  <si>
    <t>王老师</t>
    <phoneticPr fontId="22" type="noConversion"/>
  </si>
  <si>
    <t>13883350671</t>
    <phoneticPr fontId="22" type="noConversion"/>
  </si>
  <si>
    <t>重庆</t>
    <phoneticPr fontId="22" type="noConversion"/>
  </si>
  <si>
    <t>0001443</t>
    <phoneticPr fontId="22" type="noConversion"/>
  </si>
  <si>
    <t>23370380</t>
    <phoneticPr fontId="22" type="noConversion"/>
  </si>
  <si>
    <t>袁伟物流到付</t>
    <phoneticPr fontId="22" type="noConversion"/>
  </si>
  <si>
    <t>18821193763</t>
  </si>
  <si>
    <t>侯小姐</t>
    <phoneticPr fontId="22" type="noConversion"/>
  </si>
  <si>
    <t>普票</t>
    <phoneticPr fontId="22" type="noConversion"/>
  </si>
  <si>
    <t>0002500</t>
    <phoneticPr fontId="22" type="noConversion"/>
  </si>
  <si>
    <t>个</t>
    <phoneticPr fontId="22" type="noConversion"/>
  </si>
  <si>
    <t>/</t>
    <phoneticPr fontId="22" type="noConversion"/>
  </si>
  <si>
    <t>11-800</t>
  </si>
  <si>
    <t>重庆申蓉商贸有限公司</t>
    <phoneticPr fontId="22" type="noConversion"/>
  </si>
  <si>
    <t>11-800</t>
    <phoneticPr fontId="22" type="noConversion"/>
  </si>
  <si>
    <t>双</t>
    <phoneticPr fontId="22" type="noConversion"/>
  </si>
  <si>
    <t>0003178</t>
    <phoneticPr fontId="22" type="noConversion"/>
  </si>
  <si>
    <t>02083809</t>
    <phoneticPr fontId="22" type="noConversion"/>
  </si>
  <si>
    <t>23369542</t>
    <phoneticPr fontId="22" type="noConversion"/>
  </si>
  <si>
    <t>10565447</t>
    <phoneticPr fontId="22" type="noConversion"/>
  </si>
  <si>
    <t>30191654</t>
    <phoneticPr fontId="22" type="noConversion"/>
  </si>
  <si>
    <t>09156967</t>
    <phoneticPr fontId="22" type="noConversion"/>
  </si>
  <si>
    <t>重庆市血液中心</t>
    <phoneticPr fontId="22" type="noConversion"/>
  </si>
  <si>
    <t>6002CN</t>
    <phoneticPr fontId="22" type="noConversion"/>
  </si>
  <si>
    <t>/</t>
    <phoneticPr fontId="22" type="noConversion"/>
  </si>
  <si>
    <t>个</t>
    <phoneticPr fontId="22" type="noConversion"/>
  </si>
  <si>
    <t>0003179</t>
    <phoneticPr fontId="22" type="noConversion"/>
  </si>
  <si>
    <t>送货上门</t>
    <phoneticPr fontId="22" type="noConversion"/>
  </si>
  <si>
    <t>00400572</t>
    <phoneticPr fontId="22" type="noConversion"/>
  </si>
  <si>
    <t>00400571</t>
    <phoneticPr fontId="22" type="noConversion"/>
  </si>
  <si>
    <t>普票</t>
    <phoneticPr fontId="22" type="noConversion"/>
  </si>
  <si>
    <t>终端</t>
    <phoneticPr fontId="22" type="noConversion"/>
  </si>
  <si>
    <t>顺丰到付</t>
    <phoneticPr fontId="22" type="noConversion"/>
  </si>
  <si>
    <t>023200191253</t>
    <phoneticPr fontId="22" type="noConversion"/>
  </si>
  <si>
    <t>付</t>
    <phoneticPr fontId="22" type="noConversion"/>
  </si>
  <si>
    <t>片</t>
    <phoneticPr fontId="22" type="noConversion"/>
  </si>
  <si>
    <t>中行对公</t>
    <phoneticPr fontId="22" type="noConversion"/>
  </si>
  <si>
    <t>上海双马进出口有限公司</t>
  </si>
  <si>
    <t>个</t>
    <phoneticPr fontId="22" type="noConversion"/>
  </si>
  <si>
    <t>送货上门</t>
    <phoneticPr fontId="22" type="noConversion"/>
  </si>
  <si>
    <t>320D</t>
    <phoneticPr fontId="22" type="noConversion"/>
  </si>
  <si>
    <t>320P</t>
    <phoneticPr fontId="22" type="noConversion"/>
  </si>
  <si>
    <t>3N11CN</t>
    <phoneticPr fontId="22" type="noConversion"/>
  </si>
  <si>
    <t>套</t>
    <phoneticPr fontId="22" type="noConversion"/>
  </si>
  <si>
    <t>片</t>
    <phoneticPr fontId="22" type="noConversion"/>
  </si>
  <si>
    <t>0001446</t>
    <phoneticPr fontId="22" type="noConversion"/>
  </si>
  <si>
    <t>郑亦魏</t>
    <phoneticPr fontId="22" type="noConversion"/>
  </si>
  <si>
    <t>13761626307</t>
    <phoneticPr fontId="22" type="noConversion"/>
  </si>
  <si>
    <t>上海市黄浦区黄家阙路92号505室</t>
  </si>
  <si>
    <t>023200191244</t>
    <phoneticPr fontId="22" type="noConversion"/>
  </si>
  <si>
    <t>个人</t>
    <phoneticPr fontId="22" type="noConversion"/>
  </si>
  <si>
    <t>200*8.09 0嘉烨</t>
    <phoneticPr fontId="60" type="noConversion"/>
  </si>
  <si>
    <t>0001447</t>
    <phoneticPr fontId="22" type="noConversion"/>
  </si>
  <si>
    <t>林巧</t>
    <phoneticPr fontId="22" type="noConversion"/>
  </si>
  <si>
    <t>18615711299</t>
    <phoneticPr fontId="22" type="noConversion"/>
  </si>
  <si>
    <t>成都市武侯区临江东路3号</t>
    <phoneticPr fontId="22" type="noConversion"/>
  </si>
  <si>
    <t>023200191235</t>
    <phoneticPr fontId="22" type="noConversion"/>
  </si>
  <si>
    <t>嘉烨</t>
    <phoneticPr fontId="22" type="noConversion"/>
  </si>
  <si>
    <t>0003180</t>
    <phoneticPr fontId="22" type="noConversion"/>
  </si>
  <si>
    <t>6002CN</t>
    <phoneticPr fontId="22" type="noConversion"/>
  </si>
  <si>
    <t>/</t>
    <phoneticPr fontId="22" type="noConversion"/>
  </si>
  <si>
    <t>00281985</t>
    <phoneticPr fontId="22" type="noConversion"/>
  </si>
  <si>
    <t>/</t>
    <phoneticPr fontId="22" type="noConversion"/>
  </si>
  <si>
    <t>健隆双庆现付</t>
    <phoneticPr fontId="22" type="noConversion"/>
  </si>
  <si>
    <t>0082723</t>
    <phoneticPr fontId="22" type="noConversion"/>
  </si>
  <si>
    <t>爱马斯</t>
    <phoneticPr fontId="22" type="noConversion"/>
  </si>
  <si>
    <t>TLFCMD42100</t>
    <phoneticPr fontId="22" type="noConversion"/>
  </si>
  <si>
    <t>TLFCMD44100</t>
    <phoneticPr fontId="22" type="noConversion"/>
  </si>
  <si>
    <t>一次性医用乳胶无粉手套（中号）</t>
    <phoneticPr fontId="22" type="noConversion"/>
  </si>
  <si>
    <t>一次性医用乳胶无粉手套（小号）</t>
    <phoneticPr fontId="22" type="noConversion"/>
  </si>
  <si>
    <t>箱</t>
    <phoneticPr fontId="22" type="noConversion"/>
  </si>
  <si>
    <t>1611HC</t>
    <phoneticPr fontId="22" type="noConversion"/>
  </si>
  <si>
    <t>391-1000</t>
    <phoneticPr fontId="22" type="noConversion"/>
  </si>
  <si>
    <t>391-1001</t>
    <phoneticPr fontId="22" type="noConversion"/>
  </si>
  <si>
    <t>耳塞分配器底座</t>
  </si>
  <si>
    <t>个</t>
    <phoneticPr fontId="22" type="noConversion"/>
  </si>
  <si>
    <t>付</t>
    <phoneticPr fontId="22" type="noConversion"/>
  </si>
  <si>
    <t>圆柱型耳塞(配合耳塞分配器使用）</t>
    <phoneticPr fontId="22" type="noConversion"/>
  </si>
  <si>
    <t>92-600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</si>
  <si>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20D</t>
    </r>
    <phoneticPr fontId="22" type="noConversion"/>
  </si>
  <si>
    <t>套</t>
    <phoneticPr fontId="22" type="noConversion"/>
  </si>
  <si>
    <t>0001449</t>
    <phoneticPr fontId="22" type="noConversion"/>
  </si>
  <si>
    <t>峨嵋</t>
  </si>
  <si>
    <t>赵文久</t>
    <phoneticPr fontId="22" type="noConversion"/>
  </si>
  <si>
    <t>13981381862</t>
  </si>
  <si>
    <t>中行对公</t>
    <phoneticPr fontId="22" type="noConversion"/>
  </si>
  <si>
    <t>391-1001</t>
    <phoneticPr fontId="22" type="noConversion"/>
  </si>
  <si>
    <t>391-1000</t>
    <phoneticPr fontId="22" type="noConversion"/>
  </si>
  <si>
    <t>391-1004</t>
    <phoneticPr fontId="22" type="noConversion"/>
  </si>
  <si>
    <t>MSA</t>
    <phoneticPr fontId="22" type="noConversion"/>
  </si>
  <si>
    <t>V-A</t>
    <phoneticPr fontId="22" type="noConversion"/>
  </si>
  <si>
    <t>红色安全帽</t>
    <phoneticPr fontId="22" type="noConversion"/>
  </si>
  <si>
    <t>黄色安全帽</t>
    <phoneticPr fontId="22" type="noConversion"/>
  </si>
  <si>
    <t>付</t>
    <phoneticPr fontId="22" type="noConversion"/>
  </si>
  <si>
    <t>个</t>
    <phoneticPr fontId="22" type="noConversion"/>
  </si>
  <si>
    <t>顶</t>
    <phoneticPr fontId="22" type="noConversion"/>
  </si>
  <si>
    <t>高降噪子弹型耳塞(配合耳塞分配器使用)</t>
    <phoneticPr fontId="22" type="noConversion"/>
  </si>
  <si>
    <t>换货</t>
    <phoneticPr fontId="22" type="noConversion"/>
  </si>
  <si>
    <t>艾迈柯思贸易（上海）有限公司</t>
  </si>
  <si>
    <t>/</t>
    <phoneticPr fontId="22" type="noConversion"/>
  </si>
  <si>
    <t>帆布手套</t>
    <phoneticPr fontId="22" type="noConversion"/>
  </si>
  <si>
    <t>皮围裙</t>
    <phoneticPr fontId="22" type="noConversion"/>
  </si>
  <si>
    <t>线手套</t>
    <phoneticPr fontId="22" type="noConversion"/>
  </si>
  <si>
    <t>耐油手套</t>
    <phoneticPr fontId="22" type="noConversion"/>
  </si>
  <si>
    <t>帆布围裙</t>
    <phoneticPr fontId="22" type="noConversion"/>
  </si>
  <si>
    <t>6001CN</t>
    <phoneticPr fontId="22" type="noConversion"/>
  </si>
  <si>
    <t>双</t>
    <phoneticPr fontId="22" type="noConversion"/>
  </si>
  <si>
    <t>条</t>
    <phoneticPr fontId="22" type="noConversion"/>
  </si>
  <si>
    <t>退货</t>
    <phoneticPr fontId="22" type="noConversion"/>
  </si>
  <si>
    <t>0000365</t>
    <phoneticPr fontId="22" type="noConversion"/>
  </si>
  <si>
    <t>0000372</t>
    <phoneticPr fontId="22" type="noConversion"/>
  </si>
  <si>
    <t>现金</t>
    <phoneticPr fontId="22" type="noConversion"/>
  </si>
  <si>
    <t>0001454</t>
    <phoneticPr fontId="22" type="noConversion"/>
  </si>
  <si>
    <t>片</t>
    <phoneticPr fontId="22" type="noConversion"/>
  </si>
  <si>
    <t>0001451</t>
    <phoneticPr fontId="22" type="noConversion"/>
  </si>
  <si>
    <t>0001453</t>
    <phoneticPr fontId="22" type="noConversion"/>
  </si>
  <si>
    <t>00353844</t>
    <phoneticPr fontId="22" type="noConversion"/>
  </si>
  <si>
    <t>永川区红炉镇会龙桥村6社</t>
    <phoneticPr fontId="22" type="noConversion"/>
  </si>
  <si>
    <t>1900341024116</t>
    <phoneticPr fontId="22" type="noConversion"/>
  </si>
  <si>
    <t>00353845-3855</t>
    <phoneticPr fontId="22" type="noConversion"/>
  </si>
  <si>
    <t>1900341024117</t>
    <phoneticPr fontId="22" type="noConversion"/>
  </si>
  <si>
    <t>00353841</t>
    <phoneticPr fontId="22" type="noConversion"/>
  </si>
  <si>
    <t>1900341024118</t>
    <phoneticPr fontId="22" type="noConversion"/>
  </si>
  <si>
    <t>00353842-3843</t>
    <phoneticPr fontId="22" type="noConversion"/>
  </si>
  <si>
    <t>1900341024120</t>
    <phoneticPr fontId="22" type="noConversion"/>
  </si>
  <si>
    <t>0013130</t>
    <phoneticPr fontId="22" type="noConversion"/>
  </si>
  <si>
    <t>0011560</t>
    <phoneticPr fontId="22" type="noConversion"/>
  </si>
  <si>
    <t>派送样品备用</t>
    <phoneticPr fontId="22" type="noConversion"/>
  </si>
  <si>
    <t>罗丽</t>
    <phoneticPr fontId="22" type="noConversion"/>
  </si>
  <si>
    <t>37-176</t>
    <phoneticPr fontId="22" type="noConversion"/>
  </si>
  <si>
    <t>8号</t>
    <phoneticPr fontId="22" type="noConversion"/>
  </si>
  <si>
    <t>87-650</t>
    <phoneticPr fontId="22" type="noConversion"/>
  </si>
  <si>
    <t>87-950</t>
    <phoneticPr fontId="22" type="noConversion"/>
  </si>
  <si>
    <t>92-600</t>
    <phoneticPr fontId="22" type="noConversion"/>
  </si>
  <si>
    <t>11-624</t>
    <phoneticPr fontId="22" type="noConversion"/>
  </si>
  <si>
    <t>48-125</t>
    <phoneticPr fontId="22" type="noConversion"/>
  </si>
  <si>
    <t>48-126</t>
    <phoneticPr fontId="22" type="noConversion"/>
  </si>
  <si>
    <t>48-305</t>
    <phoneticPr fontId="22" type="noConversion"/>
  </si>
  <si>
    <t>48-500</t>
    <phoneticPr fontId="22" type="noConversion"/>
  </si>
  <si>
    <t>48-501</t>
    <phoneticPr fontId="22" type="noConversion"/>
  </si>
  <si>
    <t>48-700</t>
    <phoneticPr fontId="22" type="noConversion"/>
  </si>
  <si>
    <t>76-202</t>
    <phoneticPr fontId="22" type="noConversion"/>
  </si>
  <si>
    <t>76-501</t>
    <phoneticPr fontId="22" type="noConversion"/>
  </si>
  <si>
    <t>M</t>
    <phoneticPr fontId="22" type="noConversion"/>
  </si>
  <si>
    <t>颗粒物呼吸防护套装经济型</t>
    <phoneticPr fontId="22" type="noConversion"/>
  </si>
  <si>
    <t>0001352</t>
    <phoneticPr fontId="22" type="noConversion"/>
  </si>
  <si>
    <t>飞达货运到付</t>
    <phoneticPr fontId="22" type="noConversion"/>
  </si>
  <si>
    <t>0001112</t>
    <phoneticPr fontId="22" type="noConversion"/>
  </si>
  <si>
    <t>0021286</t>
    <phoneticPr fontId="22" type="noConversion"/>
  </si>
  <si>
    <t>0021285</t>
    <phoneticPr fontId="22" type="noConversion"/>
  </si>
  <si>
    <t>0000375</t>
    <phoneticPr fontId="22" type="noConversion"/>
  </si>
  <si>
    <t>0000374</t>
    <phoneticPr fontId="22" type="noConversion"/>
  </si>
  <si>
    <t>S系列头罩</t>
    <phoneticPr fontId="22" type="noConversion"/>
  </si>
  <si>
    <t>呼吸管</t>
    <phoneticPr fontId="22" type="noConversion"/>
  </si>
  <si>
    <t>空气调节阀</t>
    <phoneticPr fontId="22" type="noConversion"/>
  </si>
  <si>
    <t>空气管</t>
    <phoneticPr fontId="22" type="noConversion"/>
  </si>
  <si>
    <t>空气过滤控制板</t>
    <phoneticPr fontId="22" type="noConversion"/>
  </si>
  <si>
    <t>个</t>
    <phoneticPr fontId="22" type="noConversion"/>
  </si>
  <si>
    <t>根</t>
    <phoneticPr fontId="22" type="noConversion"/>
  </si>
  <si>
    <t>台</t>
    <phoneticPr fontId="22" type="noConversion"/>
  </si>
  <si>
    <t>重庆腾富物资有限公司</t>
    <phoneticPr fontId="22" type="noConversion"/>
  </si>
  <si>
    <t>0001456</t>
    <phoneticPr fontId="22" type="noConversion"/>
  </si>
  <si>
    <t>00400574</t>
    <phoneticPr fontId="22" type="noConversion"/>
  </si>
  <si>
    <t>中行对公</t>
    <phoneticPr fontId="22" type="noConversion"/>
  </si>
  <si>
    <t>00400573</t>
    <phoneticPr fontId="22" type="noConversion"/>
  </si>
  <si>
    <t>1900341024119</t>
    <phoneticPr fontId="22" type="noConversion"/>
  </si>
  <si>
    <t>重庆市九龙坡区老顶坡恒鑫名城兰美路118-47号</t>
    <phoneticPr fontId="22" type="noConversion"/>
  </si>
  <si>
    <t>0001458</t>
    <phoneticPr fontId="22" type="noConversion"/>
  </si>
  <si>
    <t>9002A</t>
    <phoneticPr fontId="22" type="noConversion"/>
  </si>
  <si>
    <t>0001455</t>
    <phoneticPr fontId="22" type="noConversion"/>
  </si>
  <si>
    <t>现金</t>
    <phoneticPr fontId="22" type="noConversion"/>
  </si>
  <si>
    <t>/</t>
    <phoneticPr fontId="22" type="noConversion"/>
  </si>
  <si>
    <t>退货</t>
    <phoneticPr fontId="22" type="noConversion"/>
  </si>
  <si>
    <t>0003364</t>
    <phoneticPr fontId="22" type="noConversion"/>
  </si>
  <si>
    <t>龙水</t>
    <phoneticPr fontId="22" type="noConversion"/>
  </si>
  <si>
    <t>0004262</t>
    <phoneticPr fontId="22" type="noConversion"/>
  </si>
  <si>
    <t>金宏达0007435</t>
    <phoneticPr fontId="22" type="noConversion"/>
  </si>
  <si>
    <t>XS-2013-03-20-046</t>
    <phoneticPr fontId="22" type="noConversion"/>
  </si>
  <si>
    <t>重通集团成飞（大安）风电设备有限公司</t>
  </si>
  <si>
    <t>个</t>
    <phoneticPr fontId="22" type="noConversion"/>
  </si>
  <si>
    <t>0001459</t>
    <phoneticPr fontId="22" type="noConversion"/>
  </si>
  <si>
    <t>15500258383</t>
    <phoneticPr fontId="22" type="noConversion"/>
  </si>
  <si>
    <t>毛容</t>
    <phoneticPr fontId="22" type="noConversion"/>
  </si>
  <si>
    <t>终端</t>
    <phoneticPr fontId="22" type="noConversion"/>
  </si>
  <si>
    <t>手工发票</t>
    <phoneticPr fontId="22" type="noConversion"/>
  </si>
  <si>
    <t>320D</t>
    <phoneticPr fontId="22" type="noConversion"/>
  </si>
  <si>
    <t>颗粒物呼吸防护套装经济型</t>
  </si>
  <si>
    <t>套</t>
    <phoneticPr fontId="22" type="noConversion"/>
  </si>
  <si>
    <t>0003183</t>
    <phoneticPr fontId="22" type="noConversion"/>
  </si>
  <si>
    <t>0001460</t>
    <phoneticPr fontId="22" type="noConversion"/>
  </si>
  <si>
    <t>送货上门</t>
    <phoneticPr fontId="22" type="noConversion"/>
  </si>
  <si>
    <t>耐酸碱手套 M</t>
    <phoneticPr fontId="22" type="noConversion"/>
  </si>
  <si>
    <t>重庆南洋劳保用品有限公司</t>
    <phoneticPr fontId="22" type="noConversion"/>
  </si>
  <si>
    <t>加厚帆布手套</t>
    <phoneticPr fontId="22" type="noConversion"/>
  </si>
  <si>
    <t>/</t>
    <phoneticPr fontId="22" type="noConversion"/>
  </si>
  <si>
    <t>皮围裙</t>
    <phoneticPr fontId="22" type="noConversion"/>
  </si>
  <si>
    <t>线手套</t>
    <phoneticPr fontId="22" type="noConversion"/>
  </si>
  <si>
    <t>牛仔布围裙</t>
    <phoneticPr fontId="22" type="noConversion"/>
  </si>
  <si>
    <t>双</t>
    <phoneticPr fontId="22" type="noConversion"/>
  </si>
  <si>
    <t>条</t>
    <phoneticPr fontId="22" type="noConversion"/>
  </si>
  <si>
    <t>XOUT163951</t>
    <phoneticPr fontId="22" type="noConversion"/>
  </si>
  <si>
    <t>3301CN</t>
    <phoneticPr fontId="22" type="noConversion"/>
  </si>
  <si>
    <t>0003182</t>
    <phoneticPr fontId="22" type="noConversion"/>
  </si>
  <si>
    <t>现金</t>
    <phoneticPr fontId="22" type="noConversion"/>
  </si>
  <si>
    <t>片</t>
    <phoneticPr fontId="22" type="noConversion"/>
  </si>
  <si>
    <t>0003185</t>
    <phoneticPr fontId="22" type="noConversion"/>
  </si>
  <si>
    <t>SA201303200143</t>
    <phoneticPr fontId="22" type="noConversion"/>
  </si>
  <si>
    <t>晟达物流到付</t>
    <phoneticPr fontId="22" type="noConversion"/>
  </si>
  <si>
    <t>0000085</t>
    <phoneticPr fontId="22" type="noConversion"/>
  </si>
  <si>
    <t>金宏达物流</t>
    <phoneticPr fontId="22" type="noConversion"/>
  </si>
  <si>
    <t>0003843</t>
    <phoneticPr fontId="22" type="noConversion"/>
  </si>
  <si>
    <t>03538010</t>
    <phoneticPr fontId="22" type="noConversion"/>
  </si>
  <si>
    <t>送货上门</t>
    <phoneticPr fontId="22" type="noConversion"/>
  </si>
  <si>
    <t>/</t>
    <phoneticPr fontId="22" type="noConversion"/>
  </si>
  <si>
    <t>重庆百货大楼股份有限公司劳保用品分公司</t>
    <phoneticPr fontId="22" type="noConversion"/>
  </si>
  <si>
    <t>双</t>
    <phoneticPr fontId="22" type="noConversion"/>
  </si>
  <si>
    <t>个人</t>
    <phoneticPr fontId="22" type="noConversion"/>
  </si>
  <si>
    <t>个</t>
    <phoneticPr fontId="22" type="noConversion"/>
  </si>
  <si>
    <t>现金</t>
    <phoneticPr fontId="22" type="noConversion"/>
  </si>
  <si>
    <t>/</t>
    <phoneticPr fontId="22" type="noConversion"/>
  </si>
  <si>
    <t>件</t>
    <phoneticPr fontId="22" type="noConversion"/>
  </si>
  <si>
    <t>0001461</t>
    <phoneticPr fontId="22" type="noConversion"/>
  </si>
  <si>
    <t>付</t>
    <phoneticPr fontId="22" type="noConversion"/>
  </si>
  <si>
    <t>0001452</t>
    <phoneticPr fontId="22" type="noConversion"/>
  </si>
  <si>
    <t>反光背心</t>
    <phoneticPr fontId="22" type="noConversion"/>
  </si>
  <si>
    <t>0003376</t>
    <phoneticPr fontId="22" type="noConversion"/>
  </si>
  <si>
    <t>件</t>
    <phoneticPr fontId="22" type="noConversion"/>
  </si>
  <si>
    <t>开会用</t>
    <phoneticPr fontId="22" type="noConversion"/>
  </si>
  <si>
    <t>防护服L</t>
  </si>
  <si>
    <r>
      <t>3</t>
    </r>
    <r>
      <rPr>
        <sz val="10"/>
        <color indexed="8"/>
        <rFont val="宋体"/>
        <family val="3"/>
        <charset val="134"/>
      </rPr>
      <t>7-176</t>
    </r>
    <phoneticPr fontId="22" type="noConversion"/>
  </si>
  <si>
    <t>双</t>
    <phoneticPr fontId="22" type="noConversion"/>
  </si>
  <si>
    <t>9号</t>
    <phoneticPr fontId="22" type="noConversion"/>
  </si>
  <si>
    <t>付</t>
    <phoneticPr fontId="22" type="noConversion"/>
  </si>
  <si>
    <t>02546691</t>
    <phoneticPr fontId="22" type="noConversion"/>
  </si>
  <si>
    <t>/</t>
    <phoneticPr fontId="22" type="noConversion"/>
  </si>
  <si>
    <t>0001031</t>
    <phoneticPr fontId="22" type="noConversion"/>
  </si>
  <si>
    <t>0414067</t>
    <phoneticPr fontId="22" type="noConversion"/>
  </si>
  <si>
    <t>个</t>
    <phoneticPr fontId="22" type="noConversion"/>
  </si>
  <si>
    <t>00353856</t>
    <phoneticPr fontId="22" type="noConversion"/>
  </si>
  <si>
    <t>1900364436620</t>
    <phoneticPr fontId="22" type="noConversion"/>
  </si>
  <si>
    <t>3301CN</t>
    <phoneticPr fontId="22" type="noConversion"/>
  </si>
  <si>
    <t>3N11CN</t>
    <phoneticPr fontId="22" type="noConversion"/>
  </si>
  <si>
    <t>385CN</t>
    <phoneticPr fontId="22" type="noConversion"/>
  </si>
  <si>
    <t>片</t>
    <phoneticPr fontId="22" type="noConversion"/>
  </si>
  <si>
    <t>0001463</t>
    <phoneticPr fontId="22" type="noConversion"/>
  </si>
  <si>
    <t>武汉利丰达贸易有限公司</t>
    <phoneticPr fontId="22" type="noConversion"/>
  </si>
  <si>
    <t>620P</t>
    <phoneticPr fontId="22" type="noConversion"/>
  </si>
  <si>
    <t>尘毒呼吸防护套装(MRO)实用型</t>
    <phoneticPr fontId="22" type="noConversion"/>
  </si>
  <si>
    <t>套</t>
    <phoneticPr fontId="22" type="noConversion"/>
  </si>
  <si>
    <t>0001464-1466</t>
    <phoneticPr fontId="22" type="noConversion"/>
  </si>
  <si>
    <t>37-175</t>
    <phoneticPr fontId="22" type="noConversion"/>
  </si>
  <si>
    <t>/</t>
    <phoneticPr fontId="22" type="noConversion"/>
  </si>
  <si>
    <t>00671541</t>
    <phoneticPr fontId="22" type="noConversion"/>
  </si>
  <si>
    <t>9042A</t>
    <phoneticPr fontId="22" type="noConversion"/>
  </si>
  <si>
    <t>0003211</t>
    <phoneticPr fontId="22" type="noConversion"/>
  </si>
  <si>
    <t>0003389</t>
    <phoneticPr fontId="22" type="noConversion"/>
  </si>
  <si>
    <t>0003189</t>
    <phoneticPr fontId="22" type="noConversion"/>
  </si>
  <si>
    <t>9002A</t>
    <phoneticPr fontId="22" type="noConversion"/>
  </si>
  <si>
    <t>个</t>
    <phoneticPr fontId="22" type="noConversion"/>
  </si>
  <si>
    <t>0003210</t>
    <phoneticPr fontId="22" type="noConversion"/>
  </si>
  <si>
    <t>0003186</t>
    <phoneticPr fontId="22" type="noConversion"/>
  </si>
  <si>
    <t>付</t>
    <phoneticPr fontId="22" type="noConversion"/>
  </si>
  <si>
    <t>子弹型带线耳塞</t>
    <phoneticPr fontId="22" type="noConversion"/>
  </si>
  <si>
    <t>建辉货运到付</t>
    <phoneticPr fontId="22" type="noConversion"/>
  </si>
  <si>
    <t>0009539</t>
    <phoneticPr fontId="22" type="noConversion"/>
  </si>
  <si>
    <t>顺昌建辉到付</t>
    <phoneticPr fontId="22" type="noConversion"/>
  </si>
  <si>
    <t>0011831</t>
    <phoneticPr fontId="22" type="noConversion"/>
  </si>
  <si>
    <t>顺昌建辉现付</t>
    <phoneticPr fontId="22" type="noConversion"/>
  </si>
  <si>
    <t>0011832</t>
    <phoneticPr fontId="22" type="noConversion"/>
  </si>
  <si>
    <t>0002775</t>
    <phoneticPr fontId="22" type="noConversion"/>
  </si>
  <si>
    <t>0003212</t>
    <phoneticPr fontId="22" type="noConversion"/>
  </si>
  <si>
    <t>318-1005</t>
    <phoneticPr fontId="22" type="noConversion"/>
  </si>
  <si>
    <t>片</t>
    <phoneticPr fontId="22" type="noConversion"/>
  </si>
  <si>
    <t>320D</t>
    <phoneticPr fontId="22" type="noConversion"/>
  </si>
  <si>
    <t>0003188</t>
    <phoneticPr fontId="22" type="noConversion"/>
  </si>
  <si>
    <t>终端</t>
    <phoneticPr fontId="22" type="noConversion"/>
  </si>
  <si>
    <t>叶志强</t>
    <phoneticPr fontId="22" type="noConversion"/>
  </si>
  <si>
    <t>18990938243</t>
  </si>
  <si>
    <t>/</t>
    <phoneticPr fontId="22" type="noConversion"/>
  </si>
  <si>
    <t>TLCV46100</t>
    <phoneticPr fontId="22" type="noConversion"/>
  </si>
  <si>
    <t>一次性乳胶手套（经济型）大号</t>
    <phoneticPr fontId="22" type="noConversion"/>
  </si>
  <si>
    <t>箱</t>
    <phoneticPr fontId="22" type="noConversion"/>
  </si>
  <si>
    <t>重庆鸽牌电线电缆有限公司</t>
    <phoneticPr fontId="22" type="noConversion"/>
  </si>
  <si>
    <t>赵开源</t>
    <phoneticPr fontId="22" type="noConversion"/>
  </si>
  <si>
    <t>15826065873</t>
    <phoneticPr fontId="22" type="noConversion"/>
  </si>
  <si>
    <t>重庆市渝北区空港大道998号</t>
    <phoneticPr fontId="22" type="noConversion"/>
  </si>
  <si>
    <t>徐州市广通科技发展有限公司</t>
    <phoneticPr fontId="22" type="noConversion"/>
  </si>
  <si>
    <t>压缩空气过滤及调节控制板</t>
    <phoneticPr fontId="22" type="noConversion"/>
  </si>
  <si>
    <t>W-2806</t>
    <phoneticPr fontId="22" type="noConversion"/>
  </si>
  <si>
    <t>个</t>
    <phoneticPr fontId="22" type="noConversion"/>
  </si>
  <si>
    <t>压缩空气管</t>
    <phoneticPr fontId="22" type="noConversion"/>
  </si>
  <si>
    <t>W-9435-50</t>
    <phoneticPr fontId="22" type="noConversion"/>
  </si>
  <si>
    <t>V-300</t>
    <phoneticPr fontId="22" type="noConversion"/>
  </si>
  <si>
    <t>BT-20S</t>
    <phoneticPr fontId="22" type="noConversion"/>
  </si>
  <si>
    <t>S-757</t>
    <phoneticPr fontId="22" type="noConversion"/>
  </si>
  <si>
    <t>空气调节阀</t>
    <phoneticPr fontId="22" type="noConversion"/>
  </si>
  <si>
    <t>呼吸管</t>
    <phoneticPr fontId="22" type="noConversion"/>
  </si>
  <si>
    <t>喷涂头罩</t>
    <phoneticPr fontId="22" type="noConversion"/>
  </si>
  <si>
    <t>根</t>
    <phoneticPr fontId="22" type="noConversion"/>
  </si>
  <si>
    <t>V-100</t>
    <phoneticPr fontId="22" type="noConversion"/>
  </si>
  <si>
    <t>送风电机套件</t>
    <phoneticPr fontId="22" type="noConversion"/>
  </si>
  <si>
    <t>头罩</t>
    <phoneticPr fontId="22" type="noConversion"/>
  </si>
  <si>
    <t>TR-315E</t>
    <phoneticPr fontId="22" type="noConversion"/>
  </si>
  <si>
    <t>S-533L</t>
    <phoneticPr fontId="22" type="noConversion"/>
  </si>
  <si>
    <t>片</t>
    <phoneticPr fontId="22" type="noConversion"/>
  </si>
  <si>
    <t>XSD-2013-03-28-00244</t>
    <phoneticPr fontId="22" type="noConversion"/>
  </si>
  <si>
    <t>0003213</t>
    <phoneticPr fontId="22" type="noConversion"/>
  </si>
  <si>
    <t>顶</t>
    <phoneticPr fontId="22" type="noConversion"/>
  </si>
  <si>
    <t>个人</t>
    <phoneticPr fontId="22" type="noConversion"/>
  </si>
  <si>
    <t>现金</t>
    <phoneticPr fontId="22" type="noConversion"/>
  </si>
  <si>
    <t>87-650</t>
    <phoneticPr fontId="22" type="noConversion"/>
  </si>
  <si>
    <t>9042A</t>
    <phoneticPr fontId="22" type="noConversion"/>
  </si>
  <si>
    <t>0003214</t>
    <phoneticPr fontId="22" type="noConversion"/>
  </si>
  <si>
    <t>Universal Plus-手套（L）</t>
  </si>
  <si>
    <t>9041A</t>
    <phoneticPr fontId="22" type="noConversion"/>
  </si>
  <si>
    <t>付</t>
    <phoneticPr fontId="22" type="noConversion"/>
  </si>
  <si>
    <t>潍坊鲲鹏安全防护用品有限公司</t>
    <phoneticPr fontId="22" type="noConversion"/>
  </si>
  <si>
    <t>广州市南方劳保用品供应有限公司</t>
    <phoneticPr fontId="22" type="noConversion"/>
  </si>
  <si>
    <t>1711AF</t>
    <phoneticPr fontId="22" type="noConversion"/>
  </si>
  <si>
    <t>0003215</t>
    <phoneticPr fontId="22" type="noConversion"/>
  </si>
  <si>
    <t>09234588</t>
    <phoneticPr fontId="22" type="noConversion"/>
  </si>
  <si>
    <t>/</t>
    <phoneticPr fontId="22" type="noConversion"/>
  </si>
  <si>
    <t>健隆双庆到付</t>
    <phoneticPr fontId="22" type="noConversion"/>
  </si>
  <si>
    <t>0056239</t>
    <phoneticPr fontId="22" type="noConversion"/>
  </si>
  <si>
    <t>0008730</t>
    <phoneticPr fontId="22" type="noConversion"/>
  </si>
  <si>
    <t>0003221</t>
    <phoneticPr fontId="22" type="noConversion"/>
  </si>
  <si>
    <t>09770183</t>
    <phoneticPr fontId="22" type="noConversion"/>
  </si>
  <si>
    <t>0000206</t>
    <phoneticPr fontId="22" type="noConversion"/>
  </si>
  <si>
    <t>0003217</t>
    <phoneticPr fontId="22" type="noConversion"/>
  </si>
  <si>
    <t>重庆誉商代</t>
    <phoneticPr fontId="22" type="noConversion"/>
  </si>
  <si>
    <t>自提</t>
    <phoneticPr fontId="22" type="noConversion"/>
  </si>
  <si>
    <t>不开票</t>
    <phoneticPr fontId="22" type="noConversion"/>
  </si>
  <si>
    <t>渠道</t>
    <phoneticPr fontId="22" type="noConversion"/>
  </si>
  <si>
    <t>9042A</t>
    <phoneticPr fontId="22" type="noConversion"/>
  </si>
  <si>
    <t>个</t>
    <phoneticPr fontId="22" type="noConversion"/>
  </si>
  <si>
    <t>0003218</t>
    <phoneticPr fontId="22" type="noConversion"/>
  </si>
  <si>
    <t>重庆百货大楼股份有限公司劳保用品分公司</t>
    <phoneticPr fontId="22" type="noConversion"/>
  </si>
  <si>
    <t>0003222</t>
    <phoneticPr fontId="22" type="noConversion"/>
  </si>
  <si>
    <t>37-176</t>
    <phoneticPr fontId="22" type="noConversion"/>
  </si>
  <si>
    <t>双</t>
    <phoneticPr fontId="22" type="noConversion"/>
  </si>
  <si>
    <t>0003216</t>
    <phoneticPr fontId="22" type="noConversion"/>
  </si>
  <si>
    <t>9041A</t>
    <phoneticPr fontId="22" type="noConversion"/>
  </si>
  <si>
    <t>0003220</t>
    <phoneticPr fontId="22" type="noConversion"/>
  </si>
  <si>
    <t>0003219</t>
    <phoneticPr fontId="22" type="noConversion"/>
  </si>
  <si>
    <t>重庆力原纺织厂</t>
    <phoneticPr fontId="22" type="noConversion"/>
  </si>
  <si>
    <t>张经理</t>
    <phoneticPr fontId="22" type="noConversion"/>
  </si>
  <si>
    <t>13608305919</t>
    <phoneticPr fontId="22" type="noConversion"/>
  </si>
  <si>
    <t>终端</t>
    <phoneticPr fontId="22" type="noConversion"/>
  </si>
  <si>
    <t>科派门业</t>
    <phoneticPr fontId="22" type="noConversion"/>
  </si>
  <si>
    <t>320D</t>
    <phoneticPr fontId="22" type="noConversion"/>
  </si>
  <si>
    <t>0003190</t>
    <phoneticPr fontId="22" type="noConversion"/>
  </si>
  <si>
    <t>邹孝斌</t>
    <phoneticPr fontId="22" type="noConversion"/>
  </si>
  <si>
    <t>15025342772</t>
    <phoneticPr fontId="22" type="noConversion"/>
  </si>
  <si>
    <t>重庆市巴南区界石镇武新村恒兴庄社科派门业</t>
    <phoneticPr fontId="22" type="noConversion"/>
  </si>
  <si>
    <t>片</t>
    <phoneticPr fontId="22" type="noConversion"/>
  </si>
  <si>
    <t>四川安博特安全防护科技有限公司</t>
    <phoneticPr fontId="22" type="noConversion"/>
  </si>
  <si>
    <t>Solvex-手套（9码）</t>
  </si>
  <si>
    <t>Solvex-手套（8码）</t>
    <phoneticPr fontId="22" type="noConversion"/>
  </si>
  <si>
    <t>0000209</t>
    <phoneticPr fontId="22" type="noConversion"/>
  </si>
  <si>
    <t>尘毒呼吸防护套装经济型</t>
  </si>
  <si>
    <r>
      <t>3</t>
    </r>
    <r>
      <rPr>
        <sz val="10"/>
        <color indexed="8"/>
        <rFont val="宋体"/>
        <family val="3"/>
        <charset val="134"/>
      </rPr>
      <t>20P</t>
    </r>
    <phoneticPr fontId="22" type="noConversion"/>
  </si>
  <si>
    <t>套</t>
    <phoneticPr fontId="22" type="noConversion"/>
  </si>
  <si>
    <t>42.939*38+34.866*50</t>
    <phoneticPr fontId="60" type="noConversion"/>
  </si>
  <si>
    <t>0003191</t>
    <phoneticPr fontId="22" type="noConversion"/>
  </si>
  <si>
    <t>布围腰</t>
    <phoneticPr fontId="22" type="noConversion"/>
  </si>
  <si>
    <t>布袖套</t>
    <phoneticPr fontId="22" type="noConversion"/>
  </si>
  <si>
    <t>条</t>
    <phoneticPr fontId="22" type="noConversion"/>
  </si>
  <si>
    <t>0003192</t>
    <phoneticPr fontId="22" type="noConversion"/>
  </si>
  <si>
    <t>3000系列组合喷漆型</t>
  </si>
  <si>
    <t>套</t>
    <phoneticPr fontId="22" type="noConversion"/>
  </si>
  <si>
    <t>重庆耐德自动化技术有限公司</t>
    <phoneticPr fontId="22" type="noConversion"/>
  </si>
  <si>
    <t>3嘉烨 4样品 0*13.2</t>
    <phoneticPr fontId="60" type="noConversion"/>
  </si>
  <si>
    <t>件</t>
    <phoneticPr fontId="22" type="noConversion"/>
  </si>
  <si>
    <t>白色带帽连体防护服L</t>
    <phoneticPr fontId="22" type="noConversion"/>
  </si>
  <si>
    <t>防护服XL</t>
    <phoneticPr fontId="60" type="noConversion"/>
  </si>
  <si>
    <t>防护服</t>
    <phoneticPr fontId="22" type="noConversion"/>
  </si>
  <si>
    <t>防护服L</t>
    <phoneticPr fontId="22" type="noConversion"/>
  </si>
  <si>
    <t>/</t>
    <phoneticPr fontId="22" type="noConversion"/>
  </si>
  <si>
    <t>现金</t>
    <phoneticPr fontId="22" type="noConversion"/>
  </si>
  <si>
    <t>0003223</t>
    <phoneticPr fontId="22" type="noConversion"/>
  </si>
  <si>
    <t>唐老师</t>
    <phoneticPr fontId="22" type="noConversion"/>
  </si>
  <si>
    <t>13983608364</t>
    <phoneticPr fontId="22" type="noConversion"/>
  </si>
  <si>
    <t>重庆市北部新区杨柳路6号</t>
  </si>
  <si>
    <t>00353858</t>
    <phoneticPr fontId="22" type="noConversion"/>
  </si>
  <si>
    <t>00353857</t>
    <phoneticPr fontId="22" type="noConversion"/>
  </si>
  <si>
    <t>0006606</t>
    <phoneticPr fontId="22" type="noConversion"/>
  </si>
  <si>
    <t>1900364436622</t>
    <phoneticPr fontId="22" type="noConversion"/>
  </si>
  <si>
    <t>00671562</t>
    <phoneticPr fontId="22" type="noConversion"/>
  </si>
  <si>
    <t>00366989</t>
    <phoneticPr fontId="22" type="noConversion"/>
  </si>
  <si>
    <t>XS-2013-03-29-235</t>
    <phoneticPr fontId="22" type="noConversion"/>
  </si>
  <si>
    <t>0.5</t>
    <phoneticPr fontId="60" type="noConversion"/>
  </si>
  <si>
    <t>璧山丁家</t>
    <phoneticPr fontId="22" type="noConversion"/>
  </si>
  <si>
    <t>00353859-3860</t>
    <phoneticPr fontId="22" type="noConversion"/>
  </si>
  <si>
    <t>韵达现付</t>
    <phoneticPr fontId="22" type="noConversion"/>
  </si>
  <si>
    <t>1900364436623</t>
    <phoneticPr fontId="22" type="noConversion"/>
  </si>
  <si>
    <t>023200191217</t>
    <phoneticPr fontId="22" type="noConversion"/>
  </si>
  <si>
    <t>海斯坦普金属成型（武汉）有限公司重庆分公司</t>
    <phoneticPr fontId="22" type="noConversion"/>
  </si>
  <si>
    <t>00353861</t>
    <phoneticPr fontId="22" type="noConversion"/>
  </si>
  <si>
    <t>1900364436624</t>
    <phoneticPr fontId="22" type="noConversion"/>
  </si>
  <si>
    <t>391-1000</t>
    <phoneticPr fontId="22" type="noConversion"/>
  </si>
  <si>
    <t>391-1004</t>
    <phoneticPr fontId="22" type="noConversion"/>
  </si>
  <si>
    <t>个</t>
    <phoneticPr fontId="22" type="noConversion"/>
  </si>
  <si>
    <t>付</t>
    <phoneticPr fontId="22" type="noConversion"/>
  </si>
  <si>
    <t>0003193</t>
    <phoneticPr fontId="22" type="noConversion"/>
  </si>
  <si>
    <t>00353862</t>
    <phoneticPr fontId="22" type="noConversion"/>
  </si>
  <si>
    <t>023193164419</t>
    <phoneticPr fontId="22" type="noConversion"/>
  </si>
  <si>
    <t>XSD-2013-04-02-00010</t>
    <phoneticPr fontId="22" type="noConversion"/>
  </si>
  <si>
    <t>防水围腰</t>
    <phoneticPr fontId="22" type="noConversion"/>
  </si>
  <si>
    <t>布袖套</t>
    <phoneticPr fontId="22" type="noConversion"/>
  </si>
  <si>
    <t>双</t>
    <phoneticPr fontId="22" type="noConversion"/>
  </si>
  <si>
    <t>条</t>
    <phoneticPr fontId="22" type="noConversion"/>
  </si>
  <si>
    <t>XOUT164970</t>
    <phoneticPr fontId="22" type="noConversion"/>
  </si>
  <si>
    <t>0003227</t>
    <phoneticPr fontId="22" type="noConversion"/>
  </si>
  <si>
    <t>620P</t>
    <phoneticPr fontId="22" type="noConversion"/>
  </si>
  <si>
    <t>0003225</t>
    <phoneticPr fontId="22" type="noConversion"/>
  </si>
  <si>
    <t>0008879</t>
    <phoneticPr fontId="22" type="noConversion"/>
  </si>
  <si>
    <t>高新物流</t>
    <phoneticPr fontId="22" type="noConversion"/>
  </si>
  <si>
    <t>0011043</t>
    <phoneticPr fontId="22" type="noConversion"/>
  </si>
  <si>
    <t>0412041</t>
    <phoneticPr fontId="22" type="noConversion"/>
  </si>
  <si>
    <t>0038266</t>
    <phoneticPr fontId="22" type="noConversion"/>
  </si>
  <si>
    <t>00353863</t>
    <phoneticPr fontId="22" type="noConversion"/>
  </si>
  <si>
    <t>00671568</t>
    <phoneticPr fontId="22" type="noConversion"/>
  </si>
  <si>
    <t>42-474</t>
    <phoneticPr fontId="22" type="noConversion"/>
  </si>
  <si>
    <t>罗丽</t>
    <phoneticPr fontId="22" type="noConversion"/>
  </si>
  <si>
    <t>中行对公</t>
    <phoneticPr fontId="22" type="noConversion"/>
  </si>
  <si>
    <t>6002CN</t>
    <phoneticPr fontId="22" type="noConversion"/>
  </si>
  <si>
    <t>12 嘉烨</t>
    <phoneticPr fontId="60" type="noConversion"/>
  </si>
  <si>
    <t>0003194</t>
    <phoneticPr fontId="22" type="noConversion"/>
  </si>
  <si>
    <t>嘉烨</t>
    <phoneticPr fontId="22" type="noConversion"/>
  </si>
  <si>
    <t>00353864</t>
    <phoneticPr fontId="22" type="noConversion"/>
  </si>
  <si>
    <t>1900364436625</t>
    <phoneticPr fontId="22" type="noConversion"/>
  </si>
  <si>
    <t>个</t>
    <phoneticPr fontId="22" type="noConversion"/>
  </si>
  <si>
    <t>0003229</t>
    <phoneticPr fontId="22" type="noConversion"/>
  </si>
  <si>
    <t>/</t>
    <phoneticPr fontId="22" type="noConversion"/>
  </si>
  <si>
    <t>布鞋套</t>
    <phoneticPr fontId="22" type="noConversion"/>
  </si>
  <si>
    <t>现金</t>
    <phoneticPr fontId="22" type="noConversion"/>
  </si>
  <si>
    <t>不开票</t>
    <phoneticPr fontId="22" type="noConversion"/>
  </si>
  <si>
    <t>XOUT165124</t>
    <phoneticPr fontId="22" type="noConversion"/>
  </si>
  <si>
    <t>0003195</t>
    <phoneticPr fontId="22" type="noConversion"/>
  </si>
  <si>
    <t>张正黎</t>
    <phoneticPr fontId="22" type="noConversion"/>
  </si>
  <si>
    <t>13060255372</t>
    <phoneticPr fontId="22" type="noConversion"/>
  </si>
  <si>
    <t>0001467</t>
    <phoneticPr fontId="22" type="noConversion"/>
  </si>
  <si>
    <t>付款金额</t>
    <phoneticPr fontId="22" type="noConversion"/>
  </si>
  <si>
    <t>未付金额</t>
    <phoneticPr fontId="22" type="noConversion"/>
  </si>
  <si>
    <t>0003230</t>
    <phoneticPr fontId="22" type="noConversion"/>
  </si>
  <si>
    <t>1900338189322</t>
    <phoneticPr fontId="22" type="noConversion"/>
  </si>
  <si>
    <t>中行对公</t>
    <phoneticPr fontId="22" type="noConversion"/>
  </si>
  <si>
    <t>09234685</t>
    <phoneticPr fontId="22" type="noConversion"/>
  </si>
  <si>
    <t>00353865</t>
    <phoneticPr fontId="22" type="noConversion"/>
  </si>
  <si>
    <t>1900364436627</t>
    <phoneticPr fontId="22" type="noConversion"/>
  </si>
  <si>
    <t>/</t>
    <phoneticPr fontId="22" type="noConversion"/>
  </si>
  <si>
    <t>0011464</t>
    <phoneticPr fontId="22" type="noConversion"/>
  </si>
  <si>
    <t>0700130</t>
    <phoneticPr fontId="22" type="noConversion"/>
  </si>
  <si>
    <t>0003232</t>
    <phoneticPr fontId="22" type="noConversion"/>
  </si>
  <si>
    <t>不开票</t>
    <phoneticPr fontId="22" type="noConversion"/>
  </si>
  <si>
    <t>样品</t>
    <phoneticPr fontId="22" type="noConversion"/>
  </si>
  <si>
    <t>0003196</t>
    <phoneticPr fontId="22" type="noConversion"/>
  </si>
  <si>
    <t>自提</t>
    <phoneticPr fontId="22" type="noConversion"/>
  </si>
  <si>
    <r>
      <t>4</t>
    </r>
    <r>
      <rPr>
        <sz val="11"/>
        <color indexed="8"/>
        <rFont val="宋体"/>
        <family val="3"/>
        <charset val="134"/>
      </rPr>
      <t>2-474</t>
    </r>
    <phoneticPr fontId="22" type="noConversion"/>
  </si>
  <si>
    <t>1.66+1.62</t>
    <phoneticPr fontId="22" type="noConversion"/>
  </si>
  <si>
    <t>1.55+1.6</t>
    <phoneticPr fontId="22" type="noConversion"/>
  </si>
  <si>
    <t>1.46+1.55</t>
    <phoneticPr fontId="22" type="noConversion"/>
  </si>
  <si>
    <t>13.33  3-12.93  17</t>
    <phoneticPr fontId="22" type="noConversion"/>
  </si>
  <si>
    <t>45.8*2+45.8*3</t>
    <phoneticPr fontId="22" type="noConversion"/>
  </si>
  <si>
    <t>45.8*7+42*3</t>
    <phoneticPr fontId="22" type="noConversion"/>
  </si>
  <si>
    <t>45.8*24+45*50</t>
    <phoneticPr fontId="22" type="noConversion"/>
  </si>
  <si>
    <t>18.5*6+17.5*290</t>
    <phoneticPr fontId="22" type="noConversion"/>
  </si>
  <si>
    <t>29.5*200+30*200</t>
    <phoneticPr fontId="22" type="noConversion"/>
  </si>
  <si>
    <t>300*29.5+600*29</t>
  </si>
  <si>
    <t>1.39*400+1.4*100</t>
  </si>
  <si>
    <t>17*2+146*17.5</t>
    <phoneticPr fontId="22" type="noConversion"/>
  </si>
  <si>
    <t>1.58+1.82</t>
    <phoneticPr fontId="22" type="noConversion"/>
  </si>
  <si>
    <t>17.5*240+12*17</t>
  </si>
  <si>
    <t xml:space="preserve"> </t>
    <phoneticPr fontId="22" type="noConversion"/>
  </si>
  <si>
    <t>1621AF</t>
    <phoneticPr fontId="22" type="noConversion"/>
  </si>
  <si>
    <t>H6P3E</t>
    <phoneticPr fontId="22" type="noConversion"/>
  </si>
  <si>
    <t>PJJJ35-33</t>
    <phoneticPr fontId="22" type="noConversion"/>
  </si>
  <si>
    <t>卡斯顿</t>
  </si>
  <si>
    <t>双</t>
    <phoneticPr fontId="22" type="noConversion"/>
  </si>
  <si>
    <t>个</t>
    <phoneticPr fontId="22" type="noConversion"/>
  </si>
  <si>
    <t>付</t>
    <phoneticPr fontId="22" type="noConversion"/>
  </si>
  <si>
    <t>片</t>
    <phoneticPr fontId="22" type="noConversion"/>
  </si>
  <si>
    <t>/</t>
    <phoneticPr fontId="22" type="noConversion"/>
  </si>
  <si>
    <t>00671594</t>
    <phoneticPr fontId="22" type="noConversion"/>
  </si>
  <si>
    <t>0003197</t>
    <phoneticPr fontId="22" type="noConversion"/>
  </si>
  <si>
    <t>上海贺恒工业科技有限公司</t>
    <phoneticPr fontId="22" type="noConversion"/>
  </si>
  <si>
    <t>300度隔热手套</t>
    <phoneticPr fontId="22" type="noConversion"/>
  </si>
  <si>
    <t>牛皮防寒手套</t>
    <phoneticPr fontId="22" type="noConversion"/>
  </si>
  <si>
    <t>0003235</t>
    <phoneticPr fontId="22" type="noConversion"/>
  </si>
  <si>
    <t>抵扣</t>
    <phoneticPr fontId="22" type="noConversion"/>
  </si>
  <si>
    <t>0003236</t>
    <phoneticPr fontId="22" type="noConversion"/>
  </si>
  <si>
    <t>/</t>
    <phoneticPr fontId="22" type="noConversion"/>
  </si>
  <si>
    <t>3744K</t>
    <phoneticPr fontId="22" type="noConversion"/>
  </si>
  <si>
    <t>片</t>
    <phoneticPr fontId="22" type="noConversion"/>
  </si>
  <si>
    <t>不开票</t>
    <phoneticPr fontId="22" type="noConversion"/>
  </si>
  <si>
    <t>线手套</t>
    <phoneticPr fontId="22" type="noConversion"/>
  </si>
  <si>
    <t>重通集团成飞（大安）风电设备有限公司</t>
    <phoneticPr fontId="22" type="noConversion"/>
  </si>
  <si>
    <t>个</t>
    <phoneticPr fontId="22" type="noConversion"/>
  </si>
  <si>
    <t>双</t>
    <phoneticPr fontId="22" type="noConversion"/>
  </si>
  <si>
    <t>0003198</t>
    <phoneticPr fontId="22" type="noConversion"/>
  </si>
  <si>
    <t>0003199</t>
    <phoneticPr fontId="22" type="noConversion"/>
  </si>
  <si>
    <t>0000303</t>
    <phoneticPr fontId="22" type="noConversion"/>
  </si>
  <si>
    <t>广达货运到付</t>
    <phoneticPr fontId="22" type="noConversion"/>
  </si>
  <si>
    <t>0012042</t>
    <phoneticPr fontId="22" type="noConversion"/>
  </si>
  <si>
    <t>飞达货运现付</t>
    <phoneticPr fontId="22" type="noConversion"/>
  </si>
  <si>
    <t>0001496</t>
    <phoneticPr fontId="22" type="noConversion"/>
  </si>
  <si>
    <t>XOUT165742</t>
    <phoneticPr fontId="22" type="noConversion"/>
  </si>
  <si>
    <t>贵州省六盘水市人民医院药剂科</t>
    <phoneticPr fontId="22" type="noConversion"/>
  </si>
  <si>
    <t>付</t>
    <phoneticPr fontId="22" type="noConversion"/>
  </si>
  <si>
    <t>0001470</t>
    <phoneticPr fontId="22" type="noConversion"/>
  </si>
  <si>
    <t>韵达到付</t>
    <phoneticPr fontId="22" type="noConversion"/>
  </si>
  <si>
    <t>刘洪</t>
    <phoneticPr fontId="22" type="noConversion"/>
  </si>
  <si>
    <t>13595882698</t>
    <phoneticPr fontId="22" type="noConversion"/>
  </si>
  <si>
    <t>1900364436628</t>
    <phoneticPr fontId="22" type="noConversion"/>
  </si>
  <si>
    <t>XS-2013-03-29-061</t>
    <phoneticPr fontId="22" type="noConversion"/>
  </si>
  <si>
    <t>0001472</t>
    <phoneticPr fontId="22" type="noConversion"/>
  </si>
  <si>
    <t>0042941</t>
    <phoneticPr fontId="22" type="noConversion"/>
  </si>
  <si>
    <t>刘芳</t>
  </si>
  <si>
    <t>0831-8357768</t>
  </si>
  <si>
    <t>有机蒸气异味及颗粒物防护口罩( 耳带式）</t>
    <phoneticPr fontId="60" type="noConversion"/>
  </si>
  <si>
    <t>9041A</t>
    <phoneticPr fontId="60" type="noConversion"/>
  </si>
  <si>
    <t>0003232</t>
    <phoneticPr fontId="22" type="noConversion"/>
  </si>
  <si>
    <t>个</t>
    <phoneticPr fontId="22" type="noConversion"/>
  </si>
  <si>
    <t>0000619</t>
    <phoneticPr fontId="22" type="noConversion"/>
  </si>
  <si>
    <t>/</t>
    <phoneticPr fontId="22" type="noConversion"/>
  </si>
  <si>
    <t>0001473</t>
    <phoneticPr fontId="22" type="noConversion"/>
  </si>
  <si>
    <t>0001474</t>
    <phoneticPr fontId="22" type="noConversion"/>
  </si>
  <si>
    <t>9041A</t>
    <phoneticPr fontId="22" type="noConversion"/>
  </si>
  <si>
    <t>0001476</t>
    <phoneticPr fontId="22" type="noConversion"/>
  </si>
  <si>
    <t>0003200</t>
    <phoneticPr fontId="22" type="noConversion"/>
  </si>
  <si>
    <t>个</t>
    <phoneticPr fontId="22" type="noConversion"/>
  </si>
  <si>
    <t>0001475</t>
    <phoneticPr fontId="22" type="noConversion"/>
  </si>
  <si>
    <t>3301CN</t>
    <phoneticPr fontId="22" type="noConversion"/>
  </si>
  <si>
    <t>3N11CN</t>
    <phoneticPr fontId="22" type="noConversion"/>
  </si>
  <si>
    <t>片</t>
    <phoneticPr fontId="22" type="noConversion"/>
  </si>
  <si>
    <t>自提</t>
    <phoneticPr fontId="22" type="noConversion"/>
  </si>
  <si>
    <t>0001477</t>
    <phoneticPr fontId="22" type="noConversion"/>
  </si>
  <si>
    <t>中行对公</t>
    <phoneticPr fontId="22" type="noConversion"/>
  </si>
  <si>
    <t>顺丰到付</t>
    <phoneticPr fontId="22" type="noConversion"/>
  </si>
  <si>
    <t>00390193</t>
    <phoneticPr fontId="22" type="noConversion"/>
  </si>
  <si>
    <t>1900364436644</t>
    <phoneticPr fontId="22" type="noConversion"/>
  </si>
  <si>
    <t>韵达现付</t>
    <phoneticPr fontId="22" type="noConversion"/>
  </si>
  <si>
    <t>00389922</t>
    <phoneticPr fontId="22" type="noConversion"/>
  </si>
  <si>
    <t>多开28元</t>
    <phoneticPr fontId="22" type="noConversion"/>
  </si>
  <si>
    <t>抵扣</t>
    <phoneticPr fontId="22" type="noConversion"/>
  </si>
  <si>
    <t>农行对私</t>
    <phoneticPr fontId="22" type="noConversion"/>
  </si>
  <si>
    <t>顺丰到付</t>
    <phoneticPr fontId="22" type="noConversion"/>
  </si>
  <si>
    <t>023193164455</t>
    <phoneticPr fontId="22" type="noConversion"/>
  </si>
  <si>
    <t>023193164428</t>
    <phoneticPr fontId="22" type="noConversion"/>
  </si>
  <si>
    <t>个</t>
    <phoneticPr fontId="22" type="noConversion"/>
  </si>
  <si>
    <t>贵州世康科贸有限责任公司</t>
  </si>
  <si>
    <t>贵阳市金阳新区贵阳国际会议展览中心D区第D3栋（D）3层10号房</t>
    <phoneticPr fontId="22" type="noConversion"/>
  </si>
  <si>
    <t>赵华琴</t>
    <phoneticPr fontId="22" type="noConversion"/>
  </si>
  <si>
    <t>15329706819</t>
  </si>
  <si>
    <t>/</t>
    <phoneticPr fontId="22" type="noConversion"/>
  </si>
  <si>
    <t>023193164437</t>
    <phoneticPr fontId="22" type="noConversion"/>
  </si>
  <si>
    <t>力宏物流到付</t>
    <phoneticPr fontId="22" type="noConversion"/>
  </si>
  <si>
    <t>嘉烨</t>
    <phoneticPr fontId="22" type="noConversion"/>
  </si>
  <si>
    <t>0004316</t>
    <phoneticPr fontId="22" type="noConversion"/>
  </si>
  <si>
    <t>付</t>
    <phoneticPr fontId="22" type="noConversion"/>
  </si>
  <si>
    <t>0000645</t>
    <phoneticPr fontId="22" type="noConversion"/>
  </si>
  <si>
    <t>280度隔热手套</t>
    <phoneticPr fontId="22" type="noConversion"/>
  </si>
  <si>
    <t>重庆诗仙太白古晟酒业有限公司</t>
    <phoneticPr fontId="22" type="noConversion"/>
  </si>
  <si>
    <t>允老师</t>
    <phoneticPr fontId="22" type="noConversion"/>
  </si>
  <si>
    <t>15823695289</t>
    <phoneticPr fontId="22" type="noConversion"/>
  </si>
  <si>
    <t>南川</t>
    <phoneticPr fontId="22" type="noConversion"/>
  </si>
  <si>
    <t>普票</t>
    <phoneticPr fontId="22" type="noConversion"/>
  </si>
  <si>
    <t>深圳市鹏亮工贸有限公司</t>
    <phoneticPr fontId="22" type="noConversion"/>
  </si>
  <si>
    <t>重庆华迈仪器有限公司</t>
    <phoneticPr fontId="22" type="noConversion"/>
  </si>
  <si>
    <t>南岸区海棠溪街道南坪东路516号1栋18-3</t>
    <phoneticPr fontId="22" type="noConversion"/>
  </si>
  <si>
    <t>九龙坡区华岩镇石堰村</t>
    <phoneticPr fontId="22" type="noConversion"/>
  </si>
  <si>
    <t>00400575</t>
    <phoneticPr fontId="22" type="noConversion"/>
  </si>
  <si>
    <t>换货</t>
    <phoneticPr fontId="22" type="noConversion"/>
  </si>
  <si>
    <t>08974250</t>
    <phoneticPr fontId="22" type="noConversion"/>
  </si>
  <si>
    <t>个</t>
    <phoneticPr fontId="22" type="noConversion"/>
  </si>
  <si>
    <t>张红昌</t>
  </si>
  <si>
    <t>贵州市遵义市香港路开发区农行 遵义飘安医疗器械有限公司</t>
  </si>
  <si>
    <t>13096708788/13035535788</t>
  </si>
  <si>
    <t>P95 有机异味及颗粒物防护口罩</t>
  </si>
  <si>
    <t>00390194</t>
    <phoneticPr fontId="22" type="noConversion"/>
  </si>
  <si>
    <t>1900364436642</t>
    <phoneticPr fontId="22" type="noConversion"/>
  </si>
  <si>
    <t>泸州个人</t>
  </si>
  <si>
    <t>/</t>
    <phoneticPr fontId="22" type="noConversion"/>
  </si>
  <si>
    <t>00390195</t>
    <phoneticPr fontId="22" type="noConversion"/>
  </si>
  <si>
    <t>00390196-0199</t>
    <phoneticPr fontId="22" type="noConversion"/>
  </si>
  <si>
    <t>1900364436641</t>
    <phoneticPr fontId="22" type="noConversion"/>
  </si>
  <si>
    <t>00390200-0201</t>
    <phoneticPr fontId="22" type="noConversion"/>
  </si>
  <si>
    <t>1900364436640</t>
    <phoneticPr fontId="22" type="noConversion"/>
  </si>
  <si>
    <t>00671632</t>
    <phoneticPr fontId="22" type="noConversion"/>
  </si>
  <si>
    <t>不开票</t>
    <phoneticPr fontId="22" type="noConversion"/>
  </si>
  <si>
    <t>宜宾县柏溪镇新浩物资经营部</t>
    <phoneticPr fontId="22" type="noConversion"/>
  </si>
  <si>
    <t>4650A</t>
  </si>
  <si>
    <t>泸州个人</t>
    <phoneticPr fontId="22" type="noConversion"/>
  </si>
  <si>
    <t>硅胶半面型单滤盒防尘面罩（中号）</t>
  </si>
  <si>
    <t>个</t>
    <phoneticPr fontId="22" type="noConversion"/>
  </si>
  <si>
    <t>刘元丽</t>
  </si>
  <si>
    <t>15609099728</t>
  </si>
  <si>
    <t>宜宾</t>
    <phoneticPr fontId="22" type="noConversion"/>
  </si>
  <si>
    <t>终端</t>
    <phoneticPr fontId="22" type="noConversion"/>
  </si>
  <si>
    <t>Honeywell</t>
    <phoneticPr fontId="22" type="noConversion"/>
  </si>
  <si>
    <t>防穿刺安全鞋</t>
    <phoneticPr fontId="22" type="noConversion"/>
  </si>
  <si>
    <t>0919703</t>
    <phoneticPr fontId="22" type="noConversion"/>
  </si>
  <si>
    <t>重庆市特安劳保用品有限公司</t>
    <phoneticPr fontId="22" type="noConversion"/>
  </si>
  <si>
    <t>00072065</t>
    <phoneticPr fontId="60" type="noConversion"/>
  </si>
  <si>
    <t>上海和赛富安全科技有限公司</t>
    <phoneticPr fontId="22" type="noConversion"/>
  </si>
  <si>
    <t>9002V</t>
    <phoneticPr fontId="22" type="noConversion"/>
  </si>
  <si>
    <t>上海市松江区南乐路1275弄115号4幢</t>
    <phoneticPr fontId="22" type="noConversion"/>
  </si>
  <si>
    <t>中行对公</t>
    <phoneticPr fontId="22" type="noConversion"/>
  </si>
  <si>
    <t>片</t>
    <phoneticPr fontId="22" type="noConversion"/>
  </si>
  <si>
    <t>宜宾（附送货单）</t>
    <phoneticPr fontId="22" type="noConversion"/>
  </si>
  <si>
    <t>0000652</t>
    <phoneticPr fontId="22" type="noConversion"/>
  </si>
  <si>
    <t>韵达现付</t>
    <phoneticPr fontId="22" type="noConversion"/>
  </si>
  <si>
    <t>1900364436639</t>
    <phoneticPr fontId="22" type="noConversion"/>
  </si>
  <si>
    <t>高新到付</t>
    <phoneticPr fontId="22" type="noConversion"/>
  </si>
  <si>
    <t>0010774</t>
    <phoneticPr fontId="22" type="noConversion"/>
  </si>
  <si>
    <t>预过滤棉</t>
    <phoneticPr fontId="22" type="noConversion"/>
  </si>
  <si>
    <t>泸州个人</t>
    <phoneticPr fontId="22" type="noConversion"/>
  </si>
  <si>
    <t>陈山</t>
    <phoneticPr fontId="22" type="noConversion"/>
  </si>
  <si>
    <t>13700988382</t>
    <phoneticPr fontId="22" type="noConversion"/>
  </si>
  <si>
    <t>泸州市纳溪区</t>
    <phoneticPr fontId="22" type="noConversion"/>
  </si>
  <si>
    <t>/</t>
    <phoneticPr fontId="22" type="noConversion"/>
  </si>
  <si>
    <t>重庆仁力化工有限公司</t>
    <phoneticPr fontId="22" type="noConversion"/>
  </si>
  <si>
    <t>9002A</t>
    <phoneticPr fontId="22" type="noConversion"/>
  </si>
  <si>
    <t>现金</t>
    <phoneticPr fontId="22" type="noConversion"/>
  </si>
  <si>
    <t>周仁力</t>
    <phoneticPr fontId="22" type="noConversion"/>
  </si>
  <si>
    <t>0001479</t>
    <phoneticPr fontId="22" type="noConversion"/>
  </si>
  <si>
    <t>安能物流现付</t>
    <phoneticPr fontId="22" type="noConversion"/>
  </si>
  <si>
    <t>胡金成</t>
    <phoneticPr fontId="22" type="noConversion"/>
  </si>
  <si>
    <t>15921244783</t>
    <phoneticPr fontId="22" type="noConversion"/>
  </si>
  <si>
    <t>11849682</t>
    <phoneticPr fontId="22" type="noConversion"/>
  </si>
  <si>
    <t>18696708998</t>
  </si>
  <si>
    <t>0003201</t>
    <phoneticPr fontId="22" type="noConversion"/>
  </si>
  <si>
    <t>德邦到付</t>
    <phoneticPr fontId="22" type="noConversion"/>
  </si>
  <si>
    <t>9002V</t>
    <phoneticPr fontId="22" type="noConversion"/>
  </si>
  <si>
    <t>04335631</t>
    <phoneticPr fontId="22" type="noConversion"/>
  </si>
  <si>
    <t>15135097</t>
    <phoneticPr fontId="22" type="noConversion"/>
  </si>
  <si>
    <t>安全眼镜</t>
    <phoneticPr fontId="22" type="noConversion"/>
  </si>
  <si>
    <t>付</t>
    <phoneticPr fontId="22" type="noConversion"/>
  </si>
  <si>
    <t>思博瑞安</t>
    <phoneticPr fontId="22" type="noConversion"/>
  </si>
  <si>
    <t>03424555</t>
    <phoneticPr fontId="22" type="noConversion"/>
  </si>
  <si>
    <t>防护服7M/20L/8XL</t>
    <phoneticPr fontId="22" type="noConversion"/>
  </si>
  <si>
    <t>防护服12M/11L/11XL/4XXL</t>
    <phoneticPr fontId="22" type="noConversion"/>
  </si>
  <si>
    <t>0001481</t>
    <phoneticPr fontId="22" type="noConversion"/>
  </si>
  <si>
    <t>个</t>
    <phoneticPr fontId="22" type="noConversion"/>
  </si>
  <si>
    <t>0001482</t>
    <phoneticPr fontId="22" type="noConversion"/>
  </si>
  <si>
    <t>防雾眼镜</t>
    <phoneticPr fontId="22" type="noConversion"/>
  </si>
  <si>
    <t>贵阳鑫玉富祥贸易有限公司</t>
    <phoneticPr fontId="22" type="noConversion"/>
  </si>
  <si>
    <t>片</t>
    <phoneticPr fontId="22" type="noConversion"/>
  </si>
  <si>
    <t>中行对公</t>
    <phoneticPr fontId="22" type="noConversion"/>
  </si>
  <si>
    <t>13985115648</t>
  </si>
  <si>
    <t>涂尊伟</t>
  </si>
  <si>
    <t>贵阳</t>
    <phoneticPr fontId="22" type="noConversion"/>
  </si>
  <si>
    <t>/</t>
    <phoneticPr fontId="22" type="noConversion"/>
  </si>
  <si>
    <t>00390202-0205</t>
    <phoneticPr fontId="22" type="noConversion"/>
  </si>
  <si>
    <t>6000 全面罩视窗保护膜</t>
  </si>
  <si>
    <t>陈俊达</t>
    <phoneticPr fontId="22" type="noConversion"/>
  </si>
  <si>
    <t>张</t>
    <phoneticPr fontId="22" type="noConversion"/>
  </si>
  <si>
    <t>片</t>
    <phoneticPr fontId="22" type="noConversion"/>
  </si>
  <si>
    <t>农行：唐磊6228480470978480213</t>
    <phoneticPr fontId="22" type="noConversion"/>
  </si>
  <si>
    <t>陈俊达：13452158575</t>
    <phoneticPr fontId="22" type="noConversion"/>
  </si>
  <si>
    <t>6000全面具视窗保护膜</t>
    <phoneticPr fontId="60" type="noConversion"/>
  </si>
  <si>
    <t>2.5</t>
    <phoneticPr fontId="60" type="noConversion"/>
  </si>
  <si>
    <t>重庆奔马物资有限公司</t>
    <phoneticPr fontId="22" type="noConversion"/>
  </si>
  <si>
    <t>0000623</t>
    <phoneticPr fontId="22" type="noConversion"/>
  </si>
  <si>
    <t>0001484</t>
    <phoneticPr fontId="22" type="noConversion"/>
  </si>
  <si>
    <t>3301CN</t>
    <phoneticPr fontId="22" type="noConversion"/>
  </si>
  <si>
    <t>3N11CN</t>
    <phoneticPr fontId="22" type="noConversion"/>
  </si>
  <si>
    <t>PS-100焊接面罩</t>
    <phoneticPr fontId="22" type="noConversion"/>
  </si>
  <si>
    <t>XH003896749</t>
    <phoneticPr fontId="22" type="noConversion"/>
  </si>
  <si>
    <t>个</t>
    <phoneticPr fontId="22" type="noConversion"/>
  </si>
  <si>
    <t>重庆诚济医疗器械有限公司</t>
    <phoneticPr fontId="22" type="noConversion"/>
  </si>
  <si>
    <t>片</t>
    <phoneticPr fontId="22" type="noConversion"/>
  </si>
  <si>
    <t>飞达货运提付</t>
    <phoneticPr fontId="22" type="noConversion"/>
  </si>
  <si>
    <t>0005756</t>
    <phoneticPr fontId="22" type="noConversion"/>
  </si>
  <si>
    <t>上海欣韵贸易有限公司</t>
    <phoneticPr fontId="22" type="noConversion"/>
  </si>
  <si>
    <t>9002A</t>
    <phoneticPr fontId="22" type="noConversion"/>
  </si>
  <si>
    <t>折叠式防护口罩(双片包装)</t>
    <phoneticPr fontId="22" type="noConversion"/>
  </si>
  <si>
    <t>中山市肯天工业材料有限公司</t>
    <phoneticPr fontId="22" type="noConversion"/>
  </si>
  <si>
    <t>0000624</t>
    <phoneticPr fontId="22" type="noConversion"/>
  </si>
  <si>
    <t>14.2</t>
    <phoneticPr fontId="60" type="noConversion"/>
  </si>
  <si>
    <t>8样品 29*11.7+0*12</t>
    <phoneticPr fontId="60" type="noConversion"/>
  </si>
  <si>
    <t>0001485-0001487</t>
    <phoneticPr fontId="22" type="noConversion"/>
  </si>
  <si>
    <t>40嘉烨</t>
    <phoneticPr fontId="22" type="noConversion"/>
  </si>
  <si>
    <t>0*1.88+1.58*63</t>
    <phoneticPr fontId="60" type="noConversion"/>
  </si>
  <si>
    <t>中行对公</t>
    <phoneticPr fontId="22" type="noConversion"/>
  </si>
  <si>
    <t>0003202</t>
    <phoneticPr fontId="22" type="noConversion"/>
  </si>
  <si>
    <t>/</t>
    <phoneticPr fontId="22" type="noConversion"/>
  </si>
  <si>
    <t>佩英货运到付</t>
    <phoneticPr fontId="22" type="noConversion"/>
  </si>
  <si>
    <t>0021834</t>
    <phoneticPr fontId="22" type="noConversion"/>
  </si>
  <si>
    <t>0001480</t>
    <phoneticPr fontId="22" type="noConversion"/>
  </si>
  <si>
    <t>0010066</t>
    <phoneticPr fontId="22" type="noConversion"/>
  </si>
  <si>
    <t>0001483</t>
    <phoneticPr fontId="22" type="noConversion"/>
  </si>
  <si>
    <t>0006275</t>
    <phoneticPr fontId="22" type="noConversion"/>
  </si>
  <si>
    <t>0016314</t>
    <phoneticPr fontId="22" type="noConversion"/>
  </si>
  <si>
    <t>0043024</t>
    <phoneticPr fontId="22" type="noConversion"/>
  </si>
  <si>
    <t>0010404</t>
    <phoneticPr fontId="22" type="noConversion"/>
  </si>
  <si>
    <t>志康物流到付</t>
    <phoneticPr fontId="22" type="noConversion"/>
  </si>
  <si>
    <t>0003300</t>
    <phoneticPr fontId="22" type="noConversion"/>
  </si>
  <si>
    <t>件</t>
    <phoneticPr fontId="22" type="noConversion"/>
  </si>
  <si>
    <t>0000626</t>
    <phoneticPr fontId="22" type="noConversion"/>
  </si>
  <si>
    <t>顺昌建辉到付</t>
    <phoneticPr fontId="22" type="noConversion"/>
  </si>
  <si>
    <t>0005146</t>
    <phoneticPr fontId="22" type="noConversion"/>
  </si>
  <si>
    <t>023193164446</t>
    <phoneticPr fontId="22" type="noConversion"/>
  </si>
  <si>
    <t>库存数（双）</t>
    <phoneticPr fontId="60" type="noConversion"/>
  </si>
  <si>
    <t>0000653</t>
    <phoneticPr fontId="22" type="noConversion"/>
  </si>
  <si>
    <t>SA201304090122</t>
    <phoneticPr fontId="22" type="noConversion"/>
  </si>
  <si>
    <t>张剑</t>
  </si>
  <si>
    <t>14787860628</t>
  </si>
  <si>
    <t>中行对公</t>
    <phoneticPr fontId="22" type="noConversion"/>
  </si>
  <si>
    <t>7772CN</t>
    <phoneticPr fontId="22" type="noConversion"/>
  </si>
  <si>
    <t>个</t>
    <phoneticPr fontId="22" type="noConversion"/>
  </si>
  <si>
    <t>双</t>
    <phoneticPr fontId="22" type="noConversion"/>
  </si>
  <si>
    <t>巫山县松林汽车维修有限公司</t>
    <phoneticPr fontId="22" type="noConversion"/>
  </si>
  <si>
    <t>3M</t>
    <phoneticPr fontId="22" type="noConversion"/>
  </si>
  <si>
    <t>318-1005</t>
    <phoneticPr fontId="22" type="noConversion"/>
  </si>
  <si>
    <t>片</t>
    <phoneticPr fontId="22" type="noConversion"/>
  </si>
  <si>
    <t>付</t>
    <phoneticPr fontId="22" type="noConversion"/>
  </si>
  <si>
    <t>件</t>
    <phoneticPr fontId="22" type="noConversion"/>
  </si>
  <si>
    <t>320D</t>
    <phoneticPr fontId="22" type="noConversion"/>
  </si>
  <si>
    <t>48-501</t>
    <phoneticPr fontId="22" type="noConversion"/>
  </si>
  <si>
    <t>套</t>
    <phoneticPr fontId="22" type="noConversion"/>
  </si>
  <si>
    <t>绿色带帽连体防护服XXL</t>
    <phoneticPr fontId="22" type="noConversion"/>
  </si>
  <si>
    <t>白色带帽连体防护服XL</t>
    <phoneticPr fontId="22" type="noConversion"/>
  </si>
  <si>
    <t>白色带帽连体防护服12M/11L/11XL/4XXL</t>
    <phoneticPr fontId="22" type="noConversion"/>
  </si>
  <si>
    <t>嘉烨</t>
    <phoneticPr fontId="22" type="noConversion"/>
  </si>
  <si>
    <t>样品</t>
    <phoneticPr fontId="22" type="noConversion"/>
  </si>
  <si>
    <t>应急包</t>
    <phoneticPr fontId="22" type="noConversion"/>
  </si>
  <si>
    <t>420D</t>
    <phoneticPr fontId="22" type="noConversion"/>
  </si>
  <si>
    <t>给工厂做样品</t>
    <phoneticPr fontId="22" type="noConversion"/>
  </si>
  <si>
    <t>李攀梅</t>
    <phoneticPr fontId="22" type="noConversion"/>
  </si>
  <si>
    <t>公司员工一人一个</t>
    <phoneticPr fontId="22" type="noConversion"/>
  </si>
  <si>
    <t>李端</t>
    <phoneticPr fontId="22" type="noConversion"/>
  </si>
  <si>
    <t>/</t>
    <phoneticPr fontId="22" type="noConversion"/>
  </si>
  <si>
    <t>00139897</t>
    <phoneticPr fontId="22" type="noConversion"/>
  </si>
  <si>
    <t>现金</t>
    <phoneticPr fontId="22" type="noConversion"/>
  </si>
  <si>
    <t>自提</t>
    <phoneticPr fontId="22" type="noConversion"/>
  </si>
  <si>
    <t>15310501555</t>
    <phoneticPr fontId="22" type="noConversion"/>
  </si>
  <si>
    <t>巫山县巫峡路666号</t>
    <phoneticPr fontId="22" type="noConversion"/>
  </si>
  <si>
    <t>00390206</t>
    <phoneticPr fontId="22" type="noConversion"/>
  </si>
  <si>
    <t>终端</t>
    <phoneticPr fontId="22" type="noConversion"/>
  </si>
  <si>
    <t>0001488</t>
    <phoneticPr fontId="22" type="noConversion"/>
  </si>
  <si>
    <t>0001489</t>
    <phoneticPr fontId="22" type="noConversion"/>
  </si>
  <si>
    <t>中行对公</t>
    <phoneticPr fontId="22" type="noConversion"/>
  </si>
  <si>
    <t>德邦86886963</t>
    <phoneticPr fontId="22" type="noConversion"/>
  </si>
  <si>
    <t>德邦69695196</t>
    <phoneticPr fontId="22" type="noConversion"/>
  </si>
  <si>
    <t>00390209</t>
    <phoneticPr fontId="22" type="noConversion"/>
  </si>
  <si>
    <t>1900364436635</t>
    <phoneticPr fontId="22" type="noConversion"/>
  </si>
  <si>
    <t>00390210</t>
    <phoneticPr fontId="22" type="noConversion"/>
  </si>
  <si>
    <t>1900364436636</t>
    <phoneticPr fontId="22" type="noConversion"/>
  </si>
  <si>
    <t>00390207-0208</t>
    <phoneticPr fontId="22" type="noConversion"/>
  </si>
  <si>
    <t>1900364436637</t>
    <phoneticPr fontId="22" type="noConversion"/>
  </si>
  <si>
    <t>南岸茶园新区机电路18号</t>
    <phoneticPr fontId="22" type="noConversion"/>
  </si>
  <si>
    <t>南岸茶园新区机电路18号</t>
    <phoneticPr fontId="22" type="noConversion"/>
  </si>
  <si>
    <t>XOUT166921</t>
    <phoneticPr fontId="22" type="noConversion"/>
  </si>
  <si>
    <t>童华</t>
    <phoneticPr fontId="22" type="noConversion"/>
  </si>
  <si>
    <t>15923520008</t>
    <phoneticPr fontId="22" type="noConversion"/>
  </si>
  <si>
    <t>重庆观音桥建北七支路光宇大厦4楼检测所</t>
    <phoneticPr fontId="22" type="noConversion"/>
  </si>
  <si>
    <t>1900364436634</t>
    <phoneticPr fontId="22" type="noConversion"/>
  </si>
  <si>
    <t>0004774</t>
    <phoneticPr fontId="22" type="noConversion"/>
  </si>
  <si>
    <t>00400576</t>
    <phoneticPr fontId="22" type="noConversion"/>
  </si>
  <si>
    <t>付</t>
    <phoneticPr fontId="22" type="noConversion"/>
  </si>
  <si>
    <t>个</t>
    <phoneticPr fontId="22" type="noConversion"/>
  </si>
  <si>
    <t>0001492</t>
    <phoneticPr fontId="22" type="noConversion"/>
  </si>
  <si>
    <t>敖翔</t>
    <phoneticPr fontId="22" type="noConversion"/>
  </si>
  <si>
    <t>18680893324</t>
    <phoneticPr fontId="22" type="noConversion"/>
  </si>
  <si>
    <t>嘉烨</t>
    <phoneticPr fontId="22" type="noConversion"/>
  </si>
  <si>
    <t>重庆市昊泽工贸有限公司</t>
    <phoneticPr fontId="22" type="noConversion"/>
  </si>
  <si>
    <t>0002102</t>
    <phoneticPr fontId="22" type="noConversion"/>
  </si>
  <si>
    <t>0001494</t>
    <phoneticPr fontId="22" type="noConversion"/>
  </si>
  <si>
    <t>斯博瑞安</t>
    <phoneticPr fontId="22" type="noConversion"/>
  </si>
  <si>
    <t>BC6240470</t>
  </si>
  <si>
    <t>安全鞋40码</t>
    <phoneticPr fontId="22" type="noConversion"/>
  </si>
  <si>
    <t>双</t>
    <phoneticPr fontId="22" type="noConversion"/>
  </si>
  <si>
    <t>半面型防护面罩（小号）</t>
  </si>
  <si>
    <t>丁文典</t>
    <phoneticPr fontId="22" type="noConversion"/>
  </si>
  <si>
    <t>15902369095</t>
    <phoneticPr fontId="22" type="noConversion"/>
  </si>
  <si>
    <t>中行对公</t>
    <phoneticPr fontId="22" type="noConversion"/>
  </si>
  <si>
    <t>35273552</t>
    <phoneticPr fontId="22" type="noConversion"/>
  </si>
  <si>
    <t>00390211</t>
    <phoneticPr fontId="22" type="noConversion"/>
  </si>
  <si>
    <t>3-18付2W农行对私，3-29付7W中行对公，4-12,付3W中行对公，1.5W农行对私，4-19,16716.63中行对公</t>
    <phoneticPr fontId="22" type="noConversion"/>
  </si>
  <si>
    <t>现金</t>
    <phoneticPr fontId="22" type="noConversion"/>
  </si>
  <si>
    <t>/</t>
    <phoneticPr fontId="22" type="noConversion"/>
  </si>
  <si>
    <t>张文</t>
    <phoneticPr fontId="22" type="noConversion"/>
  </si>
  <si>
    <t>两路</t>
    <phoneticPr fontId="22" type="noConversion"/>
  </si>
  <si>
    <t>13883567551</t>
    <phoneticPr fontId="22" type="noConversion"/>
  </si>
  <si>
    <t>不开票</t>
    <phoneticPr fontId="22" type="noConversion"/>
  </si>
  <si>
    <t>韵达现付</t>
    <phoneticPr fontId="22" type="noConversion"/>
  </si>
  <si>
    <t>0004775</t>
    <phoneticPr fontId="22" type="noConversion"/>
  </si>
  <si>
    <t>lakeland</t>
    <phoneticPr fontId="22" type="noConversion"/>
  </si>
  <si>
    <t>医用一次性防护服(200M40L)</t>
    <phoneticPr fontId="22" type="noConversion"/>
  </si>
  <si>
    <t>AMN428ETS</t>
    <phoneticPr fontId="22" type="noConversion"/>
  </si>
  <si>
    <t>套</t>
    <phoneticPr fontId="22" type="noConversion"/>
  </si>
  <si>
    <t>92-600</t>
    <phoneticPr fontId="22" type="noConversion"/>
  </si>
  <si>
    <t>XOUT167077</t>
    <phoneticPr fontId="22" type="noConversion"/>
  </si>
  <si>
    <t>退货</t>
    <phoneticPr fontId="22" type="noConversion"/>
  </si>
  <si>
    <t>4嘉烨</t>
    <phoneticPr fontId="22" type="noConversion"/>
  </si>
  <si>
    <t>半面型防护面罩（小号）</t>
    <phoneticPr fontId="22" type="noConversion"/>
  </si>
  <si>
    <t>防护服C级（L）</t>
    <phoneticPr fontId="22" type="noConversion"/>
  </si>
  <si>
    <t>眼镜</t>
    <phoneticPr fontId="22" type="noConversion"/>
  </si>
  <si>
    <t>安顺市金凤凰医疗器械有限责任公司</t>
    <phoneticPr fontId="22" type="noConversion"/>
  </si>
  <si>
    <t>37-176</t>
    <phoneticPr fontId="22" type="noConversion"/>
  </si>
  <si>
    <t>贵州省安顺市中华北路商业街101-102号</t>
  </si>
  <si>
    <t>简玉龙</t>
    <phoneticPr fontId="22" type="noConversion"/>
  </si>
  <si>
    <t>13985737048</t>
  </si>
  <si>
    <t>片</t>
    <phoneticPr fontId="22" type="noConversion"/>
  </si>
  <si>
    <t>0001497</t>
    <phoneticPr fontId="22" type="noConversion"/>
  </si>
  <si>
    <t>力宏物流到付</t>
    <phoneticPr fontId="22" type="noConversion"/>
  </si>
  <si>
    <t>0005654</t>
    <phoneticPr fontId="22" type="noConversion"/>
  </si>
  <si>
    <t>0001491</t>
    <phoneticPr fontId="22" type="noConversion"/>
  </si>
  <si>
    <t>0005651</t>
    <phoneticPr fontId="22" type="noConversion"/>
  </si>
  <si>
    <t>/</t>
    <phoneticPr fontId="22" type="noConversion"/>
  </si>
  <si>
    <t>0010774</t>
    <phoneticPr fontId="22" type="noConversion"/>
  </si>
  <si>
    <t>0001773</t>
    <phoneticPr fontId="22" type="noConversion"/>
  </si>
  <si>
    <t>3744K</t>
    <phoneticPr fontId="22" type="noConversion"/>
  </si>
  <si>
    <t>片</t>
    <phoneticPr fontId="22" type="noConversion"/>
  </si>
  <si>
    <t>0001496</t>
    <phoneticPr fontId="22" type="noConversion"/>
  </si>
  <si>
    <t>0001498</t>
    <phoneticPr fontId="22" type="noConversion"/>
  </si>
  <si>
    <t>/</t>
    <phoneticPr fontId="22" type="noConversion"/>
  </si>
  <si>
    <t>双</t>
    <phoneticPr fontId="22" type="noConversion"/>
  </si>
  <si>
    <t>眼镜</t>
    <phoneticPr fontId="22" type="noConversion"/>
  </si>
  <si>
    <t>付</t>
    <phoneticPr fontId="22" type="noConversion"/>
  </si>
  <si>
    <t>9041A</t>
    <phoneticPr fontId="22" type="noConversion"/>
  </si>
  <si>
    <t>00717354</t>
    <phoneticPr fontId="22" type="noConversion"/>
  </si>
  <si>
    <t>SA201304160133</t>
    <phoneticPr fontId="22" type="noConversion"/>
  </si>
  <si>
    <t>P301906</t>
    <phoneticPr fontId="22" type="noConversion"/>
  </si>
  <si>
    <t>0000097</t>
    <phoneticPr fontId="22" type="noConversion"/>
  </si>
  <si>
    <t>UVEX</t>
    <phoneticPr fontId="22" type="noConversion"/>
  </si>
  <si>
    <t>UVEX</t>
    <phoneticPr fontId="22" type="noConversion"/>
  </si>
  <si>
    <t>样品</t>
    <phoneticPr fontId="22" type="noConversion"/>
  </si>
  <si>
    <t>200样品</t>
    <phoneticPr fontId="22" type="noConversion"/>
  </si>
  <si>
    <t>0004776</t>
    <phoneticPr fontId="22" type="noConversion"/>
  </si>
  <si>
    <t>0004807</t>
    <phoneticPr fontId="22" type="noConversion"/>
  </si>
  <si>
    <t>0000664</t>
    <phoneticPr fontId="22" type="noConversion"/>
  </si>
  <si>
    <t>0700086</t>
    <phoneticPr fontId="22" type="noConversion"/>
  </si>
  <si>
    <t>2013041602</t>
    <phoneticPr fontId="22" type="noConversion"/>
  </si>
  <si>
    <t>/</t>
    <phoneticPr fontId="22" type="noConversion"/>
  </si>
  <si>
    <t>0019414</t>
    <phoneticPr fontId="22" type="noConversion"/>
  </si>
  <si>
    <t>个</t>
    <phoneticPr fontId="22" type="noConversion"/>
  </si>
  <si>
    <t>付</t>
    <phoneticPr fontId="22" type="noConversion"/>
  </si>
  <si>
    <t>0004810</t>
    <phoneticPr fontId="22" type="noConversion"/>
  </si>
  <si>
    <t>件</t>
    <phoneticPr fontId="22" type="noConversion"/>
  </si>
  <si>
    <t>0004809</t>
    <phoneticPr fontId="22" type="noConversion"/>
  </si>
  <si>
    <t>0004808</t>
    <phoneticPr fontId="22" type="noConversion"/>
  </si>
  <si>
    <t>1621AF</t>
    <phoneticPr fontId="22" type="noConversion"/>
  </si>
  <si>
    <t>片</t>
    <phoneticPr fontId="45" type="noConversion"/>
  </si>
  <si>
    <t>0001499</t>
    <phoneticPr fontId="22" type="noConversion"/>
  </si>
  <si>
    <t>00147925</t>
    <phoneticPr fontId="22" type="noConversion"/>
  </si>
  <si>
    <t>07633956</t>
    <phoneticPr fontId="22" type="noConversion"/>
  </si>
  <si>
    <t>21421088</t>
    <phoneticPr fontId="22" type="noConversion"/>
  </si>
  <si>
    <t>03261607</t>
    <phoneticPr fontId="22" type="noConversion"/>
  </si>
  <si>
    <t>37-176</t>
    <phoneticPr fontId="22" type="noConversion"/>
  </si>
  <si>
    <t>双</t>
    <phoneticPr fontId="22" type="noConversion"/>
  </si>
  <si>
    <t>Solvex-手套（10码）</t>
    <phoneticPr fontId="22" type="noConversion"/>
  </si>
  <si>
    <t>重庆捷伦科技贸易发展有限公司</t>
    <phoneticPr fontId="22" type="noConversion"/>
  </si>
  <si>
    <t>重庆渝中区大坪长江二路39号附1号</t>
    <phoneticPr fontId="22" type="noConversion"/>
  </si>
  <si>
    <t>成都赛福特商贸有限责任公司</t>
    <phoneticPr fontId="22" type="noConversion"/>
  </si>
  <si>
    <t>成都成华区望平街118号天祥大厦419室</t>
    <phoneticPr fontId="22" type="noConversion"/>
  </si>
  <si>
    <t>9022A</t>
    <phoneticPr fontId="22" type="noConversion"/>
  </si>
  <si>
    <t>片</t>
    <phoneticPr fontId="22" type="noConversion"/>
  </si>
  <si>
    <t>不开票</t>
    <phoneticPr fontId="22" type="noConversion"/>
  </si>
  <si>
    <t>达州市途宇劳动防护用品有限公司</t>
    <phoneticPr fontId="22" type="noConversion"/>
  </si>
  <si>
    <t>0004777</t>
    <phoneticPr fontId="22" type="noConversion"/>
  </si>
  <si>
    <t>1900364436630</t>
    <phoneticPr fontId="22" type="noConversion"/>
  </si>
  <si>
    <t>0004811</t>
    <phoneticPr fontId="22" type="noConversion"/>
  </si>
  <si>
    <t>邓天星</t>
    <phoneticPr fontId="22" type="noConversion"/>
  </si>
  <si>
    <t>0818-8092299</t>
    <phoneticPr fontId="22" type="noConversion"/>
  </si>
  <si>
    <t>达州</t>
    <phoneticPr fontId="22" type="noConversion"/>
  </si>
  <si>
    <t>0003106</t>
    <phoneticPr fontId="22" type="noConversion"/>
  </si>
  <si>
    <t>重庆福文木工板加工厂</t>
    <phoneticPr fontId="22" type="noConversion"/>
  </si>
  <si>
    <t>0003105</t>
    <phoneticPr fontId="22" type="noConversion"/>
  </si>
  <si>
    <t>中行对公</t>
    <phoneticPr fontId="22" type="noConversion"/>
  </si>
  <si>
    <t>赵小旭</t>
    <phoneticPr fontId="22" type="noConversion"/>
  </si>
  <si>
    <t>028-84445288 15828203687</t>
  </si>
  <si>
    <t>6000 半面罩头带组合</t>
    <phoneticPr fontId="22" type="noConversion"/>
  </si>
  <si>
    <t>0000667</t>
    <phoneticPr fontId="22" type="noConversion"/>
  </si>
  <si>
    <t>00715419-15420</t>
    <phoneticPr fontId="22" type="noConversion"/>
  </si>
  <si>
    <t>XOUT167451</t>
    <phoneticPr fontId="22" type="noConversion"/>
  </si>
  <si>
    <t>鹏通快运到付</t>
    <phoneticPr fontId="22" type="noConversion"/>
  </si>
  <si>
    <t>0001877</t>
    <phoneticPr fontId="22" type="noConversion"/>
  </si>
  <si>
    <t>0009330</t>
    <phoneticPr fontId="22" type="noConversion"/>
  </si>
  <si>
    <t>晨光货运到付</t>
    <phoneticPr fontId="22" type="noConversion"/>
  </si>
  <si>
    <t>0031236</t>
    <phoneticPr fontId="22" type="noConversion"/>
  </si>
  <si>
    <t>0001709</t>
    <phoneticPr fontId="22" type="noConversion"/>
  </si>
  <si>
    <t>个</t>
    <phoneticPr fontId="22" type="noConversion"/>
  </si>
  <si>
    <t>0004812</t>
    <phoneticPr fontId="22" type="noConversion"/>
  </si>
  <si>
    <t>/</t>
    <phoneticPr fontId="22" type="noConversion"/>
  </si>
  <si>
    <t>00717377</t>
    <phoneticPr fontId="22" type="noConversion"/>
  </si>
  <si>
    <t>0004816</t>
    <phoneticPr fontId="22" type="noConversion"/>
  </si>
  <si>
    <t>13368411583</t>
    <phoneticPr fontId="22" type="noConversion"/>
  </si>
  <si>
    <t>欧小姐</t>
    <phoneticPr fontId="22" type="noConversion"/>
  </si>
  <si>
    <t>340-4007</t>
    <phoneticPr fontId="22" type="noConversion"/>
  </si>
  <si>
    <t>3N11CN</t>
    <phoneticPr fontId="22" type="noConversion"/>
  </si>
  <si>
    <t>付</t>
    <phoneticPr fontId="22" type="noConversion"/>
  </si>
  <si>
    <t>片</t>
    <phoneticPr fontId="22" type="noConversion"/>
  </si>
  <si>
    <t>不开票</t>
    <phoneticPr fontId="22" type="noConversion"/>
  </si>
  <si>
    <t>含可探测金属圣诞树型带线耳塞</t>
  </si>
  <si>
    <t>0004817</t>
    <phoneticPr fontId="22" type="noConversion"/>
  </si>
  <si>
    <t>0004815</t>
    <phoneticPr fontId="22" type="noConversion"/>
  </si>
  <si>
    <t>0004818</t>
    <phoneticPr fontId="22" type="noConversion"/>
  </si>
  <si>
    <t>023183931459</t>
    <phoneticPr fontId="22" type="noConversion"/>
  </si>
  <si>
    <t>片</t>
    <phoneticPr fontId="22" type="noConversion"/>
  </si>
  <si>
    <t>个</t>
    <phoneticPr fontId="22" type="noConversion"/>
  </si>
  <si>
    <t>正盟货运到付</t>
    <phoneticPr fontId="22" type="noConversion"/>
  </si>
  <si>
    <t>0001531</t>
    <phoneticPr fontId="22" type="noConversion"/>
  </si>
  <si>
    <t>添友货运到付</t>
    <phoneticPr fontId="22" type="noConversion"/>
  </si>
  <si>
    <t>0002781</t>
    <phoneticPr fontId="22" type="noConversion"/>
  </si>
  <si>
    <t>0002780</t>
    <phoneticPr fontId="22" type="noConversion"/>
  </si>
  <si>
    <t>5*39.078  1样品</t>
    <phoneticPr fontId="60" type="noConversion"/>
  </si>
  <si>
    <t>0004819</t>
    <phoneticPr fontId="22" type="noConversion"/>
  </si>
  <si>
    <t>自提</t>
    <phoneticPr fontId="22" type="noConversion"/>
  </si>
  <si>
    <t>九龙坡区石杨路44号附10号和平商务大厦16-6号</t>
  </si>
  <si>
    <t>/</t>
    <phoneticPr fontId="22" type="noConversion"/>
  </si>
  <si>
    <t>渠道</t>
    <phoneticPr fontId="22" type="noConversion"/>
  </si>
  <si>
    <t>抵扣</t>
    <phoneticPr fontId="22" type="noConversion"/>
  </si>
  <si>
    <t>0004778</t>
    <phoneticPr fontId="22" type="noConversion"/>
  </si>
  <si>
    <t>1900364436631</t>
    <phoneticPr fontId="22" type="noConversion"/>
  </si>
  <si>
    <t>3701CN</t>
    <phoneticPr fontId="22" type="noConversion"/>
  </si>
  <si>
    <t>0004821</t>
    <phoneticPr fontId="22" type="noConversion"/>
  </si>
  <si>
    <t>0004823</t>
    <phoneticPr fontId="22" type="noConversion"/>
  </si>
  <si>
    <t>韵达现付</t>
    <phoneticPr fontId="22" type="noConversion"/>
  </si>
  <si>
    <t>1900364436632</t>
    <phoneticPr fontId="22" type="noConversion"/>
  </si>
  <si>
    <t>0004824</t>
    <phoneticPr fontId="22" type="noConversion"/>
  </si>
  <si>
    <t>00380400</t>
    <phoneticPr fontId="22" type="noConversion"/>
  </si>
  <si>
    <t>0003228</t>
    <phoneticPr fontId="22" type="noConversion"/>
  </si>
  <si>
    <t>0004779</t>
    <phoneticPr fontId="22" type="noConversion"/>
  </si>
  <si>
    <t>陈珂</t>
    <phoneticPr fontId="22" type="noConversion"/>
  </si>
  <si>
    <t>15922546703</t>
    <phoneticPr fontId="22" type="noConversion"/>
  </si>
  <si>
    <t>件</t>
    <phoneticPr fontId="22" type="noConversion"/>
  </si>
  <si>
    <t>防护服F级（L）</t>
    <phoneticPr fontId="22" type="noConversion"/>
  </si>
  <si>
    <t>0004825</t>
    <phoneticPr fontId="22" type="noConversion"/>
  </si>
  <si>
    <t>0004826</t>
    <phoneticPr fontId="22" type="noConversion"/>
  </si>
  <si>
    <t>9041A</t>
    <phoneticPr fontId="22" type="noConversion"/>
  </si>
  <si>
    <t>个</t>
    <phoneticPr fontId="22" type="noConversion"/>
  </si>
  <si>
    <t>0000673</t>
    <phoneticPr fontId="22" type="noConversion"/>
  </si>
  <si>
    <t>不开票</t>
    <phoneticPr fontId="22" type="noConversion"/>
  </si>
  <si>
    <t>片</t>
    <phoneticPr fontId="22" type="noConversion"/>
  </si>
  <si>
    <t>0004828</t>
    <phoneticPr fontId="22" type="noConversion"/>
  </si>
  <si>
    <t>徐州滁全机电科技有限公司</t>
  </si>
  <si>
    <t>340-4007</t>
  </si>
  <si>
    <t>佩英货运到付</t>
    <phoneticPr fontId="22" type="noConversion"/>
  </si>
  <si>
    <t>0021000</t>
    <phoneticPr fontId="22" type="noConversion"/>
  </si>
  <si>
    <t>飞达货运到付</t>
    <phoneticPr fontId="22" type="noConversion"/>
  </si>
  <si>
    <t>0004893</t>
    <phoneticPr fontId="22" type="noConversion"/>
  </si>
  <si>
    <t>潍坊豪徳贸易广场东一街28号</t>
  </si>
  <si>
    <t>0536-8906107</t>
    <phoneticPr fontId="22" type="noConversion"/>
  </si>
  <si>
    <t>3M</t>
    <phoneticPr fontId="22" type="noConversion"/>
  </si>
  <si>
    <t xml:space="preserve">1611HC </t>
    <phoneticPr fontId="60" type="noConversion"/>
  </si>
  <si>
    <t>9102C</t>
    <phoneticPr fontId="22" type="noConversion"/>
  </si>
  <si>
    <t>KN90 折叠式防尘口罩( 标准号)</t>
  </si>
  <si>
    <t>0004832</t>
    <phoneticPr fontId="22" type="noConversion"/>
  </si>
  <si>
    <t>9002V</t>
    <phoneticPr fontId="22" type="noConversion"/>
  </si>
  <si>
    <t>0004831</t>
    <phoneticPr fontId="22" type="noConversion"/>
  </si>
  <si>
    <t>9002V</t>
    <phoneticPr fontId="22" type="noConversion"/>
  </si>
  <si>
    <t>0004829</t>
    <phoneticPr fontId="22" type="noConversion"/>
  </si>
  <si>
    <t>0004781</t>
    <phoneticPr fontId="22" type="noConversion"/>
  </si>
  <si>
    <t>1900364436633</t>
    <phoneticPr fontId="22" type="noConversion"/>
  </si>
  <si>
    <t>XOUT167826</t>
    <phoneticPr fontId="22" type="noConversion"/>
  </si>
  <si>
    <t>抵扣</t>
    <phoneticPr fontId="22" type="noConversion"/>
  </si>
  <si>
    <t>嘉烨</t>
    <phoneticPr fontId="22" type="noConversion"/>
  </si>
  <si>
    <t>0000681</t>
    <phoneticPr fontId="22" type="noConversion"/>
  </si>
  <si>
    <t>/</t>
    <phoneticPr fontId="22" type="noConversion"/>
  </si>
  <si>
    <t>00717401</t>
    <phoneticPr fontId="22" type="noConversion"/>
  </si>
  <si>
    <t>00390212-0214</t>
    <phoneticPr fontId="22" type="noConversion"/>
  </si>
  <si>
    <t>安能物流到付</t>
    <phoneticPr fontId="22" type="noConversion"/>
  </si>
  <si>
    <t>郎丽</t>
    <phoneticPr fontId="22" type="noConversion"/>
  </si>
  <si>
    <t>22793129</t>
    <phoneticPr fontId="22" type="noConversion"/>
  </si>
  <si>
    <t>3301CN</t>
    <phoneticPr fontId="22" type="noConversion"/>
  </si>
  <si>
    <t>现金</t>
    <phoneticPr fontId="22" type="noConversion"/>
  </si>
  <si>
    <t>0004834</t>
    <phoneticPr fontId="22" type="noConversion"/>
  </si>
  <si>
    <t>9002A</t>
    <phoneticPr fontId="22" type="noConversion"/>
  </si>
  <si>
    <t>0004833</t>
    <phoneticPr fontId="22" type="noConversion"/>
  </si>
  <si>
    <t>折叠式防护口罩(环保包装）</t>
    <phoneticPr fontId="60" type="noConversion"/>
  </si>
  <si>
    <t>0004835</t>
    <phoneticPr fontId="22" type="noConversion"/>
  </si>
  <si>
    <t>0004782</t>
    <phoneticPr fontId="22" type="noConversion"/>
  </si>
  <si>
    <t>Tyvek</t>
    <phoneticPr fontId="22" type="noConversion"/>
  </si>
  <si>
    <t>倍尔塞夫简易鞋套</t>
    <phoneticPr fontId="22" type="noConversion"/>
  </si>
  <si>
    <t>0004830</t>
    <phoneticPr fontId="22" type="noConversion"/>
  </si>
  <si>
    <t>深圳市鹏亮工贸有限公司</t>
    <phoneticPr fontId="22" type="noConversion"/>
  </si>
  <si>
    <t>42-474</t>
    <phoneticPr fontId="22" type="noConversion"/>
  </si>
  <si>
    <t>富隆四达到付</t>
    <phoneticPr fontId="22" type="noConversion"/>
  </si>
  <si>
    <t>0004792</t>
    <phoneticPr fontId="22" type="noConversion"/>
  </si>
  <si>
    <t>龙祥货运到付</t>
    <phoneticPr fontId="22" type="noConversion"/>
  </si>
  <si>
    <t>0002793</t>
    <phoneticPr fontId="22" type="noConversion"/>
  </si>
  <si>
    <t>中行对公</t>
    <phoneticPr fontId="22" type="noConversion"/>
  </si>
  <si>
    <t>00390215</t>
    <phoneticPr fontId="22" type="noConversion"/>
  </si>
  <si>
    <t>1900380087762</t>
    <phoneticPr fontId="22" type="noConversion"/>
  </si>
  <si>
    <t>0004836</t>
    <phoneticPr fontId="22" type="noConversion"/>
  </si>
  <si>
    <t>不开票</t>
    <phoneticPr fontId="22" type="noConversion"/>
  </si>
  <si>
    <t>48-500</t>
    <phoneticPr fontId="22" type="noConversion"/>
  </si>
  <si>
    <t>防护服7L/3XL</t>
    <phoneticPr fontId="22" type="noConversion"/>
  </si>
  <si>
    <t>件</t>
    <phoneticPr fontId="22" type="noConversion"/>
  </si>
  <si>
    <t>双</t>
    <phoneticPr fontId="22" type="noConversion"/>
  </si>
  <si>
    <t>Edge-手套（9码）</t>
  </si>
  <si>
    <t>0004837</t>
    <phoneticPr fontId="22" type="noConversion"/>
  </si>
  <si>
    <t>/</t>
    <phoneticPr fontId="22" type="noConversion"/>
  </si>
  <si>
    <t>样品</t>
    <phoneticPr fontId="22" type="noConversion"/>
  </si>
  <si>
    <t>片</t>
    <phoneticPr fontId="22" type="noConversion"/>
  </si>
  <si>
    <t>0000691</t>
    <phoneticPr fontId="22" type="noConversion"/>
  </si>
  <si>
    <t>0004838</t>
    <phoneticPr fontId="22" type="noConversion"/>
  </si>
  <si>
    <t>送货上门</t>
    <phoneticPr fontId="22" type="noConversion"/>
  </si>
  <si>
    <t>0036329</t>
    <phoneticPr fontId="22" type="noConversion"/>
  </si>
  <si>
    <t>0036328</t>
    <phoneticPr fontId="22" type="noConversion"/>
  </si>
  <si>
    <t>0004839</t>
    <phoneticPr fontId="22" type="noConversion"/>
  </si>
  <si>
    <t>N95 焊接用防尘口罩</t>
  </si>
  <si>
    <t>嘉烨</t>
    <phoneticPr fontId="22" type="noConversion"/>
  </si>
  <si>
    <t>/</t>
    <phoneticPr fontId="22" type="noConversion"/>
  </si>
  <si>
    <t>韵达现付</t>
    <phoneticPr fontId="22" type="noConversion"/>
  </si>
  <si>
    <t>1900380087763</t>
    <phoneticPr fontId="22" type="noConversion"/>
  </si>
  <si>
    <t>318-1005</t>
    <phoneticPr fontId="22" type="noConversion"/>
  </si>
  <si>
    <t>4650A</t>
    <phoneticPr fontId="22" type="noConversion"/>
  </si>
  <si>
    <t>付</t>
    <phoneticPr fontId="22" type="noConversion"/>
  </si>
  <si>
    <t>件</t>
    <phoneticPr fontId="22" type="noConversion"/>
  </si>
  <si>
    <t>双</t>
    <phoneticPr fontId="22" type="noConversion"/>
  </si>
  <si>
    <t>1621AF</t>
    <phoneticPr fontId="22" type="noConversion"/>
  </si>
  <si>
    <t>0004840</t>
    <phoneticPr fontId="22" type="noConversion"/>
  </si>
  <si>
    <t>防护服2M/2L</t>
    <phoneticPr fontId="22" type="noConversion"/>
  </si>
  <si>
    <t>18*15+18.8*0</t>
    <phoneticPr fontId="60" type="noConversion"/>
  </si>
  <si>
    <t>Eco Green™-手套（8码）</t>
  </si>
  <si>
    <t>样品</t>
    <phoneticPr fontId="22" type="noConversion"/>
  </si>
  <si>
    <t>/</t>
    <phoneticPr fontId="22" type="noConversion"/>
  </si>
  <si>
    <t>AMN428ETS</t>
  </si>
  <si>
    <t>医用一次性防护服(20M40L)</t>
    <phoneticPr fontId="22" type="noConversion"/>
  </si>
  <si>
    <t>医用一次性防护服(120M40L)</t>
    <phoneticPr fontId="22" type="noConversion"/>
  </si>
  <si>
    <t>0001634</t>
    <phoneticPr fontId="22" type="noConversion"/>
  </si>
  <si>
    <t>23625020</t>
    <phoneticPr fontId="22" type="noConversion"/>
  </si>
  <si>
    <t>SA201304240112</t>
    <phoneticPr fontId="22" type="noConversion"/>
  </si>
  <si>
    <t>SA201304240066</t>
    <phoneticPr fontId="22" type="noConversion"/>
  </si>
  <si>
    <t>0000104</t>
    <phoneticPr fontId="22" type="noConversion"/>
  </si>
  <si>
    <t>送货上门</t>
    <phoneticPr fontId="22" type="noConversion"/>
  </si>
  <si>
    <t>0000694</t>
    <phoneticPr fontId="22" type="noConversion"/>
  </si>
  <si>
    <t>现金</t>
    <phoneticPr fontId="22" type="noConversion"/>
  </si>
  <si>
    <t>3嘉烨</t>
    <phoneticPr fontId="60" type="noConversion"/>
  </si>
  <si>
    <t>2嘉烨+440*4.9+1600*4.28</t>
    <phoneticPr fontId="60" type="noConversion"/>
  </si>
  <si>
    <t>0000695</t>
    <phoneticPr fontId="22" type="noConversion"/>
  </si>
  <si>
    <t>/</t>
    <phoneticPr fontId="22" type="noConversion"/>
  </si>
  <si>
    <t>个</t>
    <phoneticPr fontId="22" type="noConversion"/>
  </si>
  <si>
    <t>片</t>
    <phoneticPr fontId="22" type="noConversion"/>
  </si>
  <si>
    <t>付</t>
    <phoneticPr fontId="22" type="noConversion"/>
  </si>
  <si>
    <t>0001635</t>
    <phoneticPr fontId="22" type="noConversion"/>
  </si>
  <si>
    <t>0019130</t>
    <phoneticPr fontId="22" type="noConversion"/>
  </si>
  <si>
    <t>高新物流到付</t>
    <phoneticPr fontId="22" type="noConversion"/>
  </si>
  <si>
    <t>c130428731</t>
    <phoneticPr fontId="22" type="noConversion"/>
  </si>
  <si>
    <t>1711AF</t>
    <phoneticPr fontId="22" type="noConversion"/>
  </si>
  <si>
    <t>0001636</t>
    <phoneticPr fontId="22" type="noConversion"/>
  </si>
  <si>
    <t>防护眼镜（防雾），蓝色镜架</t>
    <phoneticPr fontId="60" type="noConversion"/>
  </si>
  <si>
    <t>防护眼镜（防雾），蓝色镜架</t>
    <phoneticPr fontId="22" type="noConversion"/>
  </si>
  <si>
    <t>9002A</t>
    <phoneticPr fontId="22" type="noConversion"/>
  </si>
  <si>
    <t>0001637</t>
    <phoneticPr fontId="22" type="noConversion"/>
  </si>
  <si>
    <t>个</t>
    <phoneticPr fontId="22" type="noConversion"/>
  </si>
  <si>
    <t>8514</t>
    <phoneticPr fontId="22" type="noConversion"/>
  </si>
  <si>
    <t>9002V</t>
    <phoneticPr fontId="22" type="noConversion"/>
  </si>
  <si>
    <t>1110</t>
    <phoneticPr fontId="22" type="noConversion"/>
  </si>
  <si>
    <t>6005</t>
    <phoneticPr fontId="22" type="noConversion"/>
  </si>
  <si>
    <t>9041A</t>
    <phoneticPr fontId="22" type="noConversion"/>
  </si>
  <si>
    <t>92-600</t>
    <phoneticPr fontId="22" type="noConversion"/>
  </si>
  <si>
    <t>片</t>
    <phoneticPr fontId="22" type="noConversion"/>
  </si>
  <si>
    <t>2078</t>
    <phoneticPr fontId="22" type="noConversion"/>
  </si>
  <si>
    <t>白帆布围腰</t>
    <phoneticPr fontId="22" type="noConversion"/>
  </si>
  <si>
    <t>布袖套</t>
    <phoneticPr fontId="22" type="noConversion"/>
  </si>
  <si>
    <t>条</t>
    <phoneticPr fontId="22" type="noConversion"/>
  </si>
  <si>
    <t>XOUT168399</t>
    <phoneticPr fontId="22" type="noConversion"/>
  </si>
  <si>
    <t>42-474</t>
    <phoneticPr fontId="22" type="noConversion"/>
  </si>
  <si>
    <t>双</t>
    <phoneticPr fontId="22" type="noConversion"/>
  </si>
  <si>
    <t>付</t>
    <phoneticPr fontId="22" type="noConversion"/>
  </si>
  <si>
    <t>0001639</t>
    <phoneticPr fontId="22" type="noConversion"/>
  </si>
  <si>
    <t>/</t>
    <phoneticPr fontId="22" type="noConversion"/>
  </si>
  <si>
    <t>爱马斯</t>
    <phoneticPr fontId="22" type="noConversion"/>
  </si>
  <si>
    <t>0003237</t>
    <phoneticPr fontId="22" type="noConversion"/>
  </si>
  <si>
    <t>0000700</t>
    <phoneticPr fontId="22" type="noConversion"/>
  </si>
  <si>
    <t>0001640</t>
    <phoneticPr fontId="22" type="noConversion"/>
  </si>
  <si>
    <t>0001641</t>
    <phoneticPr fontId="22" type="noConversion"/>
  </si>
  <si>
    <t>中行对公</t>
    <phoneticPr fontId="22" type="noConversion"/>
  </si>
  <si>
    <t>自提</t>
    <phoneticPr fontId="22" type="noConversion"/>
  </si>
  <si>
    <t>医用一次性防护服(M)</t>
    <phoneticPr fontId="22" type="noConversion"/>
  </si>
  <si>
    <t>0001643</t>
    <phoneticPr fontId="22" type="noConversion"/>
  </si>
  <si>
    <t>张贤</t>
    <phoneticPr fontId="22" type="noConversion"/>
  </si>
  <si>
    <t>1900380087765</t>
    <phoneticPr fontId="22" type="noConversion"/>
  </si>
  <si>
    <t>云南省昆明市永昌南区永和里44栋</t>
    <phoneticPr fontId="22" type="noConversion"/>
  </si>
  <si>
    <t>1900380087764</t>
    <phoneticPr fontId="22" type="noConversion"/>
  </si>
  <si>
    <t>13888168421</t>
    <phoneticPr fontId="22" type="noConversion"/>
  </si>
  <si>
    <t>SA201304280050</t>
    <phoneticPr fontId="22" type="noConversion"/>
  </si>
  <si>
    <t>重庆川东化工（集团）有限公司</t>
  </si>
  <si>
    <t>0001642</t>
    <phoneticPr fontId="22" type="noConversion"/>
  </si>
  <si>
    <t>陈安线</t>
    <phoneticPr fontId="22" type="noConversion"/>
  </si>
  <si>
    <t>13883182645</t>
    <phoneticPr fontId="22" type="noConversion"/>
  </si>
  <si>
    <t>重庆南岸弹子石新街70号</t>
  </si>
  <si>
    <t>1900380087766</t>
    <phoneticPr fontId="22" type="noConversion"/>
  </si>
  <si>
    <t>昆明盘龙海鹏工贸有限公司</t>
    <phoneticPr fontId="22" type="noConversion"/>
  </si>
  <si>
    <t>/</t>
    <phoneticPr fontId="22" type="noConversion"/>
  </si>
  <si>
    <t>双</t>
    <phoneticPr fontId="22" type="noConversion"/>
  </si>
  <si>
    <t>0020504</t>
    <phoneticPr fontId="22" type="noConversion"/>
  </si>
  <si>
    <t>达州市胜友劳保用品有限公司</t>
    <phoneticPr fontId="22" type="noConversion"/>
  </si>
  <si>
    <t>0004783</t>
    <phoneticPr fontId="22" type="noConversion"/>
  </si>
  <si>
    <t>折叠式耳罩</t>
    <phoneticPr fontId="60" type="noConversion"/>
  </si>
  <si>
    <t>19.422*2+19.42*20</t>
    <phoneticPr fontId="60" type="noConversion"/>
  </si>
  <si>
    <t>0004784</t>
    <phoneticPr fontId="22" type="noConversion"/>
  </si>
  <si>
    <t>9042A</t>
    <phoneticPr fontId="22" type="noConversion"/>
  </si>
  <si>
    <t>铁轩快运到付</t>
    <phoneticPr fontId="22" type="noConversion"/>
  </si>
  <si>
    <t>3004125</t>
    <phoneticPr fontId="22" type="noConversion"/>
  </si>
  <si>
    <t>力宏物流到付</t>
    <phoneticPr fontId="22" type="noConversion"/>
  </si>
  <si>
    <t>0000103</t>
    <phoneticPr fontId="22" type="noConversion"/>
  </si>
  <si>
    <t>世纪兴货运到付</t>
    <phoneticPr fontId="22" type="noConversion"/>
  </si>
  <si>
    <t>0020188</t>
    <phoneticPr fontId="22" type="noConversion"/>
  </si>
  <si>
    <t>0001647</t>
    <phoneticPr fontId="22" type="noConversion"/>
  </si>
  <si>
    <t>付</t>
    <phoneticPr fontId="22" type="noConversion"/>
  </si>
  <si>
    <t>0001644</t>
    <phoneticPr fontId="22" type="noConversion"/>
  </si>
  <si>
    <t>个</t>
    <phoneticPr fontId="22" type="noConversion"/>
  </si>
  <si>
    <t>片</t>
    <phoneticPr fontId="22" type="noConversion"/>
  </si>
  <si>
    <t>XOUT168923</t>
    <phoneticPr fontId="22" type="noConversion"/>
  </si>
  <si>
    <t>0001645</t>
    <phoneticPr fontId="22" type="noConversion"/>
  </si>
  <si>
    <t>甲醛 / 有机蒸气滤毒盒</t>
    <phoneticPr fontId="60" type="noConversion"/>
  </si>
  <si>
    <t>42.8</t>
    <phoneticPr fontId="60" type="noConversion"/>
  </si>
  <si>
    <t>0000773</t>
    <phoneticPr fontId="22" type="noConversion"/>
  </si>
  <si>
    <t>9021A</t>
    <phoneticPr fontId="22" type="noConversion"/>
  </si>
  <si>
    <t>0001649</t>
    <phoneticPr fontId="22" type="noConversion"/>
  </si>
  <si>
    <t>0001650</t>
    <phoneticPr fontId="22" type="noConversion"/>
  </si>
  <si>
    <t>1样品 12.35*28</t>
    <phoneticPr fontId="60" type="noConversion"/>
  </si>
  <si>
    <t>0000538</t>
    <phoneticPr fontId="22" type="noConversion"/>
  </si>
  <si>
    <t>04760863</t>
    <phoneticPr fontId="22" type="noConversion"/>
  </si>
  <si>
    <t>0004854</t>
    <phoneticPr fontId="22" type="noConversion"/>
  </si>
  <si>
    <t>飞达货运到付</t>
    <phoneticPr fontId="22" type="noConversion"/>
  </si>
  <si>
    <t>0000300</t>
    <phoneticPr fontId="22" type="noConversion"/>
  </si>
  <si>
    <t>c130506158</t>
    <phoneticPr fontId="22" type="noConversion"/>
  </si>
  <si>
    <t>c130506159</t>
    <phoneticPr fontId="22" type="noConversion"/>
  </si>
  <si>
    <t>c130506157</t>
    <phoneticPr fontId="22" type="noConversion"/>
  </si>
  <si>
    <t>牛郎星涂胶手套</t>
    <phoneticPr fontId="22" type="noConversion"/>
  </si>
  <si>
    <t>0004786</t>
    <phoneticPr fontId="22" type="noConversion"/>
  </si>
  <si>
    <t>0000763</t>
    <phoneticPr fontId="22" type="noConversion"/>
  </si>
  <si>
    <t>01332489</t>
    <phoneticPr fontId="22" type="noConversion"/>
  </si>
  <si>
    <t>安适达</t>
    <phoneticPr fontId="22" type="noConversion"/>
  </si>
  <si>
    <t>个</t>
    <phoneticPr fontId="22" type="noConversion"/>
  </si>
  <si>
    <t>片</t>
    <phoneticPr fontId="22" type="noConversion"/>
  </si>
  <si>
    <t>0001651</t>
    <phoneticPr fontId="22" type="noConversion"/>
  </si>
  <si>
    <t>1 嘉烨+0*47.5</t>
    <phoneticPr fontId="60" type="noConversion"/>
  </si>
  <si>
    <t>付</t>
    <phoneticPr fontId="22" type="noConversion"/>
  </si>
  <si>
    <t>件</t>
    <phoneticPr fontId="22" type="noConversion"/>
  </si>
  <si>
    <t>0001652</t>
    <phoneticPr fontId="22" type="noConversion"/>
  </si>
  <si>
    <t>现金</t>
    <phoneticPr fontId="22" type="noConversion"/>
  </si>
  <si>
    <t>医用一次性防护服(M)</t>
    <phoneticPr fontId="22" type="noConversion"/>
  </si>
  <si>
    <t>医用一次性防护服(M)AMN428ETS</t>
    <phoneticPr fontId="22" type="noConversion"/>
  </si>
  <si>
    <t>中行对公</t>
    <phoneticPr fontId="22" type="noConversion"/>
  </si>
  <si>
    <t>四川西岳户外用品有限公司</t>
  </si>
  <si>
    <t>MJ</t>
    <phoneticPr fontId="22" type="noConversion"/>
  </si>
  <si>
    <t>职业健康防护包（橘色）</t>
    <phoneticPr fontId="22" type="noConversion"/>
  </si>
  <si>
    <t>职业健康防护包（蓝色）</t>
    <phoneticPr fontId="22" type="noConversion"/>
  </si>
  <si>
    <t>/</t>
    <phoneticPr fontId="22" type="noConversion"/>
  </si>
  <si>
    <t>/</t>
    <phoneticPr fontId="22" type="noConversion"/>
  </si>
  <si>
    <t>15051015</t>
    <phoneticPr fontId="22" type="noConversion"/>
  </si>
  <si>
    <t>0001654-1655</t>
    <phoneticPr fontId="22" type="noConversion"/>
  </si>
  <si>
    <t>个</t>
    <phoneticPr fontId="22" type="noConversion"/>
  </si>
  <si>
    <t>0001653</t>
    <phoneticPr fontId="22" type="noConversion"/>
  </si>
  <si>
    <t>9002A</t>
    <phoneticPr fontId="22" type="noConversion"/>
  </si>
  <si>
    <t>0004788</t>
    <phoneticPr fontId="22" type="noConversion"/>
  </si>
  <si>
    <t>0001658</t>
    <phoneticPr fontId="22" type="noConversion"/>
  </si>
  <si>
    <t>0001657</t>
    <phoneticPr fontId="22" type="noConversion"/>
  </si>
  <si>
    <t>片</t>
    <phoneticPr fontId="22" type="noConversion"/>
  </si>
  <si>
    <t>001656</t>
    <phoneticPr fontId="22" type="noConversion"/>
  </si>
  <si>
    <t>1900380087768</t>
    <phoneticPr fontId="22" type="noConversion"/>
  </si>
  <si>
    <t>0004789</t>
    <phoneticPr fontId="22" type="noConversion"/>
  </si>
  <si>
    <t>付</t>
    <phoneticPr fontId="22" type="noConversion"/>
  </si>
  <si>
    <t>0001659</t>
    <phoneticPr fontId="22" type="noConversion"/>
  </si>
  <si>
    <t>1422A</t>
  </si>
  <si>
    <t>普通工业款防护服(L)</t>
    <phoneticPr fontId="22" type="noConversion"/>
  </si>
  <si>
    <t>6009</t>
    <phoneticPr fontId="22" type="noConversion"/>
  </si>
  <si>
    <t>9002V</t>
    <phoneticPr fontId="22" type="noConversion"/>
  </si>
  <si>
    <t>益鸣成帆货运到付</t>
    <phoneticPr fontId="22" type="noConversion"/>
  </si>
  <si>
    <t>0039009</t>
    <phoneticPr fontId="22" type="noConversion"/>
  </si>
  <si>
    <t>130505036</t>
    <phoneticPr fontId="22" type="noConversion"/>
  </si>
  <si>
    <t>0007350</t>
    <phoneticPr fontId="22" type="noConversion"/>
  </si>
  <si>
    <t>0001662</t>
    <phoneticPr fontId="22" type="noConversion"/>
  </si>
  <si>
    <t>0001664</t>
    <phoneticPr fontId="22" type="noConversion"/>
  </si>
  <si>
    <t>023194363917</t>
    <phoneticPr fontId="22" type="noConversion"/>
  </si>
  <si>
    <t>0001663</t>
    <phoneticPr fontId="22" type="noConversion"/>
  </si>
  <si>
    <t>0001660</t>
    <phoneticPr fontId="22" type="noConversion"/>
  </si>
  <si>
    <t>XSD-2013-05-08-00044</t>
    <phoneticPr fontId="22" type="noConversion"/>
  </si>
  <si>
    <t>XSD-2013-04-15-00119</t>
    <phoneticPr fontId="22" type="noConversion"/>
  </si>
  <si>
    <t>0001661</t>
    <phoneticPr fontId="22" type="noConversion"/>
  </si>
  <si>
    <t>3301CN</t>
    <phoneticPr fontId="22" type="noConversion"/>
  </si>
  <si>
    <t>个</t>
    <phoneticPr fontId="22" type="noConversion"/>
  </si>
  <si>
    <t>0001666</t>
    <phoneticPr fontId="22" type="noConversion"/>
  </si>
  <si>
    <t>1900380087769</t>
    <phoneticPr fontId="22" type="noConversion"/>
  </si>
  <si>
    <t>双</t>
    <phoneticPr fontId="22" type="noConversion"/>
  </si>
  <si>
    <t>李总拿给客户宗申</t>
    <phoneticPr fontId="22" type="noConversion"/>
  </si>
  <si>
    <t>昆明市北市区和谐世纪C1座1009室</t>
    <phoneticPr fontId="22" type="noConversion"/>
  </si>
  <si>
    <t>0001665</t>
    <phoneticPr fontId="22" type="noConversion"/>
  </si>
  <si>
    <t>13983377610</t>
    <phoneticPr fontId="22" type="noConversion"/>
  </si>
  <si>
    <t>付</t>
    <phoneticPr fontId="22" type="noConversion"/>
  </si>
  <si>
    <t>0001668</t>
    <phoneticPr fontId="22" type="noConversion"/>
  </si>
  <si>
    <t>2091 P100</t>
    <phoneticPr fontId="22" type="noConversion"/>
  </si>
  <si>
    <t>6006</t>
    <phoneticPr fontId="22" type="noConversion"/>
  </si>
  <si>
    <t>0000708</t>
    <phoneticPr fontId="22" type="noConversion"/>
  </si>
  <si>
    <t>33.111*2+27.144*182</t>
    <phoneticPr fontId="60" type="noConversion"/>
  </si>
  <si>
    <t>0001670</t>
    <phoneticPr fontId="22" type="noConversion"/>
  </si>
  <si>
    <t>不开票</t>
    <phoneticPr fontId="22" type="noConversion"/>
  </si>
  <si>
    <t>0001669</t>
    <phoneticPr fontId="22" type="noConversion"/>
  </si>
  <si>
    <t>10434</t>
    <phoneticPr fontId="22" type="noConversion"/>
  </si>
  <si>
    <t>6100</t>
    <phoneticPr fontId="22" type="noConversion"/>
  </si>
  <si>
    <t>1422A</t>
    <phoneticPr fontId="22" type="noConversion"/>
  </si>
  <si>
    <t>普通工业款防护服(M)</t>
    <phoneticPr fontId="22" type="noConversion"/>
  </si>
  <si>
    <t>普通工业款防护服(XL)</t>
    <phoneticPr fontId="22" type="noConversion"/>
  </si>
  <si>
    <t>普通工业款防护服(XXL)</t>
    <phoneticPr fontId="22" type="noConversion"/>
  </si>
  <si>
    <t>普通工业款防护服(XXXL)</t>
    <phoneticPr fontId="22" type="noConversion"/>
  </si>
  <si>
    <t>折叠式带阀防护口罩( 头带式/标准号）</t>
    <phoneticPr fontId="60" type="noConversion"/>
  </si>
  <si>
    <t>汞蒸气/氯气滤毒盒</t>
    <phoneticPr fontId="22" type="noConversion"/>
  </si>
  <si>
    <t>个</t>
    <phoneticPr fontId="22" type="noConversion"/>
  </si>
  <si>
    <t>00717465</t>
    <phoneticPr fontId="22" type="noConversion"/>
  </si>
  <si>
    <t>00717459</t>
    <phoneticPr fontId="22" type="noConversion"/>
  </si>
  <si>
    <t>/</t>
    <phoneticPr fontId="22" type="noConversion"/>
  </si>
  <si>
    <t>862.5*1+870*1</t>
    <phoneticPr fontId="60" type="noConversion"/>
  </si>
  <si>
    <t>6800</t>
    <phoneticPr fontId="22" type="noConversion"/>
  </si>
  <si>
    <t>中行对公</t>
    <phoneticPr fontId="22" type="noConversion"/>
  </si>
  <si>
    <t>现金</t>
    <phoneticPr fontId="22" type="noConversion"/>
  </si>
  <si>
    <t>不开票</t>
    <phoneticPr fontId="22" type="noConversion"/>
  </si>
  <si>
    <t>付</t>
    <phoneticPr fontId="22" type="noConversion"/>
  </si>
  <si>
    <t>样品出库</t>
    <phoneticPr fontId="22" type="noConversion"/>
  </si>
  <si>
    <t>8嘉烨+14.2*71</t>
    <phoneticPr fontId="60" type="noConversion"/>
  </si>
  <si>
    <r>
      <t>4</t>
    </r>
    <r>
      <rPr>
        <sz val="10"/>
        <color indexed="8"/>
        <rFont val="宋体"/>
        <family val="3"/>
        <charset val="134"/>
      </rPr>
      <t>8-700</t>
    </r>
    <phoneticPr fontId="22" type="noConversion"/>
  </si>
  <si>
    <t>双</t>
    <phoneticPr fontId="22" type="noConversion"/>
  </si>
  <si>
    <t xml:space="preserve"> </t>
    <phoneticPr fontId="22" type="noConversion"/>
  </si>
  <si>
    <t>0004876</t>
    <phoneticPr fontId="22" type="noConversion"/>
  </si>
  <si>
    <t>0004874</t>
    <phoneticPr fontId="22" type="noConversion"/>
  </si>
  <si>
    <t>04269852</t>
    <phoneticPr fontId="22" type="noConversion"/>
  </si>
  <si>
    <t>02922949</t>
    <phoneticPr fontId="22" type="noConversion"/>
  </si>
  <si>
    <t>/</t>
    <phoneticPr fontId="22" type="noConversion"/>
  </si>
  <si>
    <t>8.4</t>
    <phoneticPr fontId="60" type="noConversion"/>
  </si>
  <si>
    <t>中行对公</t>
    <phoneticPr fontId="22" type="noConversion"/>
  </si>
  <si>
    <t>0004787</t>
    <phoneticPr fontId="22" type="noConversion"/>
  </si>
  <si>
    <t>送货上门</t>
    <phoneticPr fontId="22" type="noConversion"/>
  </si>
  <si>
    <t>/</t>
    <phoneticPr fontId="22" type="noConversion"/>
  </si>
  <si>
    <t>SA201305100067</t>
    <phoneticPr fontId="22" type="noConversion"/>
  </si>
  <si>
    <t>XSD2013051014343</t>
    <phoneticPr fontId="22" type="noConversion"/>
  </si>
  <si>
    <r>
      <t>9042</t>
    </r>
    <r>
      <rPr>
        <sz val="10"/>
        <color indexed="8"/>
        <rFont val="宋体"/>
        <family val="3"/>
        <charset val="134"/>
      </rPr>
      <t>A</t>
    </r>
    <phoneticPr fontId="22" type="noConversion"/>
  </si>
  <si>
    <r>
      <t>9041</t>
    </r>
    <r>
      <rPr>
        <sz val="10"/>
        <color indexed="8"/>
        <rFont val="宋体"/>
        <family val="3"/>
        <charset val="134"/>
      </rPr>
      <t>A</t>
    </r>
    <phoneticPr fontId="22" type="noConversion"/>
  </si>
  <si>
    <t>个</t>
    <phoneticPr fontId="22" type="noConversion"/>
  </si>
  <si>
    <t>铭冠样品出库</t>
    <phoneticPr fontId="22" type="noConversion"/>
  </si>
  <si>
    <t>318-1005</t>
    <phoneticPr fontId="22" type="noConversion"/>
  </si>
  <si>
    <t>付</t>
    <phoneticPr fontId="22" type="noConversion"/>
  </si>
  <si>
    <t>陈晔</t>
    <phoneticPr fontId="22" type="noConversion"/>
  </si>
  <si>
    <t>48-126</t>
    <phoneticPr fontId="22" type="noConversion"/>
  </si>
  <si>
    <t>双</t>
    <phoneticPr fontId="22" type="noConversion"/>
  </si>
  <si>
    <t>385CN</t>
    <phoneticPr fontId="22" type="noConversion"/>
  </si>
  <si>
    <t>3N11CN</t>
    <phoneticPr fontId="22" type="noConversion"/>
  </si>
  <si>
    <t>片</t>
    <phoneticPr fontId="22" type="noConversion"/>
  </si>
  <si>
    <t>0004877</t>
    <phoneticPr fontId="22" type="noConversion"/>
  </si>
  <si>
    <t>子弹型带线耳塞</t>
    <phoneticPr fontId="60" type="noConversion"/>
  </si>
  <si>
    <t>9002V</t>
    <phoneticPr fontId="22" type="noConversion"/>
  </si>
  <si>
    <t>1422A</t>
    <phoneticPr fontId="22" type="noConversion"/>
  </si>
  <si>
    <t>件</t>
    <phoneticPr fontId="22" type="noConversion"/>
  </si>
  <si>
    <t>0004875</t>
    <phoneticPr fontId="22" type="noConversion"/>
  </si>
  <si>
    <t>27.00</t>
    <phoneticPr fontId="60" type="noConversion"/>
  </si>
  <si>
    <t>35.00</t>
    <phoneticPr fontId="60" type="noConversion"/>
  </si>
  <si>
    <t>0000728</t>
    <phoneticPr fontId="22" type="noConversion"/>
  </si>
  <si>
    <t>0004878</t>
    <phoneticPr fontId="22" type="noConversion"/>
  </si>
  <si>
    <t>16嘉烨+0*43.28</t>
    <phoneticPr fontId="60" type="noConversion"/>
  </si>
  <si>
    <t>0001931</t>
    <phoneticPr fontId="22" type="noConversion"/>
  </si>
  <si>
    <t>0001847</t>
    <phoneticPr fontId="22" type="noConversion"/>
  </si>
  <si>
    <t>023183931440</t>
    <phoneticPr fontId="22" type="noConversion"/>
  </si>
  <si>
    <t>0004879</t>
    <phoneticPr fontId="22" type="noConversion"/>
  </si>
  <si>
    <t>干粉灭火器4kg</t>
    <phoneticPr fontId="22" type="noConversion"/>
  </si>
  <si>
    <t>昆明市环城南路668号云纺国际商厦3F-132</t>
  </si>
  <si>
    <t>0004882</t>
    <phoneticPr fontId="22" type="noConversion"/>
  </si>
  <si>
    <t>深圳市铠卫安全技术有限公司</t>
    <phoneticPr fontId="22" type="noConversion"/>
  </si>
  <si>
    <t>滤棉盖</t>
    <phoneticPr fontId="22" type="noConversion"/>
  </si>
  <si>
    <t>0004883</t>
    <phoneticPr fontId="22" type="noConversion"/>
  </si>
  <si>
    <t>9002A</t>
    <phoneticPr fontId="22" type="noConversion"/>
  </si>
  <si>
    <t>0000734</t>
    <phoneticPr fontId="22" type="noConversion"/>
  </si>
  <si>
    <t>0004881</t>
    <phoneticPr fontId="22" type="noConversion"/>
  </si>
  <si>
    <t>付</t>
    <phoneticPr fontId="22" type="noConversion"/>
  </si>
  <si>
    <t>0004886</t>
    <phoneticPr fontId="22" type="noConversion"/>
  </si>
  <si>
    <t>不开票</t>
    <phoneticPr fontId="22" type="noConversion"/>
  </si>
  <si>
    <t>折叠式防护口罩（双片包装）</t>
  </si>
  <si>
    <t>0004880</t>
    <phoneticPr fontId="22" type="noConversion"/>
  </si>
  <si>
    <t>0004885</t>
    <phoneticPr fontId="22" type="noConversion"/>
  </si>
  <si>
    <t>0004884</t>
    <phoneticPr fontId="22" type="noConversion"/>
  </si>
  <si>
    <t>/</t>
    <phoneticPr fontId="22" type="noConversion"/>
  </si>
  <si>
    <t>众铯货运到付</t>
    <phoneticPr fontId="22" type="noConversion"/>
  </si>
  <si>
    <t>0114772</t>
    <phoneticPr fontId="22" type="noConversion"/>
  </si>
  <si>
    <t>130515054</t>
    <phoneticPr fontId="22" type="noConversion"/>
  </si>
  <si>
    <t>4公斤干粉灭火器</t>
    <phoneticPr fontId="22" type="noConversion"/>
  </si>
  <si>
    <t>4公斤</t>
    <phoneticPr fontId="22" type="noConversion"/>
  </si>
  <si>
    <t>02424046</t>
    <phoneticPr fontId="22" type="noConversion"/>
  </si>
  <si>
    <t>02424047</t>
    <phoneticPr fontId="60" type="noConversion"/>
  </si>
  <si>
    <t>1900384709017</t>
    <phoneticPr fontId="22" type="noConversion"/>
  </si>
  <si>
    <t>02424048</t>
    <phoneticPr fontId="22" type="noConversion"/>
  </si>
  <si>
    <t>1900384709018</t>
    <phoneticPr fontId="22" type="noConversion"/>
  </si>
  <si>
    <t>02424049-4051</t>
    <phoneticPr fontId="22" type="noConversion"/>
  </si>
  <si>
    <t>淮海牌</t>
    <phoneticPr fontId="22" type="noConversion"/>
  </si>
  <si>
    <t>4kg</t>
    <phoneticPr fontId="22" type="noConversion"/>
  </si>
  <si>
    <t>9041A</t>
    <phoneticPr fontId="22" type="noConversion"/>
  </si>
  <si>
    <t>9002V</t>
    <phoneticPr fontId="22" type="noConversion"/>
  </si>
  <si>
    <t>0004889</t>
    <phoneticPr fontId="22" type="noConversion"/>
  </si>
  <si>
    <t>0004790</t>
    <phoneticPr fontId="22" type="noConversion"/>
  </si>
  <si>
    <t>0004887</t>
    <phoneticPr fontId="22" type="noConversion"/>
  </si>
  <si>
    <t>个</t>
    <phoneticPr fontId="22" type="noConversion"/>
  </si>
  <si>
    <t>0004791</t>
    <phoneticPr fontId="22" type="noConversion"/>
  </si>
  <si>
    <t>0004794</t>
    <phoneticPr fontId="22" type="noConversion"/>
  </si>
  <si>
    <t>付</t>
    <phoneticPr fontId="22" type="noConversion"/>
  </si>
  <si>
    <t>0004892</t>
    <phoneticPr fontId="22" type="noConversion"/>
  </si>
  <si>
    <t>37-176</t>
    <phoneticPr fontId="22" type="noConversion"/>
  </si>
  <si>
    <t>42-474</t>
    <phoneticPr fontId="22" type="noConversion"/>
  </si>
  <si>
    <t>92-600</t>
    <phoneticPr fontId="22" type="noConversion"/>
  </si>
  <si>
    <t>3985</t>
    <phoneticPr fontId="22" type="noConversion"/>
  </si>
  <si>
    <t>5210</t>
    <phoneticPr fontId="22" type="noConversion"/>
  </si>
  <si>
    <t>口罩</t>
    <phoneticPr fontId="22" type="noConversion"/>
  </si>
  <si>
    <t>中行对公</t>
    <phoneticPr fontId="22" type="noConversion"/>
  </si>
  <si>
    <t>0000742</t>
    <phoneticPr fontId="22" type="noConversion"/>
  </si>
  <si>
    <t>0004891</t>
    <phoneticPr fontId="22" type="noConversion"/>
  </si>
  <si>
    <t>1900384709020</t>
    <phoneticPr fontId="22" type="noConversion"/>
  </si>
  <si>
    <t>02424052</t>
    <phoneticPr fontId="22" type="noConversion"/>
  </si>
  <si>
    <t>1900384709021</t>
    <phoneticPr fontId="22" type="noConversion"/>
  </si>
  <si>
    <t>02424053-4054</t>
    <phoneticPr fontId="22" type="noConversion"/>
  </si>
  <si>
    <t>1900384709022</t>
    <phoneticPr fontId="22" type="noConversion"/>
  </si>
  <si>
    <t>02424055-4056</t>
    <phoneticPr fontId="22" type="noConversion"/>
  </si>
  <si>
    <t>1900384709023</t>
    <phoneticPr fontId="22" type="noConversion"/>
  </si>
  <si>
    <t>02424057-4059</t>
    <phoneticPr fontId="22" type="noConversion"/>
  </si>
  <si>
    <t>/</t>
    <phoneticPr fontId="22" type="noConversion"/>
  </si>
  <si>
    <t>02424060</t>
    <phoneticPr fontId="22" type="noConversion"/>
  </si>
  <si>
    <t>1900384709044</t>
    <phoneticPr fontId="22" type="noConversion"/>
  </si>
  <si>
    <t>02424061-4062</t>
    <phoneticPr fontId="22" type="noConversion"/>
  </si>
  <si>
    <t>1900384709042</t>
    <phoneticPr fontId="22" type="noConversion"/>
  </si>
  <si>
    <t>02424063</t>
    <phoneticPr fontId="22" type="noConversion"/>
  </si>
  <si>
    <t>02424064</t>
    <phoneticPr fontId="22" type="noConversion"/>
  </si>
  <si>
    <t>02424065</t>
    <phoneticPr fontId="22" type="noConversion"/>
  </si>
  <si>
    <t>02424066</t>
    <phoneticPr fontId="22" type="noConversion"/>
  </si>
  <si>
    <t>1900384709024</t>
    <phoneticPr fontId="22" type="noConversion"/>
  </si>
  <si>
    <t>02424067</t>
    <phoneticPr fontId="22" type="noConversion"/>
  </si>
  <si>
    <t>1900384709025</t>
    <phoneticPr fontId="22" type="noConversion"/>
  </si>
  <si>
    <t>XS-2013-05-17-356</t>
    <phoneticPr fontId="22" type="noConversion"/>
  </si>
  <si>
    <t>1900384709026</t>
    <phoneticPr fontId="22" type="noConversion"/>
  </si>
  <si>
    <t>9042A</t>
    <phoneticPr fontId="22" type="noConversion"/>
  </si>
  <si>
    <t>0004795</t>
    <phoneticPr fontId="22" type="noConversion"/>
  </si>
  <si>
    <t>8246</t>
    <phoneticPr fontId="22" type="noConversion"/>
  </si>
  <si>
    <t>6006</t>
    <phoneticPr fontId="22" type="noConversion"/>
  </si>
  <si>
    <t>00717509</t>
    <phoneticPr fontId="22" type="noConversion"/>
  </si>
  <si>
    <t>0004890</t>
    <phoneticPr fontId="22" type="noConversion"/>
  </si>
  <si>
    <t>023183931422</t>
    <phoneticPr fontId="22" type="noConversion"/>
  </si>
  <si>
    <t>0004793</t>
    <phoneticPr fontId="22" type="noConversion"/>
  </si>
  <si>
    <t>87-950</t>
    <phoneticPr fontId="22" type="noConversion"/>
  </si>
  <si>
    <t>M</t>
    <phoneticPr fontId="22" type="noConversion"/>
  </si>
  <si>
    <t>只</t>
    <phoneticPr fontId="22" type="noConversion"/>
  </si>
  <si>
    <t>48-305</t>
    <phoneticPr fontId="22" type="noConversion"/>
  </si>
  <si>
    <t>76-202</t>
    <phoneticPr fontId="22" type="noConversion"/>
  </si>
  <si>
    <t>有机蒸气异味及颗粒物防护口罩（头带式）</t>
    <phoneticPr fontId="22" type="noConversion"/>
  </si>
  <si>
    <t>0004796</t>
    <phoneticPr fontId="22" type="noConversion"/>
  </si>
  <si>
    <t>9002A</t>
    <phoneticPr fontId="22" type="noConversion"/>
  </si>
  <si>
    <t>折叠式防护口罩（环保包装）</t>
    <phoneticPr fontId="22" type="noConversion"/>
  </si>
  <si>
    <t>0004895</t>
    <phoneticPr fontId="22" type="noConversion"/>
  </si>
  <si>
    <t>0000744</t>
    <phoneticPr fontId="22" type="noConversion"/>
  </si>
  <si>
    <t>3301CN</t>
    <phoneticPr fontId="22" type="noConversion"/>
  </si>
  <si>
    <t>通渝货运到付</t>
    <phoneticPr fontId="22" type="noConversion"/>
  </si>
  <si>
    <t>0021561</t>
    <phoneticPr fontId="22" type="noConversion"/>
  </si>
  <si>
    <t>0009583</t>
    <phoneticPr fontId="22" type="noConversion"/>
  </si>
  <si>
    <t>0006391</t>
    <phoneticPr fontId="22" type="noConversion"/>
  </si>
  <si>
    <t>兴旺货运到付</t>
    <phoneticPr fontId="22" type="noConversion"/>
  </si>
  <si>
    <t>0001099</t>
    <phoneticPr fontId="22" type="noConversion"/>
  </si>
  <si>
    <t>0004896</t>
    <phoneticPr fontId="22" type="noConversion"/>
  </si>
  <si>
    <t>0004897</t>
    <phoneticPr fontId="22" type="noConversion"/>
  </si>
  <si>
    <t>0004899</t>
    <phoneticPr fontId="22" type="noConversion"/>
  </si>
  <si>
    <t>个</t>
    <phoneticPr fontId="22" type="noConversion"/>
  </si>
  <si>
    <t>0004898</t>
    <phoneticPr fontId="22" type="noConversion"/>
  </si>
  <si>
    <t>/</t>
    <phoneticPr fontId="22" type="noConversion"/>
  </si>
  <si>
    <t>现金</t>
    <phoneticPr fontId="22" type="noConversion"/>
  </si>
  <si>
    <t>0004901</t>
    <phoneticPr fontId="22" type="noConversion"/>
  </si>
  <si>
    <t>重庆药友制药有限责任公司</t>
    <phoneticPr fontId="22" type="noConversion"/>
  </si>
  <si>
    <t>电动送风过滤系统</t>
    <phoneticPr fontId="22" type="noConversion"/>
  </si>
  <si>
    <t>头套</t>
    <phoneticPr fontId="22" type="noConversion"/>
  </si>
  <si>
    <t>0004797</t>
    <phoneticPr fontId="22" type="noConversion"/>
  </si>
  <si>
    <t>送货上门</t>
    <phoneticPr fontId="22" type="noConversion"/>
  </si>
  <si>
    <t>佘红曦</t>
    <phoneticPr fontId="22" type="noConversion"/>
  </si>
  <si>
    <t>023-63211373</t>
    <phoneticPr fontId="22" type="noConversion"/>
  </si>
  <si>
    <t>重庆市渝北区人和镇星光大道100号</t>
    <phoneticPr fontId="22" type="noConversion"/>
  </si>
  <si>
    <t>/</t>
    <phoneticPr fontId="22" type="noConversion"/>
  </si>
  <si>
    <t>02424068-4069</t>
    <phoneticPr fontId="22" type="noConversion"/>
  </si>
  <si>
    <t>送票上门</t>
    <phoneticPr fontId="22" type="noConversion"/>
  </si>
  <si>
    <t>0000752</t>
    <phoneticPr fontId="22" type="noConversion"/>
  </si>
  <si>
    <t>片</t>
    <phoneticPr fontId="22" type="noConversion"/>
  </si>
  <si>
    <t>0004900</t>
    <phoneticPr fontId="22" type="noConversion"/>
  </si>
  <si>
    <t>9041A</t>
    <phoneticPr fontId="22" type="noConversion"/>
  </si>
  <si>
    <t>9042A</t>
    <phoneticPr fontId="22" type="noConversion"/>
  </si>
  <si>
    <t>个</t>
    <phoneticPr fontId="22" type="noConversion"/>
  </si>
  <si>
    <t>00400577</t>
    <phoneticPr fontId="22" type="noConversion"/>
  </si>
  <si>
    <t>普票</t>
    <phoneticPr fontId="22" type="noConversion"/>
  </si>
  <si>
    <t>0004902</t>
    <phoneticPr fontId="22" type="noConversion"/>
  </si>
  <si>
    <t>9002A</t>
    <phoneticPr fontId="22" type="noConversion"/>
  </si>
  <si>
    <t>H901</t>
    <phoneticPr fontId="22" type="noConversion"/>
  </si>
  <si>
    <t>0004903</t>
    <phoneticPr fontId="22" type="noConversion"/>
  </si>
  <si>
    <t>口罩</t>
    <phoneticPr fontId="22" type="noConversion"/>
  </si>
  <si>
    <t>6000 面罩吸气阀</t>
  </si>
  <si>
    <t>6000 全面罩鼻罩组合</t>
  </si>
  <si>
    <t>6000 面罩呼气阀</t>
  </si>
  <si>
    <t>百信货运到付</t>
    <phoneticPr fontId="22" type="noConversion"/>
  </si>
  <si>
    <t>0033243</t>
    <phoneticPr fontId="22" type="noConversion"/>
  </si>
  <si>
    <t>0004904</t>
    <phoneticPr fontId="22" type="noConversion"/>
  </si>
  <si>
    <t>4.28*295+4.5162*400</t>
    <phoneticPr fontId="60" type="noConversion"/>
  </si>
  <si>
    <t>不开票</t>
    <phoneticPr fontId="22" type="noConversion"/>
  </si>
  <si>
    <t>/</t>
    <phoneticPr fontId="22" type="noConversion"/>
  </si>
  <si>
    <t>折叠式防护口罩</t>
    <phoneticPr fontId="60" type="noConversion"/>
  </si>
  <si>
    <t>0.95</t>
    <phoneticPr fontId="60" type="noConversion"/>
  </si>
  <si>
    <t>安适达折叠口罩</t>
    <phoneticPr fontId="22" type="noConversion"/>
  </si>
  <si>
    <t>贝浪样品</t>
    <phoneticPr fontId="22" type="noConversion"/>
  </si>
  <si>
    <t>杜邦</t>
    <phoneticPr fontId="22" type="noConversion"/>
  </si>
  <si>
    <t>不开票</t>
    <phoneticPr fontId="22" type="noConversion"/>
  </si>
  <si>
    <t>/</t>
    <phoneticPr fontId="22" type="noConversion"/>
  </si>
  <si>
    <t>20.00</t>
    <phoneticPr fontId="60" type="noConversion"/>
  </si>
  <si>
    <t>20.00</t>
    <phoneticPr fontId="60" type="noConversion"/>
  </si>
  <si>
    <t>/</t>
    <phoneticPr fontId="22" type="noConversion"/>
  </si>
  <si>
    <t>不开票</t>
    <phoneticPr fontId="22" type="noConversion"/>
  </si>
  <si>
    <t>02424070、02433436</t>
    <phoneticPr fontId="22" type="noConversion"/>
  </si>
  <si>
    <t>02433436-3437、3439</t>
    <phoneticPr fontId="22" type="noConversion"/>
  </si>
  <si>
    <t>02433438</t>
    <phoneticPr fontId="22" type="noConversion"/>
  </si>
  <si>
    <t>自提</t>
    <phoneticPr fontId="22" type="noConversion"/>
  </si>
  <si>
    <t>02433440-3442</t>
    <phoneticPr fontId="22" type="noConversion"/>
  </si>
  <si>
    <t>1900384709027</t>
    <phoneticPr fontId="22" type="noConversion"/>
  </si>
  <si>
    <t>02433443-3447</t>
    <phoneticPr fontId="22" type="noConversion"/>
  </si>
  <si>
    <t>1900384709028</t>
    <phoneticPr fontId="22" type="noConversion"/>
  </si>
  <si>
    <t>02433448-3451</t>
    <phoneticPr fontId="22" type="noConversion"/>
  </si>
  <si>
    <t>1900384709029</t>
    <phoneticPr fontId="22" type="noConversion"/>
  </si>
  <si>
    <t>02433452</t>
    <phoneticPr fontId="22" type="noConversion"/>
  </si>
  <si>
    <t>1900384709030</t>
    <phoneticPr fontId="22" type="noConversion"/>
  </si>
  <si>
    <t>02433453</t>
    <phoneticPr fontId="22" type="noConversion"/>
  </si>
  <si>
    <t>1900384709031</t>
    <phoneticPr fontId="22" type="noConversion"/>
  </si>
  <si>
    <t>02433454-3455</t>
    <phoneticPr fontId="22" type="noConversion"/>
  </si>
  <si>
    <t>02433456</t>
    <phoneticPr fontId="22" type="noConversion"/>
  </si>
  <si>
    <t>01778773</t>
    <phoneticPr fontId="22" type="noConversion"/>
  </si>
  <si>
    <t>0005009</t>
    <phoneticPr fontId="22" type="noConversion"/>
  </si>
  <si>
    <t>片</t>
    <phoneticPr fontId="22" type="noConversion"/>
  </si>
  <si>
    <t>个</t>
    <phoneticPr fontId="22" type="noConversion"/>
  </si>
  <si>
    <t>付</t>
    <phoneticPr fontId="22" type="noConversion"/>
  </si>
  <si>
    <t>0001302</t>
    <phoneticPr fontId="22" type="noConversion"/>
  </si>
  <si>
    <t>0001304</t>
    <phoneticPr fontId="22" type="noConversion"/>
  </si>
  <si>
    <t>11样品+2.37*20+392*2.3+1053*2.45</t>
    <phoneticPr fontId="60" type="noConversion"/>
  </si>
  <si>
    <t>0001306</t>
    <phoneticPr fontId="22" type="noConversion"/>
  </si>
  <si>
    <t>60嘉烨+460*13.2</t>
    <phoneticPr fontId="60" type="noConversion"/>
  </si>
  <si>
    <t>3700</t>
    <phoneticPr fontId="22" type="noConversion"/>
  </si>
  <si>
    <t>0700089</t>
    <phoneticPr fontId="22" type="noConversion"/>
  </si>
  <si>
    <t>02403510</t>
    <phoneticPr fontId="22" type="noConversion"/>
  </si>
  <si>
    <t>08928020</t>
    <phoneticPr fontId="22" type="noConversion"/>
  </si>
  <si>
    <t>个</t>
    <phoneticPr fontId="22" type="noConversion"/>
  </si>
  <si>
    <t>6000全面具视窗保护膜</t>
  </si>
  <si>
    <t>/</t>
    <phoneticPr fontId="22" type="noConversion"/>
  </si>
  <si>
    <t>01522279</t>
    <phoneticPr fontId="22" type="noConversion"/>
  </si>
  <si>
    <t>02433460</t>
    <phoneticPr fontId="22" type="noConversion"/>
  </si>
  <si>
    <t>1900380087771</t>
    <phoneticPr fontId="22" type="noConversion"/>
  </si>
  <si>
    <t>付</t>
    <phoneticPr fontId="22" type="noConversion"/>
  </si>
  <si>
    <t>片</t>
    <phoneticPr fontId="22" type="noConversion"/>
  </si>
  <si>
    <t>3301CN</t>
    <phoneticPr fontId="22" type="noConversion"/>
  </si>
  <si>
    <t>02433457-3459</t>
    <phoneticPr fontId="22" type="noConversion"/>
  </si>
  <si>
    <t>送票上门</t>
    <phoneticPr fontId="22" type="noConversion"/>
  </si>
  <si>
    <t>0001307-1308</t>
    <phoneticPr fontId="22" type="noConversion"/>
  </si>
  <si>
    <t>XOUT171254</t>
    <phoneticPr fontId="22" type="noConversion"/>
  </si>
  <si>
    <t>0002125</t>
    <phoneticPr fontId="22" type="noConversion"/>
  </si>
  <si>
    <t>SA201305200073</t>
    <phoneticPr fontId="22" type="noConversion"/>
  </si>
  <si>
    <t>SA201305200085</t>
    <phoneticPr fontId="22" type="noConversion"/>
  </si>
  <si>
    <t>样品</t>
    <phoneticPr fontId="22" type="noConversion"/>
  </si>
  <si>
    <t>Universal Plus-手套（L）</t>
    <phoneticPr fontId="68" type="noConversion"/>
  </si>
  <si>
    <t>耐酸碱手套 L</t>
    <phoneticPr fontId="22" type="noConversion"/>
  </si>
  <si>
    <t>入库备注</t>
    <phoneticPr fontId="22" type="noConversion"/>
  </si>
  <si>
    <t>32</t>
    <phoneticPr fontId="60" type="noConversion"/>
  </si>
  <si>
    <t>6嘉烨</t>
    <phoneticPr fontId="22" type="noConversion"/>
  </si>
  <si>
    <t>直发</t>
    <phoneticPr fontId="22" type="noConversion"/>
  </si>
  <si>
    <t>入库</t>
    <phoneticPr fontId="22" type="noConversion"/>
  </si>
  <si>
    <t>69.5*2+68.8*48</t>
    <phoneticPr fontId="22" type="noConversion"/>
  </si>
  <si>
    <r>
      <rPr>
        <sz val="11"/>
        <color indexed="8"/>
        <rFont val="宋体"/>
        <family val="3"/>
        <charset val="134"/>
      </rPr>
      <t>140*10.00</t>
    </r>
    <r>
      <rPr>
        <sz val="11"/>
        <color indexed="8"/>
        <rFont val="宋体"/>
        <charset val="134"/>
      </rPr>
      <t>+3168</t>
    </r>
    <r>
      <rPr>
        <sz val="11"/>
        <color indexed="8"/>
        <rFont val="宋体"/>
        <family val="3"/>
        <charset val="134"/>
      </rPr>
      <t>*9.84</t>
    </r>
    <phoneticPr fontId="22" type="noConversion"/>
  </si>
  <si>
    <t>9.8*3+7.66*88+7.66*720</t>
    <phoneticPr fontId="22" type="noConversion"/>
  </si>
  <si>
    <t>023194363926</t>
    <phoneticPr fontId="22" type="noConversion"/>
  </si>
  <si>
    <t>1711</t>
    <phoneticPr fontId="22" type="noConversion"/>
  </si>
  <si>
    <t>1621</t>
    <phoneticPr fontId="22" type="noConversion"/>
  </si>
  <si>
    <t>0002130</t>
    <phoneticPr fontId="22" type="noConversion"/>
  </si>
  <si>
    <t>3.69*449+525*3.96</t>
    <phoneticPr fontId="60" type="noConversion"/>
  </si>
  <si>
    <t>普通版 N95 防护口罩</t>
    <phoneticPr fontId="60" type="noConversion"/>
  </si>
  <si>
    <t>0001310</t>
    <phoneticPr fontId="22" type="noConversion"/>
  </si>
  <si>
    <t>全面型防护面罩（小号）</t>
  </si>
  <si>
    <t>9042A</t>
    <phoneticPr fontId="22" type="noConversion"/>
  </si>
  <si>
    <t>9002A</t>
    <phoneticPr fontId="22" type="noConversion"/>
  </si>
  <si>
    <t>0001313</t>
    <phoneticPr fontId="22" type="noConversion"/>
  </si>
  <si>
    <t>韵达现付</t>
    <phoneticPr fontId="22" type="noConversion"/>
  </si>
  <si>
    <t>刘郁才</t>
    <phoneticPr fontId="22" type="noConversion"/>
  </si>
  <si>
    <t>15086930150</t>
    <phoneticPr fontId="22" type="noConversion"/>
  </si>
  <si>
    <t>1900380087772</t>
    <phoneticPr fontId="22" type="noConversion"/>
  </si>
  <si>
    <t>重庆市永川区西北小学（三圣公寓）锦贤家具厂</t>
    <phoneticPr fontId="22" type="noConversion"/>
  </si>
  <si>
    <t>10*0.8</t>
    <phoneticPr fontId="22" type="noConversion"/>
  </si>
  <si>
    <t>平方米</t>
    <phoneticPr fontId="22" type="noConversion"/>
  </si>
  <si>
    <t>0001312</t>
    <phoneticPr fontId="22" type="noConversion"/>
  </si>
  <si>
    <t>5*12.3+12.4*40</t>
    <phoneticPr fontId="60" type="noConversion"/>
  </si>
  <si>
    <t>直发</t>
    <phoneticPr fontId="22" type="noConversion"/>
  </si>
  <si>
    <t>云南永航商贸有限公司</t>
    <phoneticPr fontId="22" type="noConversion"/>
  </si>
  <si>
    <t>9022A</t>
    <phoneticPr fontId="22" type="noConversion"/>
  </si>
  <si>
    <t>/</t>
    <phoneticPr fontId="22" type="noConversion"/>
  </si>
  <si>
    <t>申通现付</t>
    <phoneticPr fontId="22" type="noConversion"/>
  </si>
  <si>
    <t>陈秀珍</t>
    <phoneticPr fontId="22" type="noConversion"/>
  </si>
  <si>
    <t>668087078728</t>
    <phoneticPr fontId="22" type="noConversion"/>
  </si>
  <si>
    <t>贵阳云岩区鹿冲关路69号沙河花园三期12-603</t>
    <phoneticPr fontId="22" type="noConversion"/>
  </si>
  <si>
    <t>13984067313</t>
    <phoneticPr fontId="22" type="noConversion"/>
  </si>
  <si>
    <t>个</t>
    <phoneticPr fontId="22" type="noConversion"/>
  </si>
  <si>
    <t>6700</t>
    <phoneticPr fontId="22" type="noConversion"/>
  </si>
  <si>
    <t>0025728</t>
    <phoneticPr fontId="22" type="noConversion"/>
  </si>
  <si>
    <t>3M民族店</t>
    <phoneticPr fontId="22" type="noConversion"/>
  </si>
  <si>
    <t>杜邦</t>
    <phoneticPr fontId="22" type="noConversion"/>
  </si>
  <si>
    <t>窗贴膜</t>
    <phoneticPr fontId="22" type="noConversion"/>
  </si>
  <si>
    <t>318-1005</t>
    <phoneticPr fontId="22" type="noConversion"/>
  </si>
  <si>
    <t>付</t>
    <phoneticPr fontId="22" type="noConversion"/>
  </si>
  <si>
    <t>个</t>
    <phoneticPr fontId="22" type="noConversion"/>
  </si>
  <si>
    <t>1.4929*0+300*1.56</t>
    <phoneticPr fontId="60" type="noConversion"/>
  </si>
  <si>
    <t>/</t>
    <phoneticPr fontId="22" type="noConversion"/>
  </si>
  <si>
    <t>陈主任</t>
    <phoneticPr fontId="22" type="noConversion"/>
  </si>
  <si>
    <t>00400578</t>
    <phoneticPr fontId="22" type="noConversion"/>
  </si>
  <si>
    <t>普票</t>
    <phoneticPr fontId="22" type="noConversion"/>
  </si>
  <si>
    <t>0003238-3239</t>
    <phoneticPr fontId="22" type="noConversion"/>
  </si>
  <si>
    <t>力宏物流现付</t>
    <phoneticPr fontId="22" type="noConversion"/>
  </si>
  <si>
    <t>0001239</t>
    <phoneticPr fontId="22" type="noConversion"/>
  </si>
  <si>
    <t>130524601</t>
    <phoneticPr fontId="22" type="noConversion"/>
  </si>
  <si>
    <t>130524602</t>
    <phoneticPr fontId="22" type="noConversion"/>
  </si>
  <si>
    <t>0008767</t>
    <phoneticPr fontId="22" type="noConversion"/>
  </si>
  <si>
    <t>03653708</t>
    <phoneticPr fontId="22" type="noConversion"/>
  </si>
  <si>
    <t>直发</t>
    <phoneticPr fontId="22" type="noConversion"/>
  </si>
  <si>
    <t>肖明</t>
    <phoneticPr fontId="22" type="noConversion"/>
  </si>
  <si>
    <t>15902379603</t>
    <phoneticPr fontId="22" type="noConversion"/>
  </si>
  <si>
    <t>入库</t>
    <phoneticPr fontId="22" type="noConversion"/>
  </si>
  <si>
    <t>10.94*1+12.00*665</t>
    <phoneticPr fontId="60" type="noConversion"/>
  </si>
  <si>
    <t>XOUT171586</t>
    <phoneticPr fontId="22" type="noConversion"/>
  </si>
  <si>
    <t>0001315</t>
    <phoneticPr fontId="22" type="noConversion"/>
  </si>
  <si>
    <t>0001318</t>
    <phoneticPr fontId="22" type="noConversion"/>
  </si>
  <si>
    <t>付</t>
    <phoneticPr fontId="22" type="noConversion"/>
  </si>
  <si>
    <t>头带式耳罩</t>
  </si>
  <si>
    <t>H10A</t>
    <phoneticPr fontId="22" type="noConversion"/>
  </si>
  <si>
    <t>0001316</t>
    <phoneticPr fontId="22" type="noConversion"/>
  </si>
  <si>
    <t>个</t>
    <phoneticPr fontId="22" type="noConversion"/>
  </si>
  <si>
    <t>普通版 N95 防护口罩</t>
    <phoneticPr fontId="22" type="noConversion"/>
  </si>
  <si>
    <t>0001314</t>
    <phoneticPr fontId="22" type="noConversion"/>
  </si>
  <si>
    <t>9002A</t>
    <phoneticPr fontId="22" type="noConversion"/>
  </si>
  <si>
    <t>0001319</t>
    <phoneticPr fontId="22" type="noConversion"/>
  </si>
  <si>
    <t>刘兴琴</t>
    <phoneticPr fontId="22" type="noConversion"/>
  </si>
  <si>
    <t>023-43390927</t>
    <phoneticPr fontId="22" type="noConversion"/>
  </si>
  <si>
    <t>歌乐山镇净龙三社</t>
    <phoneticPr fontId="22" type="noConversion"/>
  </si>
  <si>
    <t>023-88862515</t>
    <phoneticPr fontId="22" type="noConversion"/>
  </si>
  <si>
    <t>0001321</t>
    <phoneticPr fontId="22" type="noConversion"/>
  </si>
  <si>
    <t>0004798</t>
    <phoneticPr fontId="22" type="noConversion"/>
  </si>
  <si>
    <t>0001322</t>
    <phoneticPr fontId="22" type="noConversion"/>
  </si>
  <si>
    <t>0001320</t>
    <phoneticPr fontId="22" type="noConversion"/>
  </si>
  <si>
    <t>023213072834</t>
    <phoneticPr fontId="22" type="noConversion"/>
  </si>
  <si>
    <t>顺丰现付</t>
    <phoneticPr fontId="22" type="noConversion"/>
  </si>
  <si>
    <t>彭川明</t>
    <phoneticPr fontId="22" type="noConversion"/>
  </si>
  <si>
    <t>023213072843</t>
    <phoneticPr fontId="22" type="noConversion"/>
  </si>
  <si>
    <t>嘉烨*0+14.1*10</t>
    <phoneticPr fontId="60" type="noConversion"/>
  </si>
  <si>
    <t>0001323</t>
    <phoneticPr fontId="22" type="noConversion"/>
  </si>
  <si>
    <t>121.16*5+30*110</t>
    <phoneticPr fontId="60" type="noConversion"/>
  </si>
  <si>
    <t>29.22*110+24.2*6</t>
    <phoneticPr fontId="60" type="noConversion"/>
  </si>
  <si>
    <t>720P</t>
    <phoneticPr fontId="22" type="noConversion"/>
  </si>
  <si>
    <t>9032</t>
    <phoneticPr fontId="22" type="noConversion"/>
  </si>
  <si>
    <t>套</t>
    <phoneticPr fontId="22" type="noConversion"/>
  </si>
  <si>
    <t>620P</t>
    <phoneticPr fontId="22" type="noConversion"/>
  </si>
  <si>
    <t>/</t>
    <phoneticPr fontId="22" type="noConversion"/>
  </si>
  <si>
    <t>入库</t>
    <phoneticPr fontId="22" type="noConversion"/>
  </si>
  <si>
    <t>子弹型耳塞 (中文包装)</t>
  </si>
  <si>
    <t>312-1214</t>
    <phoneticPr fontId="22" type="noConversion"/>
  </si>
  <si>
    <t>样品</t>
    <phoneticPr fontId="22" type="noConversion"/>
  </si>
  <si>
    <t>3.63</t>
    <phoneticPr fontId="60" type="noConversion"/>
  </si>
  <si>
    <t>23.94*147+20*20.89（拆）</t>
    <phoneticPr fontId="60" type="noConversion"/>
  </si>
  <si>
    <t>天虹货运到付</t>
    <phoneticPr fontId="22" type="noConversion"/>
  </si>
  <si>
    <t>0003673</t>
    <phoneticPr fontId="22" type="noConversion"/>
  </si>
  <si>
    <t>0004799</t>
    <phoneticPr fontId="22" type="noConversion"/>
  </si>
  <si>
    <t>杜邦</t>
    <phoneticPr fontId="22" type="noConversion"/>
  </si>
  <si>
    <t>隔热膜</t>
    <phoneticPr fontId="22" type="noConversion"/>
  </si>
  <si>
    <t>不开票</t>
    <phoneticPr fontId="22" type="noConversion"/>
  </si>
  <si>
    <t>重庆捷利化工公司</t>
    <phoneticPr fontId="22" type="noConversion"/>
  </si>
  <si>
    <t>9042A</t>
    <phoneticPr fontId="22" type="noConversion"/>
  </si>
  <si>
    <t>付</t>
    <phoneticPr fontId="22" type="noConversion"/>
  </si>
  <si>
    <t>个</t>
    <phoneticPr fontId="22" type="noConversion"/>
  </si>
  <si>
    <t>叶远虎</t>
    <phoneticPr fontId="22" type="noConversion"/>
  </si>
  <si>
    <t>13996770132</t>
    <phoneticPr fontId="22" type="noConversion"/>
  </si>
  <si>
    <t>重庆武隆县羊角镇长兴路捷利化工公司</t>
    <phoneticPr fontId="22" type="noConversion"/>
  </si>
  <si>
    <t>3*0.77+1550*0.6</t>
    <phoneticPr fontId="60" type="noConversion"/>
  </si>
  <si>
    <t>1900380087775</t>
    <phoneticPr fontId="22" type="noConversion"/>
  </si>
  <si>
    <t>1900380087774</t>
    <phoneticPr fontId="22" type="noConversion"/>
  </si>
  <si>
    <t>0001324</t>
    <phoneticPr fontId="22" type="noConversion"/>
  </si>
  <si>
    <t>6800</t>
    <phoneticPr fontId="22" type="noConversion"/>
  </si>
  <si>
    <t>XOUT171789</t>
    <phoneticPr fontId="22" type="noConversion"/>
  </si>
  <si>
    <t>入库</t>
    <phoneticPr fontId="22" type="noConversion"/>
  </si>
  <si>
    <t>重庆捷利化工公司</t>
    <phoneticPr fontId="22" type="noConversion"/>
  </si>
  <si>
    <t>0001327</t>
    <phoneticPr fontId="22" type="noConversion"/>
  </si>
  <si>
    <t>已发2个</t>
    <phoneticPr fontId="22" type="noConversion"/>
  </si>
  <si>
    <t>0008347</t>
    <phoneticPr fontId="22" type="noConversion"/>
  </si>
  <si>
    <t>0000801</t>
    <phoneticPr fontId="22" type="noConversion"/>
  </si>
  <si>
    <t>0001305</t>
    <phoneticPr fontId="22" type="noConversion"/>
  </si>
  <si>
    <t>0000860</t>
    <phoneticPr fontId="22" type="noConversion"/>
  </si>
  <si>
    <t>2样品</t>
    <phoneticPr fontId="22" type="noConversion"/>
  </si>
  <si>
    <t>/</t>
    <phoneticPr fontId="22" type="noConversion"/>
  </si>
  <si>
    <t>直发</t>
    <phoneticPr fontId="22" type="noConversion"/>
  </si>
  <si>
    <t>2嘉烨  0*3.6+717*3.96</t>
    <phoneticPr fontId="60" type="noConversion"/>
  </si>
  <si>
    <t>XS-2013-5-24-062</t>
    <phoneticPr fontId="22" type="noConversion"/>
  </si>
  <si>
    <t>直发</t>
    <phoneticPr fontId="22" type="noConversion"/>
  </si>
  <si>
    <t>入库</t>
    <phoneticPr fontId="22" type="noConversion"/>
  </si>
  <si>
    <t>顺丰现付</t>
    <phoneticPr fontId="22" type="noConversion"/>
  </si>
  <si>
    <t>023213216169</t>
    <phoneticPr fontId="22" type="noConversion"/>
  </si>
  <si>
    <t>现金</t>
    <phoneticPr fontId="22" type="noConversion"/>
  </si>
  <si>
    <t>重庆市灵龙电子有限公司</t>
    <phoneticPr fontId="22" type="noConversion"/>
  </si>
  <si>
    <t>/</t>
    <phoneticPr fontId="22" type="noConversion"/>
  </si>
  <si>
    <t>0004800</t>
    <phoneticPr fontId="22" type="noConversion"/>
  </si>
  <si>
    <t>0001329</t>
    <phoneticPr fontId="22" type="noConversion"/>
  </si>
  <si>
    <t>安适达</t>
    <phoneticPr fontId="22" type="noConversion"/>
  </si>
  <si>
    <t>个</t>
    <phoneticPr fontId="22" type="noConversion"/>
  </si>
  <si>
    <t>0001328</t>
    <phoneticPr fontId="22" type="noConversion"/>
  </si>
  <si>
    <t>00147151</t>
    <phoneticPr fontId="22" type="noConversion"/>
  </si>
  <si>
    <t>0001330</t>
    <phoneticPr fontId="22" type="noConversion"/>
  </si>
  <si>
    <t>/</t>
    <phoneticPr fontId="22" type="noConversion"/>
  </si>
  <si>
    <t>入库</t>
    <phoneticPr fontId="22" type="noConversion"/>
  </si>
  <si>
    <t>455*1+454*8</t>
    <phoneticPr fontId="60" type="noConversion"/>
  </si>
  <si>
    <t>/</t>
    <phoneticPr fontId="22" type="noConversion"/>
  </si>
  <si>
    <t>0000558</t>
    <phoneticPr fontId="22" type="noConversion"/>
  </si>
  <si>
    <t>入库</t>
    <phoneticPr fontId="22" type="noConversion"/>
  </si>
  <si>
    <t>1.44*114+1.55*1050</t>
    <phoneticPr fontId="60" type="noConversion"/>
  </si>
  <si>
    <t>40嘉烨+1.68*3200</t>
    <phoneticPr fontId="60" type="noConversion"/>
  </si>
  <si>
    <t>防护服</t>
    <phoneticPr fontId="22" type="noConversion"/>
  </si>
  <si>
    <t>件</t>
    <phoneticPr fontId="22" type="noConversion"/>
  </si>
  <si>
    <t>0004975</t>
    <phoneticPr fontId="22" type="noConversion"/>
  </si>
  <si>
    <t>0001332</t>
    <phoneticPr fontId="22" type="noConversion"/>
  </si>
  <si>
    <t>0001333</t>
    <phoneticPr fontId="22" type="noConversion"/>
  </si>
  <si>
    <t>4.75*348+5.1*0</t>
    <phoneticPr fontId="60" type="noConversion"/>
  </si>
  <si>
    <t>1.39*96+200*1.4</t>
    <phoneticPr fontId="60" type="noConversion"/>
  </si>
  <si>
    <t>44.5*1+45.2*1</t>
    <phoneticPr fontId="60" type="noConversion"/>
  </si>
  <si>
    <t>17.8*20+40*17.2</t>
    <phoneticPr fontId="60" type="noConversion"/>
  </si>
  <si>
    <t>德邦到付</t>
    <phoneticPr fontId="22" type="noConversion"/>
  </si>
  <si>
    <t>江西上饶市</t>
    <phoneticPr fontId="22" type="noConversion"/>
  </si>
  <si>
    <t>重庆众望节能安全环保咨询有限公司</t>
    <phoneticPr fontId="22" type="noConversion"/>
  </si>
  <si>
    <t>318-1005</t>
    <phoneticPr fontId="22" type="noConversion"/>
  </si>
  <si>
    <t>安适达</t>
    <phoneticPr fontId="22" type="noConversion"/>
  </si>
  <si>
    <t>付</t>
    <phoneticPr fontId="22" type="noConversion"/>
  </si>
  <si>
    <t>个</t>
    <phoneticPr fontId="22" type="noConversion"/>
  </si>
  <si>
    <t>MJ</t>
    <phoneticPr fontId="22" type="noConversion"/>
  </si>
  <si>
    <t>21*3.31+840*3.214</t>
    <phoneticPr fontId="60" type="noConversion"/>
  </si>
  <si>
    <t>职业健康防护包（蓝色）</t>
  </si>
  <si>
    <t>0004974</t>
    <phoneticPr fontId="22" type="noConversion"/>
  </si>
  <si>
    <t>要退回300个</t>
    <phoneticPr fontId="22" type="noConversion"/>
  </si>
  <si>
    <t>0001326</t>
    <phoneticPr fontId="22" type="noConversion"/>
  </si>
  <si>
    <t>APFNCHD44100</t>
    <phoneticPr fontId="22" type="noConversion"/>
  </si>
  <si>
    <t>一次性耐用丁腈手套（深蓝色）</t>
    <phoneticPr fontId="22" type="noConversion"/>
  </si>
  <si>
    <t>箱</t>
    <phoneticPr fontId="22" type="noConversion"/>
  </si>
  <si>
    <t>重庆酒店设备有限公司</t>
  </si>
  <si>
    <t>成都双安</t>
    <phoneticPr fontId="22" type="noConversion"/>
  </si>
  <si>
    <t>0004977</t>
    <phoneticPr fontId="22" type="noConversion"/>
  </si>
</sst>
</file>

<file path=xl/styles.xml><?xml version="1.0" encoding="utf-8"?>
<styleSheet xmlns="http://schemas.openxmlformats.org/spreadsheetml/2006/main">
  <numFmts count="11">
    <numFmt numFmtId="176" formatCode="yyyy\/m\/d"/>
    <numFmt numFmtId="177" formatCode="0.00_);[Red]\(0.00\)"/>
    <numFmt numFmtId="178" formatCode="0.0000_);[Red]\(0.0000\)"/>
    <numFmt numFmtId="179" formatCode="0.00_ "/>
    <numFmt numFmtId="180" formatCode="0.000_);[Red]\(0.000\)"/>
    <numFmt numFmtId="181" formatCode="0_ "/>
    <numFmt numFmtId="182" formatCode="yyyy/m/d;@"/>
    <numFmt numFmtId="183" formatCode="0_);[Red]\(0\)"/>
    <numFmt numFmtId="184" formatCode="0_);\(0\)"/>
    <numFmt numFmtId="185" formatCode="0.000_);\(0.000\)"/>
    <numFmt numFmtId="186" formatCode="000000"/>
  </numFmts>
  <fonts count="80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8"/>
      <color indexed="81"/>
      <name val="宋体"/>
      <family val="3"/>
      <charset val="134"/>
    </font>
    <font>
      <b/>
      <sz val="8"/>
      <color indexed="81"/>
      <name val="Tahoma"/>
      <family val="2"/>
    </font>
    <font>
      <sz val="10"/>
      <color rgb="FF0000FF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  <scheme val="major"/>
    </font>
    <font>
      <sz val="10"/>
      <color indexed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Times New Roman"/>
      <family val="1"/>
    </font>
    <font>
      <sz val="9"/>
      <color indexed="8"/>
      <name val="宋体"/>
      <family val="3"/>
      <charset val="134"/>
      <scheme val="major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21" fillId="23" borderId="9" applyNumberFormat="0" applyFont="0" applyAlignment="0" applyProtection="0">
      <alignment vertical="center"/>
    </xf>
  </cellStyleXfs>
  <cellXfs count="422">
    <xf numFmtId="0" fontId="0" fillId="0" borderId="0" xfId="0">
      <alignment vertical="center"/>
    </xf>
    <xf numFmtId="0" fontId="19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182" fontId="26" fillId="0" borderId="0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182" fontId="26" fillId="0" borderId="0" xfId="0" applyNumberFormat="1" applyFont="1" applyAlignment="1">
      <alignment horizontal="left" vertical="center"/>
    </xf>
    <xf numFmtId="182" fontId="25" fillId="0" borderId="0" xfId="0" applyNumberFormat="1" applyFont="1" applyFill="1" applyBorder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9" fillId="0" borderId="0" xfId="0" applyNumberFormat="1" applyFont="1" applyFill="1" applyBorder="1" applyAlignment="1">
      <alignment horizontal="left" vertical="center"/>
    </xf>
    <xf numFmtId="0" fontId="30" fillId="0" borderId="0" xfId="0" applyNumberFormat="1" applyFont="1" applyFill="1" applyBorder="1" applyAlignment="1">
      <alignment horizontal="left" vertical="center"/>
    </xf>
    <xf numFmtId="0" fontId="32" fillId="0" borderId="0" xfId="0" applyNumberFormat="1" applyFont="1" applyFill="1" applyBorder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0" borderId="0" xfId="0" applyNumberFormat="1" applyFont="1" applyFill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5" fillId="0" borderId="0" xfId="0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182" fontId="19" fillId="0" borderId="0" xfId="0" applyNumberFormat="1" applyFont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41" fillId="0" borderId="0" xfId="0" applyNumberFormat="1" applyFont="1" applyFill="1" applyBorder="1" applyAlignment="1">
      <alignment horizontal="left" vertical="center"/>
    </xf>
    <xf numFmtId="0" fontId="42" fillId="0" borderId="0" xfId="0" applyNumberFormat="1" applyFont="1" applyFill="1" applyBorder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182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77" fontId="19" fillId="0" borderId="0" xfId="25" applyNumberFormat="1" applyFont="1" applyFill="1" applyBorder="1" applyAlignment="1">
      <alignment horizontal="left" vertical="center"/>
    </xf>
    <xf numFmtId="49" fontId="19" fillId="0" borderId="0" xfId="25" applyNumberFormat="1" applyFont="1" applyFill="1" applyBorder="1" applyAlignment="1">
      <alignment horizontal="left" vertical="center"/>
    </xf>
    <xf numFmtId="176" fontId="19" fillId="0" borderId="0" xfId="25" applyNumberFormat="1" applyFont="1" applyFill="1" applyBorder="1" applyAlignment="1">
      <alignment horizontal="left" vertical="center"/>
    </xf>
    <xf numFmtId="178" fontId="19" fillId="0" borderId="0" xfId="25" applyNumberFormat="1" applyFont="1" applyFill="1" applyBorder="1" applyAlignment="1">
      <alignment horizontal="left" vertical="center"/>
    </xf>
    <xf numFmtId="180" fontId="19" fillId="0" borderId="0" xfId="25" applyNumberFormat="1" applyFont="1" applyFill="1" applyBorder="1" applyAlignment="1">
      <alignment horizontal="left" vertical="center"/>
    </xf>
    <xf numFmtId="179" fontId="19" fillId="0" borderId="0" xfId="25" applyNumberFormat="1" applyFont="1" applyFill="1" applyBorder="1" applyAlignment="1">
      <alignment horizontal="left" vertical="center"/>
    </xf>
    <xf numFmtId="0" fontId="21" fillId="0" borderId="0" xfId="25" applyFont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 wrapText="1"/>
    </xf>
    <xf numFmtId="0" fontId="21" fillId="0" borderId="0" xfId="25" applyFont="1" applyFill="1" applyAlignment="1">
      <alignment horizontal="left" vertical="center"/>
    </xf>
    <xf numFmtId="49" fontId="46" fillId="0" borderId="0" xfId="25" applyNumberFormat="1" applyFont="1" applyFill="1" applyBorder="1" applyAlignment="1">
      <alignment horizontal="left" vertical="center"/>
    </xf>
    <xf numFmtId="49" fontId="47" fillId="0" borderId="0" xfId="25" applyNumberFormat="1" applyFont="1" applyFill="1" applyBorder="1" applyAlignment="1">
      <alignment horizontal="left" vertical="center"/>
    </xf>
    <xf numFmtId="49" fontId="48" fillId="0" borderId="0" xfId="25" applyNumberFormat="1" applyFont="1" applyFill="1" applyBorder="1" applyAlignment="1">
      <alignment horizontal="left" vertical="center"/>
    </xf>
    <xf numFmtId="0" fontId="18" fillId="0" borderId="0" xfId="25" applyNumberFormat="1" applyFont="1" applyFill="1" applyBorder="1" applyAlignment="1">
      <alignment horizontal="center" vertical="center"/>
    </xf>
    <xf numFmtId="182" fontId="18" fillId="0" borderId="15" xfId="25" applyNumberFormat="1" applyFont="1" applyFill="1" applyBorder="1" applyAlignment="1">
      <alignment horizontal="center" vertical="center" wrapText="1"/>
    </xf>
    <xf numFmtId="0" fontId="18" fillId="0" borderId="15" xfId="25" applyNumberFormat="1" applyFont="1" applyFill="1" applyBorder="1" applyAlignment="1">
      <alignment horizontal="center" vertical="center" wrapText="1"/>
    </xf>
    <xf numFmtId="179" fontId="18" fillId="0" borderId="15" xfId="25" applyNumberFormat="1" applyFont="1" applyFill="1" applyBorder="1" applyAlignment="1">
      <alignment horizontal="center" vertical="center" wrapText="1"/>
    </xf>
    <xf numFmtId="179" fontId="49" fillId="0" borderId="15" xfId="25" applyNumberFormat="1" applyFont="1" applyFill="1" applyBorder="1" applyAlignment="1">
      <alignment horizontal="center" vertical="center" wrapText="1"/>
    </xf>
    <xf numFmtId="180" fontId="18" fillId="0" borderId="15" xfId="25" applyNumberFormat="1" applyFont="1" applyFill="1" applyBorder="1" applyAlignment="1">
      <alignment horizontal="center" vertical="center" wrapText="1"/>
    </xf>
    <xf numFmtId="177" fontId="18" fillId="0" borderId="15" xfId="25" applyNumberFormat="1" applyFont="1" applyFill="1" applyBorder="1" applyAlignment="1">
      <alignment horizontal="center" vertical="center" wrapText="1"/>
    </xf>
    <xf numFmtId="49" fontId="18" fillId="0" borderId="15" xfId="25" applyNumberFormat="1" applyFont="1" applyFill="1" applyBorder="1" applyAlignment="1">
      <alignment horizontal="center" vertical="center" wrapText="1"/>
    </xf>
    <xf numFmtId="176" fontId="18" fillId="0" borderId="15" xfId="25" applyNumberFormat="1" applyFont="1" applyFill="1" applyBorder="1" applyAlignment="1">
      <alignment horizontal="center" vertical="center" wrapText="1"/>
    </xf>
    <xf numFmtId="0" fontId="21" fillId="0" borderId="0" xfId="25" applyFont="1" applyBorder="1" applyAlignment="1">
      <alignment horizontal="left" vertical="center"/>
    </xf>
    <xf numFmtId="0" fontId="21" fillId="0" borderId="0" xfId="25" applyFont="1" applyFill="1" applyBorder="1" applyAlignment="1">
      <alignment horizontal="left" vertical="center"/>
    </xf>
    <xf numFmtId="49" fontId="19" fillId="0" borderId="0" xfId="25" applyNumberFormat="1" applyFont="1" applyBorder="1">
      <alignment vertical="center"/>
    </xf>
    <xf numFmtId="0" fontId="52" fillId="0" borderId="0" xfId="25" applyNumberFormat="1" applyFont="1" applyFill="1" applyBorder="1" applyAlignment="1">
      <alignment horizontal="left" vertical="center"/>
    </xf>
    <xf numFmtId="49" fontId="52" fillId="0" borderId="0" xfId="25" applyNumberFormat="1" applyFont="1" applyFill="1" applyBorder="1" applyAlignment="1">
      <alignment horizontal="left" vertical="center"/>
    </xf>
    <xf numFmtId="0" fontId="52" fillId="0" borderId="0" xfId="25" applyFont="1" applyFill="1" applyBorder="1" applyAlignment="1">
      <alignment horizontal="left" vertical="center"/>
    </xf>
    <xf numFmtId="179" fontId="52" fillId="0" borderId="0" xfId="25" applyNumberFormat="1" applyFont="1" applyFill="1" applyBorder="1" applyAlignment="1">
      <alignment horizontal="left" vertical="center"/>
    </xf>
    <xf numFmtId="14" fontId="18" fillId="0" borderId="15" xfId="25" applyNumberFormat="1" applyFont="1" applyFill="1" applyBorder="1" applyAlignment="1">
      <alignment horizontal="center" vertical="center" wrapText="1"/>
    </xf>
    <xf numFmtId="14" fontId="19" fillId="0" borderId="0" xfId="25" applyNumberFormat="1" applyFont="1" applyFill="1" applyBorder="1" applyAlignment="1">
      <alignment horizontal="left" vertical="center"/>
    </xf>
    <xf numFmtId="14" fontId="21" fillId="0" borderId="0" xfId="25" applyNumberFormat="1" applyFont="1" applyFill="1" applyBorder="1" applyAlignment="1">
      <alignment horizontal="left" vertical="center"/>
    </xf>
    <xf numFmtId="0" fontId="51" fillId="0" borderId="0" xfId="0" applyNumberFormat="1" applyFont="1" applyFill="1" applyBorder="1" applyAlignment="1">
      <alignment horizontal="left" vertical="center"/>
    </xf>
    <xf numFmtId="49" fontId="51" fillId="0" borderId="0" xfId="0" applyNumberFormat="1" applyFont="1" applyFill="1" applyBorder="1" applyAlignment="1">
      <alignment horizontal="left" vertical="center"/>
    </xf>
    <xf numFmtId="176" fontId="51" fillId="0" borderId="0" xfId="0" applyNumberFormat="1" applyFont="1" applyFill="1" applyBorder="1" applyAlignment="1">
      <alignment horizontal="left" vertical="center"/>
    </xf>
    <xf numFmtId="14" fontId="51" fillId="0" borderId="10" xfId="0" applyNumberFormat="1" applyFont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14" fontId="52" fillId="17" borderId="10" xfId="0" applyNumberFormat="1" applyFont="1" applyFill="1" applyBorder="1" applyAlignment="1">
      <alignment horizontal="center" vertical="center"/>
    </xf>
    <xf numFmtId="0" fontId="52" fillId="17" borderId="10" xfId="0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left" vertical="center"/>
    </xf>
    <xf numFmtId="14" fontId="54" fillId="0" borderId="0" xfId="25" applyNumberFormat="1" applyFont="1" applyFill="1" applyBorder="1" applyAlignment="1">
      <alignment horizontal="left" vertical="center"/>
    </xf>
    <xf numFmtId="0" fontId="55" fillId="0" borderId="10" xfId="0" applyFont="1" applyBorder="1" applyAlignment="1">
      <alignment horizontal="center" vertical="center"/>
    </xf>
    <xf numFmtId="0" fontId="56" fillId="0" borderId="0" xfId="25" applyNumberFormat="1" applyFont="1" applyFill="1" applyBorder="1" applyAlignment="1">
      <alignment horizontal="left" vertical="center"/>
    </xf>
    <xf numFmtId="176" fontId="56" fillId="0" borderId="0" xfId="25" applyNumberFormat="1" applyFont="1" applyFill="1" applyBorder="1" applyAlignment="1">
      <alignment horizontal="left" vertical="center"/>
    </xf>
    <xf numFmtId="0" fontId="19" fillId="0" borderId="1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49" fontId="19" fillId="0" borderId="0" xfId="0" applyNumberFormat="1" applyFont="1" applyFill="1" applyAlignment="1">
      <alignment vertical="center"/>
    </xf>
    <xf numFmtId="177" fontId="19" fillId="0" borderId="0" xfId="0" applyNumberFormat="1" applyFont="1" applyAlignment="1">
      <alignment horizontal="left" vertical="center"/>
    </xf>
    <xf numFmtId="0" fontId="22" fillId="0" borderId="0" xfId="0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4" fontId="65" fillId="0" borderId="0" xfId="25" applyNumberFormat="1" applyFont="1" applyFill="1" applyBorder="1" applyAlignment="1">
      <alignment horizontal="left" vertical="center"/>
    </xf>
    <xf numFmtId="14" fontId="19" fillId="0" borderId="0" xfId="25" applyNumberFormat="1" applyFont="1" applyBorder="1" applyAlignment="1">
      <alignment horizontal="center" vertical="center"/>
    </xf>
    <xf numFmtId="49" fontId="18" fillId="26" borderId="15" xfId="25" applyNumberFormat="1" applyFont="1" applyFill="1" applyBorder="1" applyAlignment="1">
      <alignment horizontal="center" vertical="center" wrapText="1"/>
    </xf>
    <xf numFmtId="179" fontId="18" fillId="26" borderId="15" xfId="25" applyNumberFormat="1" applyFont="1" applyFill="1" applyBorder="1" applyAlignment="1">
      <alignment horizontal="center" vertical="center" wrapText="1"/>
    </xf>
    <xf numFmtId="14" fontId="18" fillId="26" borderId="15" xfId="25" applyNumberFormat="1" applyFont="1" applyFill="1" applyBorder="1" applyAlignment="1">
      <alignment horizontal="center" vertical="center" wrapText="1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82" fontId="25" fillId="0" borderId="0" xfId="25" applyNumberFormat="1" applyFont="1" applyFill="1" applyBorder="1" applyAlignment="1">
      <alignment horizontal="left" vertical="center"/>
    </xf>
    <xf numFmtId="0" fontId="25" fillId="0" borderId="0" xfId="25" applyNumberFormat="1" applyFont="1" applyFill="1" applyBorder="1" applyAlignment="1">
      <alignment horizontal="left" vertical="center"/>
    </xf>
    <xf numFmtId="49" fontId="25" fillId="0" borderId="0" xfId="25" applyNumberFormat="1" applyFont="1" applyFill="1" applyBorder="1" applyAlignment="1">
      <alignment horizontal="left" vertical="center"/>
    </xf>
    <xf numFmtId="14" fontId="25" fillId="0" borderId="0" xfId="25" applyNumberFormat="1" applyFont="1" applyFill="1" applyBorder="1" applyAlignment="1">
      <alignment horizontal="left" vertical="center"/>
    </xf>
    <xf numFmtId="176" fontId="25" fillId="0" borderId="0" xfId="25" applyNumberFormat="1" applyFont="1" applyFill="1" applyBorder="1" applyAlignment="1">
      <alignment horizontal="left" vertical="center"/>
    </xf>
    <xf numFmtId="179" fontId="25" fillId="0" borderId="0" xfId="25" applyNumberFormat="1" applyFont="1" applyFill="1" applyBorder="1" applyAlignment="1">
      <alignment horizontal="left" vertical="center"/>
    </xf>
    <xf numFmtId="0" fontId="67" fillId="0" borderId="0" xfId="25" applyFont="1" applyFill="1" applyAlignment="1">
      <alignment horizontal="left" vertical="center"/>
    </xf>
    <xf numFmtId="180" fontId="25" fillId="0" borderId="0" xfId="25" applyNumberFormat="1" applyFont="1" applyFill="1" applyBorder="1" applyAlignment="1">
      <alignment horizontal="left" vertical="center"/>
    </xf>
    <xf numFmtId="177" fontId="25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8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8" fillId="0" borderId="10" xfId="0" applyNumberFormat="1" applyFont="1" applyFill="1" applyBorder="1" applyAlignment="1">
      <alignment horizontal="center" vertical="center" wrapText="1"/>
    </xf>
    <xf numFmtId="0" fontId="19" fillId="0" borderId="0" xfId="25" applyNumberFormat="1" applyFont="1" applyFill="1" applyBorder="1" applyAlignment="1">
      <alignment horizontal="left" vertical="center"/>
    </xf>
    <xf numFmtId="49" fontId="19" fillId="0" borderId="0" xfId="0" applyNumberFormat="1" applyFont="1" applyFill="1" applyAlignment="1">
      <alignment horizontal="left" vertical="center"/>
    </xf>
    <xf numFmtId="177" fontId="28" fillId="0" borderId="11" xfId="0" applyNumberFormat="1" applyFont="1" applyFill="1" applyBorder="1" applyAlignment="1">
      <alignment horizontal="center" vertical="center" wrapText="1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48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177" fontId="19" fillId="0" borderId="0" xfId="0" applyNumberFormat="1" applyFont="1" applyFill="1" applyAlignment="1">
      <alignment horizontal="left" vertical="center"/>
    </xf>
    <xf numFmtId="0" fontId="19" fillId="0" borderId="0" xfId="0" applyFont="1" applyFill="1">
      <alignment vertical="center"/>
    </xf>
    <xf numFmtId="0" fontId="19" fillId="30" borderId="0" xfId="0" applyFont="1" applyFill="1" applyAlignment="1">
      <alignment horizontal="left" vertical="center"/>
    </xf>
    <xf numFmtId="177" fontId="19" fillId="30" borderId="0" xfId="0" applyNumberFormat="1" applyFont="1" applyFill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49" fontId="19" fillId="0" borderId="10" xfId="0" applyNumberFormat="1" applyFont="1" applyFill="1" applyBorder="1" applyAlignment="1">
      <alignment horizontal="left" vertical="center"/>
    </xf>
    <xf numFmtId="177" fontId="19" fillId="0" borderId="10" xfId="0" applyNumberFormat="1" applyFont="1" applyFill="1" applyBorder="1" applyAlignment="1">
      <alignment horizontal="left" vertical="center"/>
    </xf>
    <xf numFmtId="181" fontId="25" fillId="0" borderId="10" xfId="0" applyNumberFormat="1" applyFont="1" applyFill="1" applyBorder="1" applyAlignment="1">
      <alignment horizontal="left" vertical="center"/>
    </xf>
    <xf numFmtId="49" fontId="19" fillId="0" borderId="10" xfId="25" applyNumberFormat="1" applyFont="1" applyFill="1" applyBorder="1" applyAlignment="1">
      <alignment horizontal="left" vertical="center"/>
    </xf>
    <xf numFmtId="180" fontId="19" fillId="0" borderId="10" xfId="25" applyNumberFormat="1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center" vertical="center"/>
    </xf>
    <xf numFmtId="49" fontId="18" fillId="0" borderId="10" xfId="0" applyNumberFormat="1" applyFont="1" applyFill="1" applyBorder="1" applyAlignment="1">
      <alignment horizontal="center" vertical="center"/>
    </xf>
    <xf numFmtId="177" fontId="18" fillId="0" borderId="10" xfId="0" applyNumberFormat="1" applyFont="1" applyFill="1" applyBorder="1" applyAlignment="1">
      <alignment horizontal="center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4" fontId="61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82" fontId="18" fillId="0" borderId="10" xfId="0" applyNumberFormat="1" applyFont="1" applyFill="1" applyBorder="1" applyAlignment="1">
      <alignment horizontal="center" vertical="center" wrapText="1"/>
    </xf>
    <xf numFmtId="179" fontId="18" fillId="0" borderId="10" xfId="0" applyNumberFormat="1" applyFont="1" applyFill="1" applyBorder="1" applyAlignment="1">
      <alignment horizontal="center" vertical="center" wrapText="1"/>
    </xf>
    <xf numFmtId="14" fontId="18" fillId="0" borderId="13" xfId="0" applyNumberFormat="1" applyFont="1" applyFill="1" applyBorder="1" applyAlignment="1">
      <alignment horizontal="center" vertical="center" wrapText="1"/>
    </xf>
    <xf numFmtId="176" fontId="18" fillId="0" borderId="10" xfId="0" applyNumberFormat="1" applyFont="1" applyFill="1" applyBorder="1" applyAlignment="1">
      <alignment horizontal="center" vertical="center" wrapText="1"/>
    </xf>
    <xf numFmtId="49" fontId="18" fillId="0" borderId="10" xfId="0" applyNumberFormat="1" applyFont="1" applyFill="1" applyBorder="1" applyAlignment="1">
      <alignment horizontal="center" vertical="center" wrapText="1"/>
    </xf>
    <xf numFmtId="176" fontId="18" fillId="27" borderId="10" xfId="0" applyNumberFormat="1" applyFont="1" applyFill="1" applyBorder="1" applyAlignment="1">
      <alignment horizontal="center" vertical="center" wrapText="1"/>
    </xf>
    <xf numFmtId="49" fontId="18" fillId="27" borderId="10" xfId="0" applyNumberFormat="1" applyFont="1" applyFill="1" applyBorder="1" applyAlignment="1">
      <alignment horizontal="center" vertical="center" wrapText="1"/>
    </xf>
    <xf numFmtId="49" fontId="19" fillId="28" borderId="10" xfId="0" applyNumberFormat="1" applyFont="1" applyFill="1" applyBorder="1" applyAlignment="1">
      <alignment horizontal="center" vertical="center" wrapText="1"/>
    </xf>
    <xf numFmtId="177" fontId="18" fillId="28" borderId="10" xfId="0" applyNumberFormat="1" applyFont="1" applyFill="1" applyBorder="1" applyAlignment="1">
      <alignment horizontal="center" vertical="center" wrapText="1"/>
    </xf>
    <xf numFmtId="182" fontId="18" fillId="28" borderId="11" xfId="0" applyNumberFormat="1" applyFont="1" applyFill="1" applyBorder="1" applyAlignment="1">
      <alignment horizontal="center" vertical="center" wrapText="1"/>
    </xf>
    <xf numFmtId="49" fontId="18" fillId="28" borderId="11" xfId="0" applyNumberFormat="1" applyFont="1" applyFill="1" applyBorder="1" applyAlignment="1">
      <alignment horizontal="center" vertical="center" wrapText="1"/>
    </xf>
    <xf numFmtId="184" fontId="18" fillId="0" borderId="1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80" fontId="18" fillId="0" borderId="10" xfId="0" applyNumberFormat="1" applyFont="1" applyFill="1" applyBorder="1" applyAlignment="1">
      <alignment horizontal="center" vertical="center" wrapText="1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26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49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21" fillId="0" borderId="10" xfId="0" applyFont="1" applyBorder="1" applyAlignment="1">
      <alignment horizontal="center" vertical="center"/>
    </xf>
    <xf numFmtId="49" fontId="21" fillId="0" borderId="10" xfId="0" applyNumberFormat="1" applyFont="1" applyBorder="1">
      <alignment vertical="center"/>
    </xf>
    <xf numFmtId="49" fontId="18" fillId="31" borderId="10" xfId="0" applyNumberFormat="1" applyFont="1" applyFill="1" applyBorder="1" applyAlignment="1">
      <alignment horizontal="center" vertical="center"/>
    </xf>
    <xf numFmtId="0" fontId="18" fillId="31" borderId="10" xfId="0" applyFont="1" applyFill="1" applyBorder="1" applyAlignment="1">
      <alignment horizontal="center" vertical="center"/>
    </xf>
    <xf numFmtId="177" fontId="18" fillId="31" borderId="10" xfId="0" applyNumberFormat="1" applyFont="1" applyFill="1" applyBorder="1" applyAlignment="1">
      <alignment horizontal="center" vertical="center"/>
    </xf>
    <xf numFmtId="0" fontId="19" fillId="31" borderId="0" xfId="0" applyFont="1" applyFill="1" applyAlignment="1">
      <alignment horizontal="center" vertical="center"/>
    </xf>
    <xf numFmtId="49" fontId="67" fillId="31" borderId="10" xfId="0" applyNumberFormat="1" applyFont="1" applyFill="1" applyBorder="1" applyAlignment="1">
      <alignment horizontal="center" vertical="center"/>
    </xf>
    <xf numFmtId="0" fontId="0" fillId="31" borderId="10" xfId="0" applyFill="1" applyBorder="1">
      <alignment vertical="center"/>
    </xf>
    <xf numFmtId="0" fontId="0" fillId="31" borderId="10" xfId="0" applyFill="1" applyBorder="1" applyAlignment="1">
      <alignment horizontal="center" vertical="center"/>
    </xf>
    <xf numFmtId="0" fontId="19" fillId="0" borderId="0" xfId="25" applyNumberFormat="1" applyFont="1" applyFill="1" applyBorder="1" applyAlignment="1">
      <alignment horizontal="center" vertical="center"/>
    </xf>
    <xf numFmtId="0" fontId="20" fillId="0" borderId="0" xfId="25" applyNumberFormat="1" applyFont="1" applyFill="1" applyBorder="1" applyAlignment="1">
      <alignment horizontal="center" vertical="center"/>
    </xf>
    <xf numFmtId="0" fontId="25" fillId="0" borderId="0" xfId="25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 wrapText="1"/>
    </xf>
    <xf numFmtId="0" fontId="69" fillId="0" borderId="0" xfId="0" applyNumberFormat="1" applyFont="1" applyFill="1" applyBorder="1" applyAlignment="1">
      <alignment horizontal="left" vertical="center"/>
    </xf>
    <xf numFmtId="0" fontId="70" fillId="0" borderId="0" xfId="0" applyNumberFormat="1" applyFont="1" applyFill="1" applyBorder="1" applyAlignment="1">
      <alignment horizontal="left" vertical="center"/>
    </xf>
    <xf numFmtId="0" fontId="71" fillId="0" borderId="0" xfId="0" applyFont="1" applyAlignment="1">
      <alignment horizontal="left" vertical="center"/>
    </xf>
    <xf numFmtId="0" fontId="72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182" fontId="19" fillId="0" borderId="0" xfId="0" applyNumberFormat="1" applyFont="1" applyFill="1" applyBorder="1" applyAlignment="1">
      <alignment horizontal="left" vertical="center"/>
    </xf>
    <xf numFmtId="180" fontId="19" fillId="0" borderId="0" xfId="0" applyNumberFormat="1" applyFont="1" applyFill="1" applyBorder="1" applyAlignment="1">
      <alignment horizontal="left" vertical="center"/>
    </xf>
    <xf numFmtId="177" fontId="25" fillId="0" borderId="0" xfId="0" applyNumberFormat="1" applyFont="1" applyFill="1" applyBorder="1" applyAlignment="1">
      <alignment horizontal="left" vertical="center"/>
    </xf>
    <xf numFmtId="177" fontId="19" fillId="0" borderId="0" xfId="0" applyNumberFormat="1" applyFont="1" applyFill="1" applyBorder="1" applyAlignment="1">
      <alignment horizontal="left" vertical="center"/>
    </xf>
    <xf numFmtId="14" fontId="19" fillId="0" borderId="0" xfId="0" applyNumberFormat="1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left" vertical="center"/>
    </xf>
    <xf numFmtId="176" fontId="19" fillId="0" borderId="0" xfId="0" applyNumberFormat="1" applyFont="1" applyFill="1" applyBorder="1" applyAlignment="1">
      <alignment horizontal="left" vertical="center"/>
    </xf>
    <xf numFmtId="0" fontId="19" fillId="0" borderId="10" xfId="0" applyNumberFormat="1" applyFont="1" applyFill="1" applyBorder="1" applyAlignment="1">
      <alignment horizontal="left" vertical="center"/>
    </xf>
    <xf numFmtId="177" fontId="19" fillId="25" borderId="10" xfId="0" applyNumberFormat="1" applyFont="1" applyFill="1" applyBorder="1" applyAlignment="1">
      <alignment horizontal="left" vertical="center"/>
    </xf>
    <xf numFmtId="183" fontId="19" fillId="0" borderId="0" xfId="0" applyNumberFormat="1" applyFont="1" applyFill="1" applyBorder="1" applyAlignment="1">
      <alignment horizontal="left" vertical="center"/>
    </xf>
    <xf numFmtId="180" fontId="25" fillId="0" borderId="0" xfId="0" applyNumberFormat="1" applyFont="1" applyFill="1" applyBorder="1" applyAlignment="1">
      <alignment horizontal="left" vertical="center"/>
    </xf>
    <xf numFmtId="177" fontId="25" fillId="25" borderId="10" xfId="0" applyNumberFormat="1" applyFont="1" applyFill="1" applyBorder="1" applyAlignment="1">
      <alignment horizontal="left" vertical="center"/>
    </xf>
    <xf numFmtId="14" fontId="25" fillId="0" borderId="0" xfId="0" applyNumberFormat="1" applyFont="1" applyFill="1" applyBorder="1" applyAlignment="1">
      <alignment horizontal="left" vertical="center"/>
    </xf>
    <xf numFmtId="49" fontId="25" fillId="0" borderId="0" xfId="0" applyNumberFormat="1" applyFont="1" applyFill="1" applyBorder="1" applyAlignment="1">
      <alignment horizontal="left" vertical="center"/>
    </xf>
    <xf numFmtId="176" fontId="25" fillId="0" borderId="0" xfId="0" applyNumberFormat="1" applyFont="1" applyFill="1" applyBorder="1" applyAlignment="1">
      <alignment horizontal="left" vertical="center"/>
    </xf>
    <xf numFmtId="0" fontId="25" fillId="0" borderId="10" xfId="0" applyNumberFormat="1" applyFont="1" applyFill="1" applyBorder="1" applyAlignment="1">
      <alignment horizontal="left" vertical="center"/>
    </xf>
    <xf numFmtId="181" fontId="19" fillId="0" borderId="0" xfId="0" applyNumberFormat="1" applyFont="1" applyFill="1" applyBorder="1" applyAlignment="1">
      <alignment horizontal="left" vertical="center"/>
    </xf>
    <xf numFmtId="0" fontId="19" fillId="25" borderId="10" xfId="0" applyNumberFormat="1" applyFont="1" applyFill="1" applyBorder="1" applyAlignment="1">
      <alignment horizontal="left" vertical="center"/>
    </xf>
    <xf numFmtId="177" fontId="61" fillId="0" borderId="0" xfId="0" applyNumberFormat="1" applyFont="1" applyFill="1" applyBorder="1" applyAlignment="1">
      <alignment horizontal="left" vertical="center"/>
    </xf>
    <xf numFmtId="0" fontId="19" fillId="24" borderId="0" xfId="0" applyNumberFormat="1" applyFont="1" applyFill="1" applyBorder="1" applyAlignment="1">
      <alignment horizontal="left" vertical="center"/>
    </xf>
    <xf numFmtId="177" fontId="19" fillId="25" borderId="14" xfId="0" applyNumberFormat="1" applyFont="1" applyFill="1" applyBorder="1" applyAlignment="1">
      <alignment horizontal="left" vertical="center"/>
    </xf>
    <xf numFmtId="177" fontId="19" fillId="26" borderId="10" xfId="0" applyNumberFormat="1" applyFont="1" applyFill="1" applyBorder="1" applyAlignment="1">
      <alignment horizontal="left" vertical="center"/>
    </xf>
    <xf numFmtId="184" fontId="19" fillId="0" borderId="0" xfId="0" applyNumberFormat="1" applyFont="1" applyFill="1" applyBorder="1" applyAlignment="1">
      <alignment horizontal="left" vertical="center"/>
    </xf>
    <xf numFmtId="185" fontId="19" fillId="0" borderId="0" xfId="0" applyNumberFormat="1" applyFont="1" applyFill="1" applyBorder="1" applyAlignment="1">
      <alignment horizontal="left" vertical="center"/>
    </xf>
    <xf numFmtId="182" fontId="70" fillId="0" borderId="0" xfId="0" applyNumberFormat="1" applyFont="1" applyFill="1" applyBorder="1" applyAlignment="1">
      <alignment horizontal="left" vertical="center"/>
    </xf>
    <xf numFmtId="180" fontId="70" fillId="0" borderId="0" xfId="0" applyNumberFormat="1" applyFont="1" applyFill="1" applyBorder="1" applyAlignment="1">
      <alignment horizontal="left" vertical="center"/>
    </xf>
    <xf numFmtId="179" fontId="19" fillId="0" borderId="0" xfId="0" applyNumberFormat="1" applyFont="1" applyAlignment="1">
      <alignment horizontal="left" vertical="center"/>
    </xf>
    <xf numFmtId="179" fontId="19" fillId="0" borderId="0" xfId="0" applyNumberFormat="1" applyFont="1" applyFill="1" applyAlignment="1">
      <alignment horizontal="left" vertical="center"/>
    </xf>
    <xf numFmtId="177" fontId="19" fillId="24" borderId="10" xfId="0" applyNumberFormat="1" applyFont="1" applyFill="1" applyBorder="1" applyAlignment="1">
      <alignment horizontal="left" vertical="center"/>
    </xf>
    <xf numFmtId="186" fontId="19" fillId="0" borderId="0" xfId="0" applyNumberFormat="1" applyFont="1" applyFill="1" applyBorder="1" applyAlignment="1">
      <alignment horizontal="left" vertical="center"/>
    </xf>
    <xf numFmtId="0" fontId="19" fillId="24" borderId="10" xfId="0" applyNumberFormat="1" applyFont="1" applyFill="1" applyBorder="1" applyAlignment="1">
      <alignment horizontal="left" vertical="center"/>
    </xf>
    <xf numFmtId="0" fontId="61" fillId="0" borderId="0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horizontal="left" vertical="center" wrapText="1"/>
    </xf>
    <xf numFmtId="177" fontId="19" fillId="25" borderId="13" xfId="0" applyNumberFormat="1" applyFont="1" applyFill="1" applyBorder="1" applyAlignment="1">
      <alignment horizontal="left" vertical="center"/>
    </xf>
    <xf numFmtId="177" fontId="19" fillId="25" borderId="10" xfId="25" applyNumberFormat="1" applyFont="1" applyFill="1" applyBorder="1" applyAlignment="1">
      <alignment horizontal="left" vertical="center"/>
    </xf>
    <xf numFmtId="184" fontId="19" fillId="0" borderId="0" xfId="25" applyNumberFormat="1" applyFont="1" applyFill="1" applyBorder="1" applyAlignment="1">
      <alignment horizontal="left" vertical="center"/>
    </xf>
    <xf numFmtId="177" fontId="19" fillId="24" borderId="10" xfId="25" applyNumberFormat="1" applyFont="1" applyFill="1" applyBorder="1" applyAlignment="1">
      <alignment horizontal="left" vertical="center"/>
    </xf>
    <xf numFmtId="180" fontId="61" fillId="0" borderId="0" xfId="0" applyNumberFormat="1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177" fontId="25" fillId="24" borderId="10" xfId="0" applyNumberFormat="1" applyFont="1" applyFill="1" applyBorder="1" applyAlignment="1">
      <alignment horizontal="left" vertical="center"/>
    </xf>
    <xf numFmtId="184" fontId="25" fillId="0" borderId="0" xfId="0" applyNumberFormat="1" applyFont="1" applyFill="1" applyBorder="1" applyAlignment="1">
      <alignment horizontal="left" vertical="center"/>
    </xf>
    <xf numFmtId="0" fontId="19" fillId="25" borderId="13" xfId="0" applyNumberFormat="1" applyFont="1" applyFill="1" applyBorder="1" applyAlignment="1">
      <alignment horizontal="left" vertical="center"/>
    </xf>
    <xf numFmtId="177" fontId="19" fillId="26" borderId="13" xfId="0" applyNumberFormat="1" applyFont="1" applyFill="1" applyBorder="1" applyAlignment="1">
      <alignment horizontal="left" vertical="center"/>
    </xf>
    <xf numFmtId="0" fontId="19" fillId="29" borderId="0" xfId="0" applyNumberFormat="1" applyFont="1" applyFill="1" applyBorder="1" applyAlignment="1">
      <alignment horizontal="left" vertical="center"/>
    </xf>
    <xf numFmtId="0" fontId="25" fillId="29" borderId="0" xfId="0" applyNumberFormat="1" applyFont="1" applyFill="1" applyBorder="1" applyAlignment="1">
      <alignment horizontal="left" vertical="center"/>
    </xf>
    <xf numFmtId="49" fontId="61" fillId="0" borderId="0" xfId="0" applyNumberFormat="1" applyFont="1" applyFill="1" applyBorder="1" applyAlignment="1">
      <alignment horizontal="left" vertical="center"/>
    </xf>
    <xf numFmtId="182" fontId="61" fillId="0" borderId="0" xfId="0" applyNumberFormat="1" applyFont="1" applyFill="1" applyBorder="1" applyAlignment="1">
      <alignment horizontal="left" vertical="center"/>
    </xf>
    <xf numFmtId="184" fontId="61" fillId="0" borderId="0" xfId="0" applyNumberFormat="1" applyFont="1" applyFill="1" applyBorder="1" applyAlignment="1">
      <alignment horizontal="left" vertical="center"/>
    </xf>
    <xf numFmtId="14" fontId="61" fillId="0" borderId="0" xfId="0" applyNumberFormat="1" applyFont="1" applyFill="1" applyBorder="1" applyAlignment="1">
      <alignment horizontal="left" vertical="center"/>
    </xf>
    <xf numFmtId="0" fontId="19" fillId="26" borderId="10" xfId="0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52" fillId="0" borderId="0" xfId="0" applyFont="1" applyBorder="1" applyAlignment="1">
      <alignment horizontal="center" vertical="center"/>
    </xf>
    <xf numFmtId="14" fontId="51" fillId="0" borderId="0" xfId="0" applyNumberFormat="1" applyFont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182" fontId="19" fillId="32" borderId="0" xfId="25" applyNumberFormat="1" applyFont="1" applyFill="1" applyBorder="1" applyAlignment="1">
      <alignment horizontal="left" vertical="center"/>
    </xf>
    <xf numFmtId="176" fontId="19" fillId="32" borderId="0" xfId="25" applyNumberFormat="1" applyFont="1" applyFill="1" applyBorder="1" applyAlignment="1">
      <alignment horizontal="left" vertical="center"/>
    </xf>
    <xf numFmtId="49" fontId="19" fillId="32" borderId="0" xfId="25" applyNumberFormat="1" applyFont="1" applyFill="1" applyBorder="1" applyAlignment="1">
      <alignment horizontal="left" vertical="center"/>
    </xf>
    <xf numFmtId="179" fontId="19" fillId="32" borderId="0" xfId="25" applyNumberFormat="1" applyFont="1" applyFill="1" applyBorder="1" applyAlignment="1">
      <alignment horizontal="left" vertical="center"/>
    </xf>
    <xf numFmtId="182" fontId="25" fillId="32" borderId="0" xfId="25" applyNumberFormat="1" applyFont="1" applyFill="1" applyBorder="1" applyAlignment="1">
      <alignment horizontal="left" vertical="center"/>
    </xf>
    <xf numFmtId="176" fontId="25" fillId="32" borderId="0" xfId="25" applyNumberFormat="1" applyFont="1" applyFill="1" applyBorder="1" applyAlignment="1">
      <alignment horizontal="left" vertical="center"/>
    </xf>
    <xf numFmtId="49" fontId="25" fillId="32" borderId="0" xfId="25" applyNumberFormat="1" applyFont="1" applyFill="1" applyBorder="1" applyAlignment="1">
      <alignment horizontal="left" vertical="center"/>
    </xf>
    <xf numFmtId="179" fontId="25" fillId="32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0" fillId="26" borderId="10" xfId="0" applyFill="1" applyBorder="1">
      <alignment vertical="center"/>
    </xf>
    <xf numFmtId="0" fontId="21" fillId="0" borderId="10" xfId="0" applyFont="1" applyBorder="1">
      <alignment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49" fontId="0" fillId="0" borderId="10" xfId="0" applyNumberFormat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74" fillId="0" borderId="0" xfId="0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10" xfId="0" applyFont="1" applyFill="1" applyBorder="1">
      <alignment vertical="center"/>
    </xf>
    <xf numFmtId="0" fontId="76" fillId="0" borderId="0" xfId="0" applyFont="1" applyAlignment="1">
      <alignment horizontal="left" vertical="center"/>
    </xf>
    <xf numFmtId="49" fontId="76" fillId="0" borderId="0" xfId="0" applyNumberFormat="1" applyFont="1" applyAlignment="1">
      <alignment horizontal="left" vertical="center"/>
    </xf>
    <xf numFmtId="0" fontId="21" fillId="0" borderId="10" xfId="0" applyFont="1" applyBorder="1" applyAlignment="1">
      <alignment horizontal="righ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61" fillId="0" borderId="10" xfId="0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49" fontId="19" fillId="0" borderId="10" xfId="0" applyNumberFormat="1" applyFont="1" applyFill="1" applyBorder="1" applyAlignment="1">
      <alignment horizontal="center" vertical="center"/>
    </xf>
    <xf numFmtId="177" fontId="18" fillId="0" borderId="10" xfId="0" applyNumberFormat="1" applyFont="1" applyFill="1" applyBorder="1" applyAlignment="1">
      <alignment horizontal="center" vertical="center" wrapText="1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80" fontId="18" fillId="0" borderId="11" xfId="0" applyNumberFormat="1" applyFont="1" applyFill="1" applyBorder="1" applyAlignment="1">
      <alignment horizontal="center" vertical="center" wrapText="1"/>
    </xf>
    <xf numFmtId="177" fontId="20" fillId="0" borderId="0" xfId="0" applyNumberFormat="1" applyFont="1" applyFill="1" applyBorder="1" applyAlignment="1">
      <alignment horizontal="left" vertical="center"/>
    </xf>
    <xf numFmtId="180" fontId="20" fillId="0" borderId="0" xfId="0" applyNumberFormat="1" applyFont="1" applyFill="1" applyBorder="1" applyAlignment="1">
      <alignment horizontal="left" vertical="center"/>
    </xf>
    <xf numFmtId="177" fontId="22" fillId="0" borderId="0" xfId="0" applyNumberFormat="1" applyFont="1" applyFill="1" applyBorder="1" applyAlignment="1">
      <alignment horizontal="left" vertical="center"/>
    </xf>
    <xf numFmtId="177" fontId="77" fillId="0" borderId="0" xfId="0" applyNumberFormat="1" applyFont="1" applyFill="1" applyBorder="1" applyAlignment="1">
      <alignment horizontal="left" vertical="center"/>
    </xf>
    <xf numFmtId="177" fontId="20" fillId="26" borderId="0" xfId="0" applyNumberFormat="1" applyFont="1" applyFill="1" applyBorder="1" applyAlignment="1">
      <alignment horizontal="left" vertical="center"/>
    </xf>
    <xf numFmtId="185" fontId="20" fillId="0" borderId="0" xfId="0" applyNumberFormat="1" applyFont="1" applyFill="1" applyBorder="1" applyAlignment="1">
      <alignment horizontal="left" vertical="center"/>
    </xf>
    <xf numFmtId="177" fontId="20" fillId="0" borderId="0" xfId="25" applyNumberFormat="1" applyFont="1" applyFill="1" applyBorder="1" applyAlignment="1">
      <alignment horizontal="left" vertical="center"/>
    </xf>
    <xf numFmtId="177" fontId="77" fillId="0" borderId="0" xfId="25" applyNumberFormat="1" applyFont="1" applyFill="1" applyBorder="1" applyAlignment="1">
      <alignment horizontal="left" vertical="center"/>
    </xf>
    <xf numFmtId="180" fontId="22" fillId="26" borderId="0" xfId="0" applyNumberFormat="1" applyFont="1" applyFill="1" applyBorder="1" applyAlignment="1">
      <alignment horizontal="left" vertical="center"/>
    </xf>
    <xf numFmtId="180" fontId="77" fillId="0" borderId="0" xfId="0" applyNumberFormat="1" applyFont="1" applyFill="1" applyBorder="1" applyAlignment="1">
      <alignment horizontal="left" vertical="center"/>
    </xf>
    <xf numFmtId="180" fontId="22" fillId="0" borderId="0" xfId="0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77" fontId="19" fillId="0" borderId="10" xfId="0" applyNumberFormat="1" applyFont="1" applyFill="1" applyBorder="1" applyAlignment="1">
      <alignment horizontal="center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0" fillId="0" borderId="10" xfId="0" applyFill="1" applyBorder="1">
      <alignment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61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8" fillId="0" borderId="10" xfId="0" applyNumberFormat="1" applyFont="1" applyFill="1" applyBorder="1" applyAlignment="1">
      <alignment horizontal="left" vertical="center" wrapText="1"/>
    </xf>
    <xf numFmtId="0" fontId="20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49" fontId="78" fillId="0" borderId="0" xfId="0" applyNumberFormat="1" applyFont="1" applyFill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80" fontId="20" fillId="26" borderId="0" xfId="0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82" fontId="79" fillId="0" borderId="15" xfId="25" applyNumberFormat="1" applyFont="1" applyFill="1" applyBorder="1" applyAlignment="1">
      <alignment horizontal="center" vertical="center" wrapText="1"/>
    </xf>
    <xf numFmtId="182" fontId="61" fillId="0" borderId="0" xfId="25" applyNumberFormat="1" applyFont="1" applyFill="1" applyBorder="1" applyAlignment="1">
      <alignment horizontal="left" vertical="center"/>
    </xf>
    <xf numFmtId="182" fontId="61" fillId="32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77" fontId="19" fillId="25" borderId="15" xfId="0" applyNumberFormat="1" applyFont="1" applyFill="1" applyBorder="1" applyAlignment="1">
      <alignment horizontal="left" vertical="center"/>
    </xf>
    <xf numFmtId="177" fontId="19" fillId="25" borderId="12" xfId="0" applyNumberFormat="1" applyFont="1" applyFill="1" applyBorder="1" applyAlignment="1">
      <alignment horizontal="left" vertical="center"/>
    </xf>
    <xf numFmtId="49" fontId="19" fillId="30" borderId="0" xfId="0" applyNumberFormat="1" applyFont="1" applyFill="1" applyAlignment="1">
      <alignment horizontal="center" vertical="center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builtinId="29" customBuiltin="1"/>
    <cellStyle name="强调文字颜色 2" xfId="34" builtinId="33" customBuiltin="1"/>
    <cellStyle name="强调文字颜色 3" xfId="35" builtinId="37" customBuiltin="1"/>
    <cellStyle name="强调文字颜色 4" xfId="36" builtinId="41" customBuiltin="1"/>
    <cellStyle name="强调文字颜色 5" xfId="37" builtinId="45" customBuiltin="1"/>
    <cellStyle name="强调文字颜色 6" xfId="38" builtinId="49" customBuiltin="1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9" defaultPivotStyle="PivotStyleLight16"/>
  <colors>
    <mruColors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84"/>
  <sheetViews>
    <sheetView zoomScaleSheetLayoutView="100" workbookViewId="0">
      <pane xSplit="3" ySplit="1" topLeftCell="D1046" activePane="bottomRight" state="frozen"/>
      <selection pane="topRight" activeCell="D1" sqref="D1"/>
      <selection pane="bottomLeft" activeCell="A2" sqref="A2"/>
      <selection pane="bottomRight" activeCell="B1079" sqref="B1079"/>
    </sheetView>
  </sheetViews>
  <sheetFormatPr defaultRowHeight="12" customHeight="1"/>
  <cols>
    <col min="1" max="1" width="9.625" style="25" customWidth="1"/>
    <col min="2" max="2" width="24.25" style="225" customWidth="1"/>
    <col min="3" max="3" width="7.125" style="219" customWidth="1"/>
    <col min="4" max="4" width="29" style="225" customWidth="1"/>
    <col min="5" max="5" width="11.625" style="28" customWidth="1"/>
    <col min="6" max="6" width="6.625" style="205" customWidth="1"/>
    <col min="7" max="7" width="7.125" style="26" customWidth="1"/>
    <col min="8" max="8" width="11" style="31" customWidth="1"/>
    <col min="9" max="9" width="14.625" style="27" customWidth="1"/>
    <col min="10" max="10" width="14" style="28" customWidth="1"/>
    <col min="11" max="11" width="12.375" style="25" customWidth="1"/>
    <col min="12" max="12" width="5.125" style="412" customWidth="1"/>
    <col min="13" max="13" width="13.875" style="56" customWidth="1"/>
    <col min="14" max="14" width="8" style="29" customWidth="1"/>
    <col min="15" max="15" width="8.5" style="28" customWidth="1"/>
    <col min="16" max="16" width="9.375" style="32" customWidth="1"/>
    <col min="17" max="17" width="9.625" style="56" customWidth="1"/>
    <col min="18" max="18" width="13.75" style="26" customWidth="1"/>
    <col min="19" max="19" width="16.625" style="26" customWidth="1"/>
    <col min="20" max="33" width="9" style="26"/>
    <col min="34" max="16384" width="9" style="35"/>
  </cols>
  <sheetData>
    <row r="1" spans="1:33" s="39" customFormat="1" ht="24">
      <c r="A1" s="40" t="s">
        <v>215</v>
      </c>
      <c r="B1" s="41" t="s">
        <v>216</v>
      </c>
      <c r="C1" s="41" t="s">
        <v>6</v>
      </c>
      <c r="D1" s="41" t="s">
        <v>1108</v>
      </c>
      <c r="E1" s="46" t="s">
        <v>972</v>
      </c>
      <c r="F1" s="42" t="s">
        <v>218</v>
      </c>
      <c r="G1" s="43" t="s">
        <v>144</v>
      </c>
      <c r="H1" s="44" t="s">
        <v>220</v>
      </c>
      <c r="I1" s="45" t="s">
        <v>221</v>
      </c>
      <c r="J1" s="46" t="s">
        <v>1718</v>
      </c>
      <c r="K1" s="40" t="s">
        <v>222</v>
      </c>
      <c r="L1" s="411" t="s">
        <v>7034</v>
      </c>
      <c r="M1" s="55" t="s">
        <v>223</v>
      </c>
      <c r="N1" s="47" t="s">
        <v>224</v>
      </c>
      <c r="O1" s="89" t="s">
        <v>225</v>
      </c>
      <c r="P1" s="90" t="s">
        <v>965</v>
      </c>
      <c r="Q1" s="91" t="s">
        <v>226</v>
      </c>
      <c r="R1" s="39" t="s">
        <v>227</v>
      </c>
      <c r="S1" s="39" t="s">
        <v>794</v>
      </c>
    </row>
    <row r="2" spans="1:33" s="33" customFormat="1" ht="13.5" customHeight="1">
      <c r="A2" s="25">
        <v>41012</v>
      </c>
      <c r="B2" s="225" t="s">
        <v>1975</v>
      </c>
      <c r="C2" s="219" t="s">
        <v>756</v>
      </c>
      <c r="D2" s="225" t="s">
        <v>240</v>
      </c>
      <c r="E2" s="28">
        <v>6200</v>
      </c>
      <c r="F2" s="119">
        <v>6</v>
      </c>
      <c r="G2" s="26" t="s">
        <v>229</v>
      </c>
      <c r="H2" s="30">
        <v>53.08</v>
      </c>
      <c r="I2" s="27">
        <f>F2*H2</f>
        <v>318.48</v>
      </c>
      <c r="J2" s="28"/>
      <c r="K2" s="25" t="s">
        <v>5464</v>
      </c>
      <c r="L2" s="412"/>
      <c r="M2" s="25">
        <v>41022</v>
      </c>
      <c r="N2" s="29" t="s">
        <v>255</v>
      </c>
      <c r="O2" s="28" t="s">
        <v>256</v>
      </c>
      <c r="P2" s="32">
        <v>45118.03</v>
      </c>
      <c r="Q2" s="56">
        <v>41053</v>
      </c>
      <c r="R2" s="418" t="s">
        <v>257</v>
      </c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33" s="33" customFormat="1" ht="13.5" customHeight="1">
      <c r="A3" s="25">
        <v>41012</v>
      </c>
      <c r="B3" s="225" t="s">
        <v>228</v>
      </c>
      <c r="C3" s="219" t="s">
        <v>756</v>
      </c>
      <c r="D3" s="225" t="s">
        <v>182</v>
      </c>
      <c r="E3" s="28" t="s">
        <v>1862</v>
      </c>
      <c r="F3" s="119">
        <v>50</v>
      </c>
      <c r="G3" s="26" t="s">
        <v>231</v>
      </c>
      <c r="H3" s="30">
        <v>10.7864</v>
      </c>
      <c r="I3" s="27">
        <f>F3*H3</f>
        <v>539.32000000000005</v>
      </c>
      <c r="J3" s="28"/>
      <c r="K3" s="25" t="s">
        <v>5464</v>
      </c>
      <c r="L3" s="412"/>
      <c r="M3" s="25">
        <v>41022</v>
      </c>
      <c r="N3" s="29" t="s">
        <v>255</v>
      </c>
      <c r="O3" s="28" t="s">
        <v>256</v>
      </c>
      <c r="P3" s="32">
        <v>45118.03</v>
      </c>
      <c r="Q3" s="56">
        <v>41053</v>
      </c>
      <c r="R3" s="418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</row>
    <row r="4" spans="1:33" s="33" customFormat="1" ht="15" customHeight="1">
      <c r="A4" s="25">
        <v>41016</v>
      </c>
      <c r="B4" s="225" t="s">
        <v>228</v>
      </c>
      <c r="C4" s="219" t="s">
        <v>756</v>
      </c>
      <c r="D4" s="225" t="s">
        <v>1760</v>
      </c>
      <c r="E4" s="28" t="s">
        <v>234</v>
      </c>
      <c r="F4" s="119">
        <v>2000</v>
      </c>
      <c r="G4" s="26" t="s">
        <v>229</v>
      </c>
      <c r="H4" s="31">
        <v>1.1200000000000001</v>
      </c>
      <c r="I4" s="27">
        <f t="shared" ref="I4:I35" si="0">H4*F4</f>
        <v>2240</v>
      </c>
      <c r="J4" s="28"/>
      <c r="K4" s="25" t="s">
        <v>5464</v>
      </c>
      <c r="L4" s="412"/>
      <c r="M4" s="25" t="s">
        <v>1843</v>
      </c>
      <c r="N4" s="25" t="s">
        <v>1843</v>
      </c>
      <c r="O4" s="28" t="s">
        <v>5295</v>
      </c>
      <c r="P4" s="26"/>
      <c r="Q4" s="56"/>
      <c r="R4" s="26" t="s">
        <v>258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</row>
    <row r="5" spans="1:33" s="33" customFormat="1" ht="13.5" customHeight="1">
      <c r="A5" s="25">
        <v>41017</v>
      </c>
      <c r="B5" s="225" t="s">
        <v>228</v>
      </c>
      <c r="C5" s="219" t="s">
        <v>756</v>
      </c>
      <c r="D5" s="225" t="s">
        <v>353</v>
      </c>
      <c r="E5" s="28" t="s">
        <v>259</v>
      </c>
      <c r="F5" s="119">
        <v>40</v>
      </c>
      <c r="G5" s="26" t="s">
        <v>229</v>
      </c>
      <c r="H5" s="31"/>
      <c r="I5" s="27">
        <f t="shared" si="0"/>
        <v>0</v>
      </c>
      <c r="J5" s="28"/>
      <c r="K5" s="25" t="s">
        <v>5464</v>
      </c>
      <c r="L5" s="412"/>
      <c r="M5" s="25" t="s">
        <v>1843</v>
      </c>
      <c r="N5" s="25" t="s">
        <v>1843</v>
      </c>
      <c r="O5" s="28" t="s">
        <v>5295</v>
      </c>
      <c r="P5" s="26"/>
      <c r="Q5" s="56"/>
      <c r="R5" s="26" t="s">
        <v>260</v>
      </c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</row>
    <row r="6" spans="1:33" s="33" customFormat="1" ht="13.5" customHeight="1">
      <c r="A6" s="25">
        <v>41017</v>
      </c>
      <c r="B6" s="225" t="s">
        <v>228</v>
      </c>
      <c r="C6" s="219" t="s">
        <v>756</v>
      </c>
      <c r="D6" s="225" t="s">
        <v>357</v>
      </c>
      <c r="E6" s="28">
        <v>1711</v>
      </c>
      <c r="F6" s="119">
        <v>15</v>
      </c>
      <c r="G6" s="26" t="s">
        <v>239</v>
      </c>
      <c r="H6" s="31"/>
      <c r="I6" s="27">
        <f t="shared" si="0"/>
        <v>0</v>
      </c>
      <c r="J6" s="28"/>
      <c r="K6" s="25" t="s">
        <v>5464</v>
      </c>
      <c r="L6" s="412"/>
      <c r="M6" s="25" t="s">
        <v>1843</v>
      </c>
      <c r="N6" s="25" t="s">
        <v>1843</v>
      </c>
      <c r="O6" s="28" t="s">
        <v>5295</v>
      </c>
      <c r="P6" s="26"/>
      <c r="Q6" s="56"/>
      <c r="R6" s="26" t="s">
        <v>260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</row>
    <row r="7" spans="1:33" s="33" customFormat="1" ht="11.25" customHeight="1">
      <c r="A7" s="25">
        <v>41017</v>
      </c>
      <c r="B7" s="225" t="s">
        <v>228</v>
      </c>
      <c r="C7" s="219" t="s">
        <v>756</v>
      </c>
      <c r="D7" s="225" t="s">
        <v>1734</v>
      </c>
      <c r="E7" s="28">
        <v>6003</v>
      </c>
      <c r="F7" s="119">
        <v>30</v>
      </c>
      <c r="G7" s="26" t="s">
        <v>229</v>
      </c>
      <c r="H7" s="31"/>
      <c r="I7" s="27">
        <f t="shared" si="0"/>
        <v>0</v>
      </c>
      <c r="J7" s="28"/>
      <c r="K7" s="25" t="s">
        <v>5464</v>
      </c>
      <c r="L7" s="412"/>
      <c r="M7" s="25" t="s">
        <v>1843</v>
      </c>
      <c r="N7" s="25" t="s">
        <v>1843</v>
      </c>
      <c r="O7" s="28" t="s">
        <v>5295</v>
      </c>
      <c r="P7" s="26"/>
      <c r="Q7" s="56"/>
      <c r="R7" s="26" t="s">
        <v>260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</row>
    <row r="8" spans="1:33" s="33" customFormat="1" ht="13.5" customHeight="1">
      <c r="A8" s="25">
        <v>41017</v>
      </c>
      <c r="B8" s="225" t="s">
        <v>253</v>
      </c>
      <c r="C8" s="219" t="s">
        <v>756</v>
      </c>
      <c r="D8" s="225" t="s">
        <v>350</v>
      </c>
      <c r="E8" s="196">
        <v>7502</v>
      </c>
      <c r="F8" s="119">
        <v>20</v>
      </c>
      <c r="G8" s="26" t="s">
        <v>229</v>
      </c>
      <c r="H8" s="31">
        <v>125</v>
      </c>
      <c r="I8" s="27">
        <f t="shared" si="0"/>
        <v>2500</v>
      </c>
      <c r="J8" s="28"/>
      <c r="K8" s="25" t="s">
        <v>5464</v>
      </c>
      <c r="L8" s="412"/>
      <c r="M8" s="25" t="s">
        <v>1843</v>
      </c>
      <c r="N8" s="25" t="s">
        <v>1843</v>
      </c>
      <c r="O8" s="28" t="s">
        <v>5899</v>
      </c>
      <c r="P8" s="343" t="s">
        <v>5899</v>
      </c>
      <c r="Q8" s="56" t="s">
        <v>5899</v>
      </c>
      <c r="R8" s="26" t="s">
        <v>261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</row>
    <row r="9" spans="1:33" s="33" customFormat="1" ht="13.5" customHeight="1">
      <c r="A9" s="25">
        <v>41018</v>
      </c>
      <c r="B9" s="225" t="s">
        <v>228</v>
      </c>
      <c r="C9" s="219" t="s">
        <v>756</v>
      </c>
      <c r="D9" s="5" t="s">
        <v>2009</v>
      </c>
      <c r="E9" s="28" t="s">
        <v>262</v>
      </c>
      <c r="F9" s="119">
        <v>5</v>
      </c>
      <c r="G9" s="26" t="s">
        <v>239</v>
      </c>
      <c r="H9" s="31">
        <v>30.15</v>
      </c>
      <c r="I9" s="27">
        <f t="shared" si="0"/>
        <v>150.75</v>
      </c>
      <c r="J9" s="28"/>
      <c r="K9" s="25">
        <v>41018</v>
      </c>
      <c r="L9" s="412"/>
      <c r="M9" s="25">
        <v>41022</v>
      </c>
      <c r="N9" s="29" t="s">
        <v>255</v>
      </c>
      <c r="O9" s="28" t="s">
        <v>256</v>
      </c>
      <c r="P9" s="32">
        <v>45118.03</v>
      </c>
      <c r="Q9" s="56">
        <v>41053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</row>
    <row r="10" spans="1:33" s="33" customFormat="1" ht="13.5" customHeight="1">
      <c r="A10" s="25">
        <v>41018</v>
      </c>
      <c r="B10" s="225" t="s">
        <v>228</v>
      </c>
      <c r="C10" s="219" t="s">
        <v>756</v>
      </c>
      <c r="D10" s="225" t="s">
        <v>287</v>
      </c>
      <c r="E10" s="28">
        <v>10434</v>
      </c>
      <c r="F10" s="119">
        <v>15</v>
      </c>
      <c r="G10" s="26" t="s">
        <v>239</v>
      </c>
      <c r="H10" s="31">
        <v>16.079999999999998</v>
      </c>
      <c r="I10" s="27">
        <f t="shared" si="0"/>
        <v>241.2</v>
      </c>
      <c r="J10" s="28"/>
      <c r="K10" s="25">
        <v>41018</v>
      </c>
      <c r="L10" s="412"/>
      <c r="M10" s="25">
        <v>41022</v>
      </c>
      <c r="N10" s="29" t="s">
        <v>255</v>
      </c>
      <c r="O10" s="28" t="s">
        <v>256</v>
      </c>
      <c r="P10" s="32">
        <v>45118.03</v>
      </c>
      <c r="Q10" s="56">
        <v>41053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</row>
    <row r="11" spans="1:33" s="33" customFormat="1" ht="13.5" customHeight="1">
      <c r="A11" s="25">
        <v>41018</v>
      </c>
      <c r="B11" s="225" t="s">
        <v>228</v>
      </c>
      <c r="C11" s="219" t="s">
        <v>756</v>
      </c>
      <c r="D11" s="225" t="s">
        <v>307</v>
      </c>
      <c r="E11" s="28">
        <v>1110</v>
      </c>
      <c r="F11" s="119">
        <v>50</v>
      </c>
      <c r="G11" s="26" t="s">
        <v>239</v>
      </c>
      <c r="H11" s="31">
        <v>0.8</v>
      </c>
      <c r="I11" s="27">
        <f t="shared" si="0"/>
        <v>40</v>
      </c>
      <c r="J11" s="28"/>
      <c r="K11" s="25">
        <v>41018</v>
      </c>
      <c r="L11" s="412"/>
      <c r="M11" s="25">
        <v>41022</v>
      </c>
      <c r="N11" s="29" t="s">
        <v>255</v>
      </c>
      <c r="O11" s="28" t="s">
        <v>256</v>
      </c>
      <c r="P11" s="32">
        <v>45118.03</v>
      </c>
      <c r="Q11" s="56">
        <v>41053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1:33" s="33" customFormat="1" ht="16.5" customHeight="1">
      <c r="A12" s="25">
        <v>41018</v>
      </c>
      <c r="B12" s="225" t="s">
        <v>228</v>
      </c>
      <c r="C12" s="219" t="s">
        <v>756</v>
      </c>
      <c r="D12" s="225" t="s">
        <v>241</v>
      </c>
      <c r="E12" s="28" t="s">
        <v>242</v>
      </c>
      <c r="F12" s="119">
        <v>60</v>
      </c>
      <c r="G12" s="26" t="s">
        <v>229</v>
      </c>
      <c r="H12" s="31">
        <v>19.86</v>
      </c>
      <c r="I12" s="27">
        <f t="shared" si="0"/>
        <v>1191.5999999999999</v>
      </c>
      <c r="J12" s="28"/>
      <c r="K12" s="25">
        <v>41018</v>
      </c>
      <c r="L12" s="412"/>
      <c r="M12" s="25">
        <v>41022</v>
      </c>
      <c r="N12" s="29" t="s">
        <v>255</v>
      </c>
      <c r="O12" s="28" t="s">
        <v>256</v>
      </c>
      <c r="P12" s="32">
        <v>45118.03</v>
      </c>
      <c r="Q12" s="56">
        <v>41053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3" s="33" customFormat="1" ht="13.5" customHeight="1">
      <c r="A13" s="25">
        <v>41018</v>
      </c>
      <c r="B13" s="225" t="s">
        <v>228</v>
      </c>
      <c r="C13" s="219" t="s">
        <v>756</v>
      </c>
      <c r="D13" s="225" t="s">
        <v>232</v>
      </c>
      <c r="E13" s="28" t="s">
        <v>233</v>
      </c>
      <c r="F13" s="119">
        <v>100</v>
      </c>
      <c r="G13" s="26" t="s">
        <v>231</v>
      </c>
      <c r="H13" s="31">
        <v>6.16</v>
      </c>
      <c r="I13" s="27">
        <f t="shared" si="0"/>
        <v>616</v>
      </c>
      <c r="J13" s="28"/>
      <c r="K13" s="25">
        <v>41018</v>
      </c>
      <c r="L13" s="412"/>
      <c r="M13" s="25">
        <v>41022</v>
      </c>
      <c r="N13" s="29" t="s">
        <v>255</v>
      </c>
      <c r="O13" s="28" t="s">
        <v>256</v>
      </c>
      <c r="P13" s="32">
        <v>45118.03</v>
      </c>
      <c r="Q13" s="56">
        <v>41053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3" s="33" customFormat="1" ht="13.5" customHeight="1">
      <c r="A14" s="25">
        <v>41018</v>
      </c>
      <c r="B14" s="225" t="s">
        <v>228</v>
      </c>
      <c r="C14" s="219" t="s">
        <v>756</v>
      </c>
      <c r="D14" s="225" t="s">
        <v>263</v>
      </c>
      <c r="E14" s="28">
        <v>501</v>
      </c>
      <c r="F14" s="119">
        <v>60</v>
      </c>
      <c r="G14" s="26" t="s">
        <v>229</v>
      </c>
      <c r="H14" s="31">
        <v>1.81</v>
      </c>
      <c r="I14" s="27">
        <f t="shared" si="0"/>
        <v>108.60000000000001</v>
      </c>
      <c r="J14" s="28"/>
      <c r="K14" s="25">
        <v>41018</v>
      </c>
      <c r="L14" s="412"/>
      <c r="M14" s="25">
        <v>41022</v>
      </c>
      <c r="N14" s="29" t="s">
        <v>255</v>
      </c>
      <c r="O14" s="28" t="s">
        <v>256</v>
      </c>
      <c r="P14" s="32">
        <v>45118.03</v>
      </c>
      <c r="Q14" s="56">
        <v>41053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3" s="26" customFormat="1" ht="13.5" customHeight="1">
      <c r="A15" s="25">
        <v>41018</v>
      </c>
      <c r="B15" s="225" t="s">
        <v>228</v>
      </c>
      <c r="C15" s="219" t="s">
        <v>756</v>
      </c>
      <c r="D15" s="225" t="s">
        <v>842</v>
      </c>
      <c r="E15" s="28">
        <v>16618</v>
      </c>
      <c r="F15" s="119">
        <v>20</v>
      </c>
      <c r="G15" s="26" t="s">
        <v>239</v>
      </c>
      <c r="H15" s="31">
        <v>36.85</v>
      </c>
      <c r="I15" s="27">
        <f t="shared" si="0"/>
        <v>737</v>
      </c>
      <c r="J15" s="28"/>
      <c r="K15" s="25">
        <v>41018</v>
      </c>
      <c r="L15" s="412"/>
      <c r="M15" s="25">
        <v>41022</v>
      </c>
      <c r="N15" s="29" t="s">
        <v>255</v>
      </c>
      <c r="O15" s="28" t="s">
        <v>256</v>
      </c>
      <c r="P15" s="32">
        <v>45118.03</v>
      </c>
      <c r="Q15" s="56">
        <v>41053</v>
      </c>
    </row>
    <row r="16" spans="1:33" s="33" customFormat="1" ht="13.5" customHeight="1">
      <c r="A16" s="25">
        <v>41025</v>
      </c>
      <c r="B16" s="225" t="s">
        <v>228</v>
      </c>
      <c r="C16" s="219" t="s">
        <v>756</v>
      </c>
      <c r="D16" s="225" t="s">
        <v>1865</v>
      </c>
      <c r="E16" s="28" t="s">
        <v>234</v>
      </c>
      <c r="F16" s="119">
        <v>1000</v>
      </c>
      <c r="G16" s="26" t="s">
        <v>229</v>
      </c>
      <c r="H16" s="31">
        <v>1.24</v>
      </c>
      <c r="I16" s="27">
        <f t="shared" si="0"/>
        <v>1240</v>
      </c>
      <c r="J16" s="28"/>
      <c r="K16" s="25">
        <v>41025</v>
      </c>
      <c r="L16" s="412"/>
      <c r="M16" s="25">
        <v>41025</v>
      </c>
      <c r="N16" s="29" t="s">
        <v>255</v>
      </c>
      <c r="O16" s="28" t="s">
        <v>256</v>
      </c>
      <c r="P16" s="32">
        <v>45118.03</v>
      </c>
      <c r="Q16" s="56">
        <v>41053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s="33" customFormat="1" ht="13.5" customHeight="1">
      <c r="A17" s="25">
        <v>41025</v>
      </c>
      <c r="B17" s="225" t="s">
        <v>228</v>
      </c>
      <c r="C17" s="219" t="s">
        <v>756</v>
      </c>
      <c r="D17" s="5" t="s">
        <v>2012</v>
      </c>
      <c r="E17" s="28" t="s">
        <v>245</v>
      </c>
      <c r="F17" s="119">
        <v>1000</v>
      </c>
      <c r="G17" s="26" t="s">
        <v>229</v>
      </c>
      <c r="H17" s="31">
        <v>1.66</v>
      </c>
      <c r="I17" s="27">
        <f t="shared" si="0"/>
        <v>1660</v>
      </c>
      <c r="J17" s="28"/>
      <c r="K17" s="25">
        <v>41025</v>
      </c>
      <c r="L17" s="412"/>
      <c r="M17" s="25">
        <v>41025</v>
      </c>
      <c r="N17" s="29" t="s">
        <v>255</v>
      </c>
      <c r="O17" s="28" t="s">
        <v>256</v>
      </c>
      <c r="P17" s="32">
        <v>45118.03</v>
      </c>
      <c r="Q17" s="56">
        <v>41053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s="33" customFormat="1" ht="13.5" customHeight="1">
      <c r="A18" s="25">
        <v>41025</v>
      </c>
      <c r="B18" s="225" t="s">
        <v>228</v>
      </c>
      <c r="C18" s="219" t="s">
        <v>756</v>
      </c>
      <c r="D18" s="225" t="s">
        <v>681</v>
      </c>
      <c r="E18" s="28" t="s">
        <v>265</v>
      </c>
      <c r="F18" s="119">
        <v>500</v>
      </c>
      <c r="G18" s="26" t="s">
        <v>239</v>
      </c>
      <c r="H18" s="31">
        <v>3.31</v>
      </c>
      <c r="I18" s="27">
        <f t="shared" si="0"/>
        <v>1655</v>
      </c>
      <c r="J18" s="28"/>
      <c r="K18" s="25">
        <v>41025</v>
      </c>
      <c r="L18" s="412"/>
      <c r="M18" s="25">
        <v>41025</v>
      </c>
      <c r="N18" s="29" t="s">
        <v>255</v>
      </c>
      <c r="O18" s="28" t="s">
        <v>256</v>
      </c>
      <c r="P18" s="32">
        <v>45118.03</v>
      </c>
      <c r="Q18" s="56">
        <v>41053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33" s="33" customFormat="1" ht="13.5" customHeight="1">
      <c r="A19" s="25">
        <v>41025</v>
      </c>
      <c r="B19" s="225" t="s">
        <v>228</v>
      </c>
      <c r="C19" s="219" t="s">
        <v>756</v>
      </c>
      <c r="D19" s="342" t="s">
        <v>1872</v>
      </c>
      <c r="E19" s="28" t="s">
        <v>248</v>
      </c>
      <c r="F19" s="119">
        <v>20</v>
      </c>
      <c r="G19" s="26" t="s">
        <v>239</v>
      </c>
      <c r="H19" s="31">
        <v>15.41</v>
      </c>
      <c r="I19" s="27">
        <f t="shared" si="0"/>
        <v>308.2</v>
      </c>
      <c r="J19" s="28"/>
      <c r="K19" s="25">
        <v>41025</v>
      </c>
      <c r="L19" s="412"/>
      <c r="M19" s="25">
        <v>41025</v>
      </c>
      <c r="N19" s="29" t="s">
        <v>255</v>
      </c>
      <c r="O19" s="28" t="s">
        <v>256</v>
      </c>
      <c r="P19" s="32">
        <v>45118.03</v>
      </c>
      <c r="Q19" s="56">
        <v>41053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s="33" customFormat="1" ht="13.5" customHeight="1">
      <c r="A20" s="25">
        <v>41025</v>
      </c>
      <c r="B20" s="225" t="s">
        <v>228</v>
      </c>
      <c r="C20" s="219" t="s">
        <v>756</v>
      </c>
      <c r="D20" s="225" t="s">
        <v>266</v>
      </c>
      <c r="E20" s="28">
        <v>12308</v>
      </c>
      <c r="F20" s="119">
        <v>20</v>
      </c>
      <c r="G20" s="26" t="s">
        <v>239</v>
      </c>
      <c r="H20" s="31">
        <v>19.43</v>
      </c>
      <c r="I20" s="27">
        <f t="shared" si="0"/>
        <v>388.6</v>
      </c>
      <c r="J20" s="28"/>
      <c r="K20" s="25">
        <v>41025</v>
      </c>
      <c r="L20" s="412"/>
      <c r="M20" s="25">
        <v>41025</v>
      </c>
      <c r="N20" s="29" t="s">
        <v>255</v>
      </c>
      <c r="O20" s="28" t="s">
        <v>256</v>
      </c>
      <c r="P20" s="32">
        <v>45118.03</v>
      </c>
      <c r="Q20" s="56">
        <v>41053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s="33" customFormat="1" ht="13.5" customHeight="1">
      <c r="A21" s="25">
        <v>41025</v>
      </c>
      <c r="B21" s="225" t="s">
        <v>228</v>
      </c>
      <c r="C21" s="219" t="s">
        <v>756</v>
      </c>
      <c r="D21" s="225" t="s">
        <v>287</v>
      </c>
      <c r="E21" s="28">
        <v>10434</v>
      </c>
      <c r="F21" s="119">
        <v>20</v>
      </c>
      <c r="G21" s="26" t="s">
        <v>239</v>
      </c>
      <c r="H21" s="31">
        <v>16.079999999999998</v>
      </c>
      <c r="I21" s="27">
        <f t="shared" si="0"/>
        <v>321.59999999999997</v>
      </c>
      <c r="J21" s="28"/>
      <c r="K21" s="25">
        <v>41025</v>
      </c>
      <c r="L21" s="412"/>
      <c r="M21" s="25">
        <v>41025</v>
      </c>
      <c r="N21" s="29" t="s">
        <v>255</v>
      </c>
      <c r="O21" s="28" t="s">
        <v>256</v>
      </c>
      <c r="P21" s="32">
        <v>45118.03</v>
      </c>
      <c r="Q21" s="56">
        <v>41053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s="33" customFormat="1" ht="13.5" customHeight="1">
      <c r="A22" s="25">
        <v>41027</v>
      </c>
      <c r="B22" s="225" t="s">
        <v>253</v>
      </c>
      <c r="C22" s="219" t="s">
        <v>756</v>
      </c>
      <c r="D22" s="225" t="s">
        <v>263</v>
      </c>
      <c r="E22" s="196">
        <v>501</v>
      </c>
      <c r="F22" s="119">
        <v>10</v>
      </c>
      <c r="G22" s="26" t="s">
        <v>229</v>
      </c>
      <c r="H22" s="31">
        <v>1.75</v>
      </c>
      <c r="I22" s="27">
        <f t="shared" si="0"/>
        <v>17.5</v>
      </c>
      <c r="J22" s="28"/>
      <c r="K22" s="25">
        <v>41027</v>
      </c>
      <c r="L22" s="412"/>
      <c r="M22" s="25">
        <v>41027</v>
      </c>
      <c r="N22" s="29" t="s">
        <v>255</v>
      </c>
      <c r="O22" s="28" t="s">
        <v>267</v>
      </c>
      <c r="P22" s="26">
        <v>1049.6199999999999</v>
      </c>
      <c r="Q22" s="56">
        <v>41047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 s="33" customFormat="1" ht="13.5" customHeight="1">
      <c r="A23" s="25">
        <v>41027</v>
      </c>
      <c r="B23" s="225" t="s">
        <v>253</v>
      </c>
      <c r="C23" s="219" t="s">
        <v>756</v>
      </c>
      <c r="D23" s="225" t="s">
        <v>232</v>
      </c>
      <c r="E23" s="196" t="s">
        <v>233</v>
      </c>
      <c r="F23" s="119">
        <v>10</v>
      </c>
      <c r="G23" s="194" t="s">
        <v>231</v>
      </c>
      <c r="H23" s="31">
        <v>6</v>
      </c>
      <c r="I23" s="27">
        <f t="shared" si="0"/>
        <v>60</v>
      </c>
      <c r="J23" s="28"/>
      <c r="K23" s="25">
        <v>41027</v>
      </c>
      <c r="L23" s="412"/>
      <c r="M23" s="25">
        <v>41027</v>
      </c>
      <c r="N23" s="29" t="s">
        <v>255</v>
      </c>
      <c r="O23" s="28" t="s">
        <v>267</v>
      </c>
      <c r="P23" s="26">
        <v>1049.6199999999999</v>
      </c>
      <c r="Q23" s="56">
        <v>41047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s="33" customFormat="1" ht="13.5" customHeight="1">
      <c r="A24" s="25">
        <v>41027</v>
      </c>
      <c r="B24" s="225" t="s">
        <v>253</v>
      </c>
      <c r="C24" s="219" t="s">
        <v>756</v>
      </c>
      <c r="D24" s="225" t="s">
        <v>350</v>
      </c>
      <c r="E24" s="196">
        <v>7502</v>
      </c>
      <c r="F24" s="119">
        <v>5</v>
      </c>
      <c r="G24" s="26" t="s">
        <v>229</v>
      </c>
      <c r="H24" s="31">
        <v>125</v>
      </c>
      <c r="I24" s="27">
        <f t="shared" si="0"/>
        <v>625</v>
      </c>
      <c r="J24" s="28"/>
      <c r="K24" s="25">
        <v>41027</v>
      </c>
      <c r="L24" s="412"/>
      <c r="M24" s="25">
        <v>41027</v>
      </c>
      <c r="N24" s="29" t="s">
        <v>255</v>
      </c>
      <c r="O24" s="28" t="s">
        <v>267</v>
      </c>
      <c r="P24" s="26">
        <v>1049.6199999999999</v>
      </c>
      <c r="Q24" s="56">
        <v>41047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s="33" customFormat="1" ht="13.5" customHeight="1">
      <c r="A25" s="25">
        <v>41027</v>
      </c>
      <c r="B25" s="225" t="s">
        <v>228</v>
      </c>
      <c r="C25" s="219" t="s">
        <v>756</v>
      </c>
      <c r="D25" s="1" t="s">
        <v>1210</v>
      </c>
      <c r="E25" s="28">
        <v>3200</v>
      </c>
      <c r="F25" s="119">
        <v>40</v>
      </c>
      <c r="G25" s="26" t="s">
        <v>229</v>
      </c>
      <c r="H25" s="26">
        <v>29.164999999999999</v>
      </c>
      <c r="I25" s="27">
        <f t="shared" si="0"/>
        <v>1166.5999999999999</v>
      </c>
      <c r="J25" s="28"/>
      <c r="K25" s="25">
        <v>41027</v>
      </c>
      <c r="L25" s="412"/>
      <c r="M25" s="25">
        <v>41027</v>
      </c>
      <c r="N25" s="29" t="s">
        <v>255</v>
      </c>
      <c r="O25" s="28" t="s">
        <v>256</v>
      </c>
      <c r="P25" s="32">
        <v>45118.03</v>
      </c>
      <c r="Q25" s="56">
        <v>41053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 s="33" customFormat="1" ht="13.5" customHeight="1">
      <c r="A26" s="25">
        <v>41027</v>
      </c>
      <c r="B26" s="225" t="s">
        <v>228</v>
      </c>
      <c r="C26" s="219" t="s">
        <v>756</v>
      </c>
      <c r="D26" s="225" t="s">
        <v>353</v>
      </c>
      <c r="E26" s="28" t="s">
        <v>259</v>
      </c>
      <c r="F26" s="119">
        <v>30</v>
      </c>
      <c r="G26" s="26" t="s">
        <v>229</v>
      </c>
      <c r="H26" s="26">
        <v>13.326000000000001</v>
      </c>
      <c r="I26" s="27">
        <f t="shared" si="0"/>
        <v>399.78000000000003</v>
      </c>
      <c r="J26" s="28"/>
      <c r="K26" s="25">
        <v>41027</v>
      </c>
      <c r="L26" s="412"/>
      <c r="M26" s="25">
        <v>41027</v>
      </c>
      <c r="N26" s="29" t="s">
        <v>255</v>
      </c>
      <c r="O26" s="28" t="s">
        <v>256</v>
      </c>
      <c r="P26" s="32">
        <v>45118.03</v>
      </c>
      <c r="Q26" s="56">
        <v>41053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s="33" customFormat="1" ht="13.5" customHeight="1">
      <c r="A27" s="25">
        <v>41027</v>
      </c>
      <c r="B27" s="225" t="s">
        <v>228</v>
      </c>
      <c r="C27" s="219" t="s">
        <v>756</v>
      </c>
      <c r="D27" s="342" t="s">
        <v>240</v>
      </c>
      <c r="E27" s="28">
        <v>6200</v>
      </c>
      <c r="F27" s="119">
        <v>15</v>
      </c>
      <c r="G27" s="26" t="s">
        <v>229</v>
      </c>
      <c r="H27" s="26">
        <v>53.078000000000003</v>
      </c>
      <c r="I27" s="27">
        <f t="shared" si="0"/>
        <v>796.17000000000007</v>
      </c>
      <c r="J27" s="28"/>
      <c r="K27" s="25">
        <v>41027</v>
      </c>
      <c r="L27" s="412"/>
      <c r="M27" s="25">
        <v>41027</v>
      </c>
      <c r="N27" s="29" t="s">
        <v>255</v>
      </c>
      <c r="O27" s="28" t="s">
        <v>256</v>
      </c>
      <c r="P27" s="32">
        <v>45118.03</v>
      </c>
      <c r="Q27" s="56">
        <v>41053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s="33" customFormat="1" ht="13.5" customHeight="1">
      <c r="A28" s="25">
        <v>41027</v>
      </c>
      <c r="B28" s="225" t="s">
        <v>228</v>
      </c>
      <c r="C28" s="219" t="s">
        <v>756</v>
      </c>
      <c r="D28" s="225" t="s">
        <v>241</v>
      </c>
      <c r="E28" s="28" t="s">
        <v>242</v>
      </c>
      <c r="F28" s="119">
        <v>70</v>
      </c>
      <c r="G28" s="26" t="s">
        <v>229</v>
      </c>
      <c r="H28" s="26">
        <v>19.86</v>
      </c>
      <c r="I28" s="27">
        <f t="shared" si="0"/>
        <v>1390.2</v>
      </c>
      <c r="J28" s="28"/>
      <c r="K28" s="25">
        <v>41027</v>
      </c>
      <c r="L28" s="412"/>
      <c r="M28" s="25">
        <v>41027</v>
      </c>
      <c r="N28" s="29" t="s">
        <v>255</v>
      </c>
      <c r="O28" s="28" t="s">
        <v>256</v>
      </c>
      <c r="P28" s="32">
        <v>45118.03</v>
      </c>
      <c r="Q28" s="56">
        <v>41053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s="33" customFormat="1" ht="13.5" customHeight="1">
      <c r="A29" s="25">
        <v>41027</v>
      </c>
      <c r="B29" s="225" t="s">
        <v>228</v>
      </c>
      <c r="C29" s="219" t="s">
        <v>756</v>
      </c>
      <c r="D29" s="225" t="s">
        <v>1866</v>
      </c>
      <c r="E29" s="28" t="s">
        <v>269</v>
      </c>
      <c r="F29" s="119">
        <v>100</v>
      </c>
      <c r="G29" s="26" t="s">
        <v>231</v>
      </c>
      <c r="H29" s="31">
        <v>1.484</v>
      </c>
      <c r="I29" s="27">
        <f t="shared" si="0"/>
        <v>148.4</v>
      </c>
      <c r="J29" s="28"/>
      <c r="K29" s="25">
        <v>41027</v>
      </c>
      <c r="L29" s="412"/>
      <c r="M29" s="25">
        <v>41027</v>
      </c>
      <c r="N29" s="29" t="s">
        <v>255</v>
      </c>
      <c r="O29" s="28" t="s">
        <v>256</v>
      </c>
      <c r="P29" s="32">
        <v>45118.03</v>
      </c>
      <c r="Q29" s="56">
        <v>41053</v>
      </c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s="33" customFormat="1" ht="13.5" customHeight="1">
      <c r="A30" s="25">
        <v>41027</v>
      </c>
      <c r="B30" s="225" t="s">
        <v>228</v>
      </c>
      <c r="C30" s="219" t="s">
        <v>756</v>
      </c>
      <c r="D30" s="1" t="s">
        <v>1867</v>
      </c>
      <c r="E30" s="28">
        <v>6006</v>
      </c>
      <c r="F30" s="119">
        <v>10</v>
      </c>
      <c r="G30" s="26" t="s">
        <v>229</v>
      </c>
      <c r="H30" s="31">
        <v>57.707999999999998</v>
      </c>
      <c r="I30" s="27">
        <f t="shared" si="0"/>
        <v>577.07999999999993</v>
      </c>
      <c r="J30" s="28"/>
      <c r="K30" s="25">
        <v>41027</v>
      </c>
      <c r="L30" s="412"/>
      <c r="M30" s="25">
        <v>41027</v>
      </c>
      <c r="N30" s="29" t="s">
        <v>255</v>
      </c>
      <c r="O30" s="28" t="s">
        <v>256</v>
      </c>
      <c r="P30" s="32">
        <v>45118.03</v>
      </c>
      <c r="Q30" s="56">
        <v>41053</v>
      </c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s="33" customFormat="1" ht="15" customHeight="1">
      <c r="A31" s="25">
        <v>41031</v>
      </c>
      <c r="B31" s="225" t="s">
        <v>244</v>
      </c>
      <c r="C31" s="219" t="s">
        <v>756</v>
      </c>
      <c r="D31" s="225" t="s">
        <v>270</v>
      </c>
      <c r="E31" s="196">
        <v>7501</v>
      </c>
      <c r="F31" s="119">
        <v>100</v>
      </c>
      <c r="G31" s="26" t="s">
        <v>229</v>
      </c>
      <c r="H31" s="31">
        <v>110.73</v>
      </c>
      <c r="I31" s="27">
        <f t="shared" si="0"/>
        <v>11073</v>
      </c>
      <c r="J31" s="28"/>
      <c r="K31" s="25">
        <v>41031</v>
      </c>
      <c r="L31" s="412"/>
      <c r="M31" s="25">
        <v>41031</v>
      </c>
      <c r="N31" s="29" t="s">
        <v>255</v>
      </c>
      <c r="O31" s="28" t="s">
        <v>271</v>
      </c>
      <c r="P31" s="32">
        <v>18439</v>
      </c>
      <c r="Q31" s="56">
        <v>41054</v>
      </c>
      <c r="R31" s="26"/>
      <c r="S31" s="34" t="s">
        <v>272</v>
      </c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s="33" customFormat="1" ht="15" customHeight="1">
      <c r="A32" s="25">
        <v>41031</v>
      </c>
      <c r="B32" s="225" t="s">
        <v>244</v>
      </c>
      <c r="C32" s="219" t="s">
        <v>756</v>
      </c>
      <c r="D32" s="225" t="s">
        <v>273</v>
      </c>
      <c r="E32" s="196" t="s">
        <v>274</v>
      </c>
      <c r="F32" s="119">
        <v>200</v>
      </c>
      <c r="G32" s="26" t="s">
        <v>229</v>
      </c>
      <c r="H32" s="31">
        <v>30.41</v>
      </c>
      <c r="I32" s="27">
        <f t="shared" si="0"/>
        <v>6082</v>
      </c>
      <c r="J32" s="28"/>
      <c r="K32" s="25">
        <v>41031</v>
      </c>
      <c r="L32" s="412"/>
      <c r="M32" s="25">
        <v>41031</v>
      </c>
      <c r="N32" s="29" t="s">
        <v>255</v>
      </c>
      <c r="O32" s="28" t="s">
        <v>271</v>
      </c>
      <c r="P32" s="32">
        <v>18439</v>
      </c>
      <c r="Q32" s="56">
        <v>41054</v>
      </c>
      <c r="R32" s="26"/>
      <c r="S32" s="34" t="s">
        <v>272</v>
      </c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s="33" customFormat="1" ht="13.5" customHeight="1">
      <c r="A33" s="25">
        <v>41031</v>
      </c>
      <c r="B33" s="225" t="s">
        <v>244</v>
      </c>
      <c r="C33" s="219" t="s">
        <v>756</v>
      </c>
      <c r="D33" s="225" t="s">
        <v>232</v>
      </c>
      <c r="E33" s="196" t="s">
        <v>233</v>
      </c>
      <c r="F33" s="119">
        <v>200</v>
      </c>
      <c r="G33" s="194" t="s">
        <v>231</v>
      </c>
      <c r="H33" s="31">
        <v>5.01</v>
      </c>
      <c r="I33" s="27">
        <f t="shared" si="0"/>
        <v>1002</v>
      </c>
      <c r="J33" s="28"/>
      <c r="K33" s="25">
        <v>41031</v>
      </c>
      <c r="L33" s="412"/>
      <c r="M33" s="25">
        <v>41031</v>
      </c>
      <c r="N33" s="29" t="s">
        <v>255</v>
      </c>
      <c r="O33" s="28" t="s">
        <v>271</v>
      </c>
      <c r="P33" s="32">
        <v>18439</v>
      </c>
      <c r="Q33" s="56">
        <v>41054</v>
      </c>
      <c r="R33" s="26"/>
      <c r="S33" s="34" t="s">
        <v>272</v>
      </c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s="33" customFormat="1" ht="13.5" customHeight="1">
      <c r="A34" s="25">
        <v>41031</v>
      </c>
      <c r="B34" s="225" t="s">
        <v>244</v>
      </c>
      <c r="C34" s="219" t="s">
        <v>756</v>
      </c>
      <c r="D34" s="225" t="s">
        <v>263</v>
      </c>
      <c r="E34" s="196">
        <v>501</v>
      </c>
      <c r="F34" s="119">
        <v>200</v>
      </c>
      <c r="G34" s="26" t="s">
        <v>229</v>
      </c>
      <c r="H34" s="31">
        <v>1.41</v>
      </c>
      <c r="I34" s="27">
        <f t="shared" si="0"/>
        <v>282</v>
      </c>
      <c r="J34" s="28"/>
      <c r="K34" s="25">
        <v>41031</v>
      </c>
      <c r="L34" s="412"/>
      <c r="M34" s="25">
        <v>41031</v>
      </c>
      <c r="N34" s="29" t="s">
        <v>255</v>
      </c>
      <c r="O34" s="28" t="s">
        <v>271</v>
      </c>
      <c r="P34" s="32">
        <v>18439</v>
      </c>
      <c r="Q34" s="56">
        <v>41054</v>
      </c>
      <c r="R34" s="26"/>
      <c r="S34" s="34" t="s">
        <v>272</v>
      </c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s="33" customFormat="1" ht="13.5" customHeight="1">
      <c r="A35" s="25">
        <v>41032</v>
      </c>
      <c r="B35" s="225" t="s">
        <v>228</v>
      </c>
      <c r="C35" s="219" t="s">
        <v>756</v>
      </c>
      <c r="D35" s="1" t="s">
        <v>1210</v>
      </c>
      <c r="E35" s="28">
        <v>3200</v>
      </c>
      <c r="F35" s="119">
        <v>20</v>
      </c>
      <c r="G35" s="26" t="s">
        <v>229</v>
      </c>
      <c r="H35" s="31">
        <v>29.164999999999999</v>
      </c>
      <c r="I35" s="27">
        <f t="shared" si="0"/>
        <v>583.29999999999995</v>
      </c>
      <c r="J35" s="28" t="s">
        <v>275</v>
      </c>
      <c r="K35" s="25">
        <v>41031</v>
      </c>
      <c r="L35" s="412"/>
      <c r="M35" s="25">
        <v>41032</v>
      </c>
      <c r="N35" s="29" t="s">
        <v>255</v>
      </c>
      <c r="O35" s="28" t="s">
        <v>256</v>
      </c>
      <c r="P35" s="32">
        <v>45118.03</v>
      </c>
      <c r="Q35" s="56">
        <v>41053</v>
      </c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s="33" customFormat="1" ht="13.5" customHeight="1">
      <c r="A36" s="25">
        <v>41032</v>
      </c>
      <c r="B36" s="225" t="s">
        <v>228</v>
      </c>
      <c r="C36" s="219" t="s">
        <v>756</v>
      </c>
      <c r="D36" s="225" t="s">
        <v>263</v>
      </c>
      <c r="E36" s="28">
        <v>3700</v>
      </c>
      <c r="F36" s="119">
        <v>20</v>
      </c>
      <c r="G36" s="26" t="s">
        <v>229</v>
      </c>
      <c r="H36" s="31">
        <v>4.8499999999999996</v>
      </c>
      <c r="I36" s="27">
        <f t="shared" ref="I36:I67" si="1">H36*F36</f>
        <v>97</v>
      </c>
      <c r="J36" s="28" t="s">
        <v>275</v>
      </c>
      <c r="K36" s="25">
        <v>41031</v>
      </c>
      <c r="L36" s="412"/>
      <c r="M36" s="25">
        <v>41032</v>
      </c>
      <c r="N36" s="29" t="s">
        <v>255</v>
      </c>
      <c r="O36" s="28" t="s">
        <v>256</v>
      </c>
      <c r="P36" s="32">
        <v>45118.03</v>
      </c>
      <c r="Q36" s="56">
        <v>41053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s="33" customFormat="1" ht="13.5" customHeight="1">
      <c r="A37" s="25">
        <v>41032</v>
      </c>
      <c r="B37" s="225" t="s">
        <v>228</v>
      </c>
      <c r="C37" s="219" t="s">
        <v>756</v>
      </c>
      <c r="D37" s="225" t="s">
        <v>232</v>
      </c>
      <c r="E37" s="28" t="s">
        <v>235</v>
      </c>
      <c r="F37" s="205">
        <v>20</v>
      </c>
      <c r="G37" s="26" t="s">
        <v>231</v>
      </c>
      <c r="H37" s="31">
        <v>1.88</v>
      </c>
      <c r="I37" s="27">
        <f t="shared" si="1"/>
        <v>37.599999999999994</v>
      </c>
      <c r="J37" s="28" t="s">
        <v>275</v>
      </c>
      <c r="K37" s="25">
        <v>41031</v>
      </c>
      <c r="L37" s="412"/>
      <c r="M37" s="25">
        <v>41032</v>
      </c>
      <c r="N37" s="29" t="s">
        <v>255</v>
      </c>
      <c r="O37" s="28" t="s">
        <v>256</v>
      </c>
      <c r="P37" s="32">
        <v>45118.03</v>
      </c>
      <c r="Q37" s="56">
        <v>41053</v>
      </c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s="33" customFormat="1" ht="13.5" customHeight="1">
      <c r="A38" s="25">
        <v>41032</v>
      </c>
      <c r="B38" s="225" t="s">
        <v>228</v>
      </c>
      <c r="C38" s="219" t="s">
        <v>756</v>
      </c>
      <c r="D38" s="225" t="s">
        <v>1865</v>
      </c>
      <c r="E38" s="28" t="s">
        <v>234</v>
      </c>
      <c r="F38" s="119">
        <v>2000</v>
      </c>
      <c r="G38" s="26" t="s">
        <v>229</v>
      </c>
      <c r="H38" s="31">
        <v>1.206</v>
      </c>
      <c r="I38" s="27">
        <f t="shared" si="1"/>
        <v>2412</v>
      </c>
      <c r="J38" s="28" t="s">
        <v>275</v>
      </c>
      <c r="K38" s="25">
        <v>41031</v>
      </c>
      <c r="L38" s="412"/>
      <c r="M38" s="25">
        <v>41032</v>
      </c>
      <c r="N38" s="29" t="s">
        <v>255</v>
      </c>
      <c r="O38" s="28" t="s">
        <v>256</v>
      </c>
      <c r="P38" s="32">
        <v>45118.03</v>
      </c>
      <c r="Q38" s="56">
        <v>41053</v>
      </c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s="33" customFormat="1" ht="13.5" customHeight="1">
      <c r="A39" s="25">
        <v>41033</v>
      </c>
      <c r="B39" s="225" t="s">
        <v>276</v>
      </c>
      <c r="C39" s="219" t="s">
        <v>756</v>
      </c>
      <c r="D39" s="225" t="s">
        <v>277</v>
      </c>
      <c r="E39" s="196">
        <v>9132</v>
      </c>
      <c r="F39" s="119">
        <v>30</v>
      </c>
      <c r="G39" s="26" t="s">
        <v>229</v>
      </c>
      <c r="H39" s="31">
        <v>2.9</v>
      </c>
      <c r="I39" s="27">
        <f t="shared" si="1"/>
        <v>87</v>
      </c>
      <c r="J39" s="28"/>
      <c r="K39" s="25">
        <v>41034</v>
      </c>
      <c r="L39" s="412"/>
      <c r="M39" s="25">
        <v>41033</v>
      </c>
      <c r="N39" s="29" t="s">
        <v>278</v>
      </c>
      <c r="O39" s="28" t="s">
        <v>254</v>
      </c>
      <c r="P39" s="26"/>
      <c r="Q39" s="56"/>
      <c r="R39" s="26"/>
      <c r="S39" s="26" t="s">
        <v>279</v>
      </c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s="33" customFormat="1" ht="13.5" customHeight="1">
      <c r="A40" s="25">
        <v>41033</v>
      </c>
      <c r="B40" s="225" t="s">
        <v>228</v>
      </c>
      <c r="C40" s="219" t="s">
        <v>756</v>
      </c>
      <c r="D40" s="225" t="s">
        <v>353</v>
      </c>
      <c r="E40" s="28" t="s">
        <v>259</v>
      </c>
      <c r="F40" s="119">
        <v>100</v>
      </c>
      <c r="G40" s="26" t="s">
        <v>229</v>
      </c>
      <c r="H40" s="31">
        <v>13.326000000000001</v>
      </c>
      <c r="I40" s="27">
        <f t="shared" si="1"/>
        <v>1332.6000000000001</v>
      </c>
      <c r="J40" s="28" t="s">
        <v>280</v>
      </c>
      <c r="K40" s="25">
        <v>41033</v>
      </c>
      <c r="L40" s="412"/>
      <c r="M40" s="25">
        <v>41040</v>
      </c>
      <c r="N40" s="29" t="s">
        <v>255</v>
      </c>
      <c r="O40" s="28" t="s">
        <v>256</v>
      </c>
      <c r="P40" s="32">
        <v>45118.03</v>
      </c>
      <c r="Q40" s="56">
        <v>41053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s="33" customFormat="1" ht="13.5" customHeight="1">
      <c r="A41" s="25">
        <v>41033</v>
      </c>
      <c r="B41" s="225" t="s">
        <v>228</v>
      </c>
      <c r="C41" s="219" t="s">
        <v>756</v>
      </c>
      <c r="D41" s="225" t="s">
        <v>263</v>
      </c>
      <c r="E41" s="28" t="s">
        <v>281</v>
      </c>
      <c r="F41" s="119">
        <v>100</v>
      </c>
      <c r="G41" s="26" t="s">
        <v>229</v>
      </c>
      <c r="H41" s="31">
        <v>2.117</v>
      </c>
      <c r="I41" s="27">
        <f t="shared" si="1"/>
        <v>211.7</v>
      </c>
      <c r="J41" s="28" t="s">
        <v>280</v>
      </c>
      <c r="K41" s="25">
        <v>41033</v>
      </c>
      <c r="L41" s="412"/>
      <c r="M41" s="25">
        <v>41040</v>
      </c>
      <c r="N41" s="29" t="s">
        <v>255</v>
      </c>
      <c r="O41" s="28" t="s">
        <v>256</v>
      </c>
      <c r="P41" s="32">
        <v>45118.03</v>
      </c>
      <c r="Q41" s="56">
        <v>41053</v>
      </c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s="33" customFormat="1" ht="13.5" customHeight="1">
      <c r="A42" s="25">
        <v>41033</v>
      </c>
      <c r="B42" s="225" t="s">
        <v>228</v>
      </c>
      <c r="C42" s="219" t="s">
        <v>756</v>
      </c>
      <c r="D42" s="225" t="s">
        <v>268</v>
      </c>
      <c r="E42" s="28" t="s">
        <v>269</v>
      </c>
      <c r="F42" s="119">
        <v>2000</v>
      </c>
      <c r="G42" s="26" t="s">
        <v>231</v>
      </c>
      <c r="H42" s="31">
        <v>1.484</v>
      </c>
      <c r="I42" s="27">
        <f t="shared" si="1"/>
        <v>2968</v>
      </c>
      <c r="J42" s="28" t="s">
        <v>280</v>
      </c>
      <c r="K42" s="25">
        <v>41033</v>
      </c>
      <c r="L42" s="412"/>
      <c r="M42" s="25">
        <v>41040</v>
      </c>
      <c r="N42" s="29" t="s">
        <v>255</v>
      </c>
      <c r="O42" s="28" t="s">
        <v>256</v>
      </c>
      <c r="P42" s="32">
        <v>45118.03</v>
      </c>
      <c r="Q42" s="56">
        <v>41053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s="33" customFormat="1" ht="13.5" customHeight="1">
      <c r="A43" s="25">
        <v>41037</v>
      </c>
      <c r="B43" s="225" t="s">
        <v>228</v>
      </c>
      <c r="C43" s="219" t="s">
        <v>756</v>
      </c>
      <c r="D43" s="1" t="s">
        <v>1867</v>
      </c>
      <c r="E43" s="28">
        <v>6006</v>
      </c>
      <c r="F43" s="119">
        <v>20</v>
      </c>
      <c r="G43" s="26" t="s">
        <v>229</v>
      </c>
      <c r="H43" s="31">
        <v>57.707999999999998</v>
      </c>
      <c r="I43" s="27">
        <f t="shared" si="1"/>
        <v>1154.1599999999999</v>
      </c>
      <c r="J43" s="28" t="s">
        <v>282</v>
      </c>
      <c r="K43" s="25">
        <v>41037</v>
      </c>
      <c r="L43" s="412"/>
      <c r="M43" s="25">
        <v>41040</v>
      </c>
      <c r="N43" s="29" t="s">
        <v>255</v>
      </c>
      <c r="O43" s="28" t="s">
        <v>256</v>
      </c>
      <c r="P43" s="32">
        <v>45118.03</v>
      </c>
      <c r="Q43" s="56">
        <v>41053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s="33" customFormat="1" ht="13.5" customHeight="1">
      <c r="A44" s="25">
        <v>41037</v>
      </c>
      <c r="B44" s="225" t="s">
        <v>253</v>
      </c>
      <c r="C44" s="219" t="s">
        <v>756</v>
      </c>
      <c r="D44" s="225" t="s">
        <v>283</v>
      </c>
      <c r="E44" s="196">
        <v>6004</v>
      </c>
      <c r="F44" s="119">
        <v>8</v>
      </c>
      <c r="G44" s="26" t="s">
        <v>229</v>
      </c>
      <c r="H44" s="31">
        <v>43.39</v>
      </c>
      <c r="I44" s="27">
        <f t="shared" si="1"/>
        <v>347.12</v>
      </c>
      <c r="J44" s="28" t="s">
        <v>284</v>
      </c>
      <c r="K44" s="25">
        <v>41037</v>
      </c>
      <c r="L44" s="412"/>
      <c r="M44" s="25">
        <v>41037</v>
      </c>
      <c r="N44" s="29" t="s">
        <v>255</v>
      </c>
      <c r="O44" s="28" t="s">
        <v>267</v>
      </c>
      <c r="P44" s="26">
        <v>1049.6199999999999</v>
      </c>
      <c r="Q44" s="56">
        <v>41047</v>
      </c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s="33" customFormat="1" ht="13.5" customHeight="1">
      <c r="A45" s="25">
        <v>41037</v>
      </c>
      <c r="B45" s="225" t="s">
        <v>228</v>
      </c>
      <c r="C45" s="219" t="s">
        <v>756</v>
      </c>
      <c r="D45" s="342" t="s">
        <v>240</v>
      </c>
      <c r="E45" s="28">
        <v>6200</v>
      </c>
      <c r="F45" s="119">
        <v>10</v>
      </c>
      <c r="G45" s="26" t="s">
        <v>229</v>
      </c>
      <c r="H45" s="31">
        <v>53.078000000000003</v>
      </c>
      <c r="I45" s="27">
        <f t="shared" si="1"/>
        <v>530.78</v>
      </c>
      <c r="J45" s="28" t="s">
        <v>285</v>
      </c>
      <c r="K45" s="25">
        <v>41037</v>
      </c>
      <c r="L45" s="412"/>
      <c r="M45" s="25">
        <v>41040</v>
      </c>
      <c r="N45" s="29" t="s">
        <v>255</v>
      </c>
      <c r="O45" s="28" t="s">
        <v>256</v>
      </c>
      <c r="P45" s="32">
        <v>45118.03</v>
      </c>
      <c r="Q45" s="56">
        <v>41053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s="33" customFormat="1" ht="13.5" customHeight="1">
      <c r="A46" s="25">
        <v>41037</v>
      </c>
      <c r="B46" s="225" t="s">
        <v>228</v>
      </c>
      <c r="C46" s="219" t="s">
        <v>756</v>
      </c>
      <c r="D46" s="225" t="s">
        <v>241</v>
      </c>
      <c r="E46" s="28" t="s">
        <v>242</v>
      </c>
      <c r="F46" s="119">
        <v>20</v>
      </c>
      <c r="G46" s="26" t="s">
        <v>229</v>
      </c>
      <c r="H46" s="31">
        <v>19.858000000000001</v>
      </c>
      <c r="I46" s="27">
        <f t="shared" si="1"/>
        <v>397.16</v>
      </c>
      <c r="J46" s="28" t="s">
        <v>285</v>
      </c>
      <c r="K46" s="25">
        <v>41037</v>
      </c>
      <c r="L46" s="412"/>
      <c r="M46" s="25">
        <v>41040</v>
      </c>
      <c r="N46" s="29" t="s">
        <v>255</v>
      </c>
      <c r="O46" s="28" t="s">
        <v>256</v>
      </c>
      <c r="P46" s="32">
        <v>45118.03</v>
      </c>
      <c r="Q46" s="56">
        <v>41053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s="33" customFormat="1" ht="13.5" customHeight="1">
      <c r="A47" s="25">
        <v>41037</v>
      </c>
      <c r="B47" s="225" t="s">
        <v>228</v>
      </c>
      <c r="C47" s="219" t="s">
        <v>756</v>
      </c>
      <c r="D47" s="225" t="s">
        <v>232</v>
      </c>
      <c r="E47" s="28" t="s">
        <v>233</v>
      </c>
      <c r="F47" s="119">
        <v>20</v>
      </c>
      <c r="G47" s="194" t="s">
        <v>231</v>
      </c>
      <c r="H47" s="31">
        <v>6.16</v>
      </c>
      <c r="I47" s="27">
        <f t="shared" si="1"/>
        <v>123.2</v>
      </c>
      <c r="J47" s="28" t="s">
        <v>285</v>
      </c>
      <c r="K47" s="25">
        <v>41037</v>
      </c>
      <c r="L47" s="412"/>
      <c r="M47" s="25">
        <v>41040</v>
      </c>
      <c r="N47" s="29" t="s">
        <v>255</v>
      </c>
      <c r="O47" s="28" t="s">
        <v>256</v>
      </c>
      <c r="P47" s="32">
        <v>45118.03</v>
      </c>
      <c r="Q47" s="56">
        <v>41053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s="33" customFormat="1" ht="13.5" customHeight="1">
      <c r="A48" s="25">
        <v>41037</v>
      </c>
      <c r="B48" s="225" t="s">
        <v>228</v>
      </c>
      <c r="C48" s="219" t="s">
        <v>756</v>
      </c>
      <c r="D48" s="225" t="s">
        <v>263</v>
      </c>
      <c r="E48" s="28">
        <v>501</v>
      </c>
      <c r="F48" s="119">
        <v>20</v>
      </c>
      <c r="G48" s="26" t="s">
        <v>229</v>
      </c>
      <c r="H48" s="31">
        <v>1.81</v>
      </c>
      <c r="I48" s="27">
        <f t="shared" si="1"/>
        <v>36.200000000000003</v>
      </c>
      <c r="J48" s="28" t="s">
        <v>285</v>
      </c>
      <c r="K48" s="25">
        <v>41037</v>
      </c>
      <c r="L48" s="412"/>
      <c r="M48" s="25">
        <v>41040</v>
      </c>
      <c r="N48" s="29" t="s">
        <v>255</v>
      </c>
      <c r="O48" s="28" t="s">
        <v>256</v>
      </c>
      <c r="P48" s="32">
        <v>45118.03</v>
      </c>
      <c r="Q48" s="56">
        <v>41053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s="33" customFormat="1" ht="13.5" customHeight="1">
      <c r="A49" s="25">
        <v>41038</v>
      </c>
      <c r="B49" s="225" t="s">
        <v>228</v>
      </c>
      <c r="C49" s="219" t="s">
        <v>756</v>
      </c>
      <c r="D49" s="225" t="s">
        <v>241</v>
      </c>
      <c r="E49" s="28" t="s">
        <v>242</v>
      </c>
      <c r="F49" s="119">
        <v>20</v>
      </c>
      <c r="G49" s="26" t="s">
        <v>229</v>
      </c>
      <c r="H49" s="31">
        <v>19.858000000000001</v>
      </c>
      <c r="I49" s="27">
        <f t="shared" si="1"/>
        <v>397.16</v>
      </c>
      <c r="J49" s="28" t="s">
        <v>286</v>
      </c>
      <c r="K49" s="25">
        <v>41038</v>
      </c>
      <c r="L49" s="412"/>
      <c r="M49" s="25">
        <v>41040</v>
      </c>
      <c r="N49" s="29" t="s">
        <v>255</v>
      </c>
      <c r="O49" s="28" t="s">
        <v>256</v>
      </c>
      <c r="P49" s="32">
        <v>45118.03</v>
      </c>
      <c r="Q49" s="56">
        <v>41053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s="33" customFormat="1" ht="13.5" customHeight="1">
      <c r="A50" s="25">
        <v>41038</v>
      </c>
      <c r="B50" s="225" t="s">
        <v>228</v>
      </c>
      <c r="C50" s="219" t="s">
        <v>756</v>
      </c>
      <c r="D50" s="225" t="s">
        <v>232</v>
      </c>
      <c r="E50" s="28" t="s">
        <v>233</v>
      </c>
      <c r="F50" s="119">
        <v>20</v>
      </c>
      <c r="G50" s="194" t="s">
        <v>231</v>
      </c>
      <c r="H50" s="31">
        <v>6.16</v>
      </c>
      <c r="I50" s="27">
        <f t="shared" si="1"/>
        <v>123.2</v>
      </c>
      <c r="J50" s="28" t="s">
        <v>286</v>
      </c>
      <c r="K50" s="25">
        <v>41038</v>
      </c>
      <c r="L50" s="412"/>
      <c r="M50" s="25">
        <v>41040</v>
      </c>
      <c r="N50" s="29" t="s">
        <v>255</v>
      </c>
      <c r="O50" s="28" t="s">
        <v>256</v>
      </c>
      <c r="P50" s="32">
        <v>45118.03</v>
      </c>
      <c r="Q50" s="56">
        <v>41053</v>
      </c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s="33" customFormat="1" ht="13.5" customHeight="1">
      <c r="A51" s="25">
        <v>41038</v>
      </c>
      <c r="B51" s="225" t="s">
        <v>228</v>
      </c>
      <c r="C51" s="219" t="s">
        <v>756</v>
      </c>
      <c r="D51" s="1" t="s">
        <v>1868</v>
      </c>
      <c r="E51" s="28">
        <v>10435</v>
      </c>
      <c r="F51" s="119">
        <v>14</v>
      </c>
      <c r="G51" s="26" t="s">
        <v>239</v>
      </c>
      <c r="H51" s="31">
        <v>16.079999999999998</v>
      </c>
      <c r="I51" s="27">
        <f t="shared" si="1"/>
        <v>225.11999999999998</v>
      </c>
      <c r="J51" s="28" t="s">
        <v>286</v>
      </c>
      <c r="K51" s="25">
        <v>41038</v>
      </c>
      <c r="L51" s="412"/>
      <c r="M51" s="25">
        <v>41040</v>
      </c>
      <c r="N51" s="29" t="s">
        <v>255</v>
      </c>
      <c r="O51" s="28" t="s">
        <v>256</v>
      </c>
      <c r="P51" s="32">
        <v>45118.03</v>
      </c>
      <c r="Q51" s="56">
        <v>41053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s="33" customFormat="1" ht="13.5" customHeight="1">
      <c r="A52" s="25">
        <v>41038</v>
      </c>
      <c r="B52" s="225" t="s">
        <v>228</v>
      </c>
      <c r="C52" s="219" t="s">
        <v>756</v>
      </c>
      <c r="D52" s="225" t="s">
        <v>288</v>
      </c>
      <c r="E52" s="28" t="s">
        <v>289</v>
      </c>
      <c r="F52" s="119">
        <v>600</v>
      </c>
      <c r="G52" s="26" t="s">
        <v>239</v>
      </c>
      <c r="H52" s="31">
        <v>1.1779999999999999</v>
      </c>
      <c r="I52" s="27">
        <f t="shared" si="1"/>
        <v>706.8</v>
      </c>
      <c r="J52" s="28" t="s">
        <v>286</v>
      </c>
      <c r="K52" s="25">
        <v>41038</v>
      </c>
      <c r="L52" s="412"/>
      <c r="M52" s="25">
        <v>41040</v>
      </c>
      <c r="N52" s="29" t="s">
        <v>255</v>
      </c>
      <c r="O52" s="28" t="s">
        <v>256</v>
      </c>
      <c r="P52" s="32">
        <v>45118.03</v>
      </c>
      <c r="Q52" s="56">
        <v>41053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s="33" customFormat="1" ht="13.5" customHeight="1">
      <c r="A53" s="25">
        <v>41038</v>
      </c>
      <c r="B53" s="225" t="s">
        <v>228</v>
      </c>
      <c r="C53" s="219" t="s">
        <v>756</v>
      </c>
      <c r="D53" s="225" t="s">
        <v>290</v>
      </c>
      <c r="E53" s="28" t="s">
        <v>291</v>
      </c>
      <c r="F53" s="119">
        <v>10</v>
      </c>
      <c r="G53" s="26" t="s">
        <v>229</v>
      </c>
      <c r="H53" s="31">
        <v>157.68</v>
      </c>
      <c r="I53" s="27">
        <f t="shared" si="1"/>
        <v>1576.8000000000002</v>
      </c>
      <c r="J53" s="28" t="s">
        <v>292</v>
      </c>
      <c r="K53" s="25">
        <v>41038</v>
      </c>
      <c r="L53" s="412"/>
      <c r="M53" s="25">
        <v>41040</v>
      </c>
      <c r="N53" s="29" t="s">
        <v>255</v>
      </c>
      <c r="O53" s="28" t="s">
        <v>256</v>
      </c>
      <c r="P53" s="32">
        <v>45118.03</v>
      </c>
      <c r="Q53" s="56">
        <v>41053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s="33" customFormat="1" ht="13.5" customHeight="1">
      <c r="A54" s="25">
        <v>41038</v>
      </c>
      <c r="B54" s="225" t="s">
        <v>228</v>
      </c>
      <c r="C54" s="219" t="s">
        <v>756</v>
      </c>
      <c r="D54" s="225" t="s">
        <v>293</v>
      </c>
      <c r="E54" s="28">
        <v>7744</v>
      </c>
      <c r="F54" s="119">
        <v>100</v>
      </c>
      <c r="G54" s="26" t="s">
        <v>231</v>
      </c>
      <c r="H54" s="31">
        <v>6.8</v>
      </c>
      <c r="I54" s="27">
        <f t="shared" si="1"/>
        <v>680</v>
      </c>
      <c r="J54" s="28" t="s">
        <v>292</v>
      </c>
      <c r="K54" s="25">
        <v>41038</v>
      </c>
      <c r="L54" s="412"/>
      <c r="M54" s="25">
        <v>41040</v>
      </c>
      <c r="N54" s="29" t="s">
        <v>255</v>
      </c>
      <c r="O54" s="28" t="s">
        <v>256</v>
      </c>
      <c r="P54" s="32">
        <v>45118.03</v>
      </c>
      <c r="Q54" s="56">
        <v>41053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s="33" customFormat="1" ht="13.5" customHeight="1">
      <c r="A55" s="25">
        <v>41038</v>
      </c>
      <c r="B55" s="225" t="s">
        <v>228</v>
      </c>
      <c r="C55" s="219" t="s">
        <v>756</v>
      </c>
      <c r="D55" s="1" t="s">
        <v>1210</v>
      </c>
      <c r="E55" s="28">
        <v>3200</v>
      </c>
      <c r="F55" s="119">
        <v>10</v>
      </c>
      <c r="G55" s="26" t="s">
        <v>229</v>
      </c>
      <c r="H55" s="31">
        <v>28.73</v>
      </c>
      <c r="I55" s="27">
        <f t="shared" si="1"/>
        <v>287.3</v>
      </c>
      <c r="J55" s="28" t="s">
        <v>294</v>
      </c>
      <c r="K55" s="25">
        <v>41038</v>
      </c>
      <c r="L55" s="412"/>
      <c r="M55" s="25">
        <v>41040</v>
      </c>
      <c r="N55" s="29" t="s">
        <v>255</v>
      </c>
      <c r="O55" s="28" t="s">
        <v>256</v>
      </c>
      <c r="P55" s="32">
        <v>45118.03</v>
      </c>
      <c r="Q55" s="56">
        <v>41053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s="33" customFormat="1" ht="13.5" customHeight="1">
      <c r="A56" s="25">
        <v>41038</v>
      </c>
      <c r="B56" s="225" t="s">
        <v>228</v>
      </c>
      <c r="C56" s="219" t="s">
        <v>756</v>
      </c>
      <c r="D56" s="225" t="s">
        <v>295</v>
      </c>
      <c r="E56" s="28">
        <v>3700</v>
      </c>
      <c r="F56" s="119">
        <v>10</v>
      </c>
      <c r="G56" s="26" t="s">
        <v>229</v>
      </c>
      <c r="H56" s="31">
        <v>4.78</v>
      </c>
      <c r="I56" s="27">
        <f t="shared" si="1"/>
        <v>47.800000000000004</v>
      </c>
      <c r="J56" s="28" t="s">
        <v>294</v>
      </c>
      <c r="K56" s="25">
        <v>41038</v>
      </c>
      <c r="L56" s="412"/>
      <c r="M56" s="25">
        <v>41040</v>
      </c>
      <c r="N56" s="29" t="s">
        <v>255</v>
      </c>
      <c r="O56" s="28" t="s">
        <v>256</v>
      </c>
      <c r="P56" s="32">
        <v>45118.03</v>
      </c>
      <c r="Q56" s="56">
        <v>41053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s="33" customFormat="1" ht="13.5" customHeight="1">
      <c r="A57" s="25">
        <v>41038</v>
      </c>
      <c r="B57" s="225" t="s">
        <v>228</v>
      </c>
      <c r="C57" s="219" t="s">
        <v>756</v>
      </c>
      <c r="D57" s="225" t="s">
        <v>232</v>
      </c>
      <c r="E57" s="28" t="s">
        <v>235</v>
      </c>
      <c r="F57" s="205">
        <v>60</v>
      </c>
      <c r="G57" s="26" t="s">
        <v>231</v>
      </c>
      <c r="H57" s="31">
        <v>1.85</v>
      </c>
      <c r="I57" s="27">
        <f t="shared" si="1"/>
        <v>111</v>
      </c>
      <c r="J57" s="28" t="s">
        <v>294</v>
      </c>
      <c r="K57" s="25">
        <v>41038</v>
      </c>
      <c r="L57" s="412"/>
      <c r="M57" s="25">
        <v>41040</v>
      </c>
      <c r="N57" s="29" t="s">
        <v>255</v>
      </c>
      <c r="O57" s="28" t="s">
        <v>256</v>
      </c>
      <c r="P57" s="32">
        <v>45118.03</v>
      </c>
      <c r="Q57" s="56">
        <v>41053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s="33" customFormat="1" ht="13.5" customHeight="1">
      <c r="A58" s="25">
        <v>41038</v>
      </c>
      <c r="B58" s="225" t="s">
        <v>228</v>
      </c>
      <c r="C58" s="219" t="s">
        <v>756</v>
      </c>
      <c r="D58" s="225" t="s">
        <v>246</v>
      </c>
      <c r="E58" s="28">
        <v>4620</v>
      </c>
      <c r="F58" s="119">
        <v>30</v>
      </c>
      <c r="G58" s="26" t="s">
        <v>243</v>
      </c>
      <c r="H58" s="31">
        <v>17.79</v>
      </c>
      <c r="I58" s="27">
        <f t="shared" si="1"/>
        <v>533.69999999999993</v>
      </c>
      <c r="J58" s="28" t="s">
        <v>296</v>
      </c>
      <c r="K58" s="25">
        <v>41038</v>
      </c>
      <c r="L58" s="412"/>
      <c r="M58" s="25">
        <v>41040</v>
      </c>
      <c r="N58" s="29" t="s">
        <v>255</v>
      </c>
      <c r="O58" s="28" t="s">
        <v>256</v>
      </c>
      <c r="P58" s="32">
        <v>45118.03</v>
      </c>
      <c r="Q58" s="56">
        <v>41053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s="33" customFormat="1" ht="13.5" customHeight="1">
      <c r="A59" s="25">
        <v>41040</v>
      </c>
      <c r="B59" s="225" t="s">
        <v>228</v>
      </c>
      <c r="C59" s="219" t="s">
        <v>756</v>
      </c>
      <c r="D59" s="225" t="s">
        <v>297</v>
      </c>
      <c r="E59" s="28">
        <v>9001</v>
      </c>
      <c r="F59" s="119">
        <v>100</v>
      </c>
      <c r="G59" s="26" t="s">
        <v>231</v>
      </c>
      <c r="H59" s="31">
        <v>1.75</v>
      </c>
      <c r="I59" s="27">
        <f t="shared" si="1"/>
        <v>175</v>
      </c>
      <c r="J59" s="28" t="s">
        <v>298</v>
      </c>
      <c r="K59" s="25">
        <v>41040</v>
      </c>
      <c r="L59" s="412"/>
      <c r="M59" s="25">
        <v>41050</v>
      </c>
      <c r="N59" s="29" t="s">
        <v>255</v>
      </c>
      <c r="O59" s="28" t="s">
        <v>256</v>
      </c>
      <c r="P59" s="32">
        <v>45118.03</v>
      </c>
      <c r="Q59" s="56">
        <v>41053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s="33" customFormat="1" ht="13.5" customHeight="1">
      <c r="A60" s="25">
        <v>41040</v>
      </c>
      <c r="B60" s="225" t="s">
        <v>228</v>
      </c>
      <c r="C60" s="219" t="s">
        <v>756</v>
      </c>
      <c r="D60" s="1" t="s">
        <v>1213</v>
      </c>
      <c r="E60" s="28" t="s">
        <v>238</v>
      </c>
      <c r="F60" s="119">
        <v>20</v>
      </c>
      <c r="G60" s="26" t="s">
        <v>239</v>
      </c>
      <c r="H60" s="31">
        <v>13</v>
      </c>
      <c r="I60" s="27">
        <f t="shared" si="1"/>
        <v>260</v>
      </c>
      <c r="J60" s="28" t="s">
        <v>299</v>
      </c>
      <c r="K60" s="25">
        <v>41040</v>
      </c>
      <c r="L60" s="412"/>
      <c r="M60" s="25">
        <v>41040</v>
      </c>
      <c r="N60" s="29" t="s">
        <v>300</v>
      </c>
      <c r="O60" s="28" t="s">
        <v>254</v>
      </c>
      <c r="P60" s="26"/>
      <c r="Q60" s="5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s="33" customFormat="1" ht="13.5" customHeight="1">
      <c r="A61" s="25">
        <v>41043</v>
      </c>
      <c r="B61" s="225" t="s">
        <v>228</v>
      </c>
      <c r="C61" s="219" t="s">
        <v>756</v>
      </c>
      <c r="D61" s="225" t="s">
        <v>301</v>
      </c>
      <c r="E61" s="28" t="s">
        <v>302</v>
      </c>
      <c r="F61" s="119">
        <v>3</v>
      </c>
      <c r="G61" s="26" t="s">
        <v>239</v>
      </c>
      <c r="H61" s="31">
        <v>144.84</v>
      </c>
      <c r="I61" s="27">
        <f t="shared" si="1"/>
        <v>434.52</v>
      </c>
      <c r="J61" s="28" t="s">
        <v>303</v>
      </c>
      <c r="K61" s="25">
        <v>41043</v>
      </c>
      <c r="L61" s="412"/>
      <c r="M61" s="25">
        <v>41044</v>
      </c>
      <c r="N61" s="29" t="s">
        <v>300</v>
      </c>
      <c r="O61" s="28" t="s">
        <v>254</v>
      </c>
      <c r="P61" s="26"/>
      <c r="Q61" s="5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s="33" customFormat="1" ht="13.5" customHeight="1">
      <c r="A62" s="25">
        <v>41043</v>
      </c>
      <c r="B62" s="225" t="s">
        <v>228</v>
      </c>
      <c r="C62" s="219" t="s">
        <v>756</v>
      </c>
      <c r="D62" s="225" t="s">
        <v>304</v>
      </c>
      <c r="E62" s="28">
        <v>1426</v>
      </c>
      <c r="F62" s="119">
        <v>2</v>
      </c>
      <c r="G62" s="26" t="s">
        <v>239</v>
      </c>
      <c r="H62" s="31">
        <v>19.399999999999999</v>
      </c>
      <c r="I62" s="27">
        <f t="shared" si="1"/>
        <v>38.799999999999997</v>
      </c>
      <c r="J62" s="28" t="s">
        <v>303</v>
      </c>
      <c r="K62" s="25">
        <v>41043</v>
      </c>
      <c r="L62" s="412"/>
      <c r="M62" s="25">
        <v>41044</v>
      </c>
      <c r="N62" s="29" t="s">
        <v>300</v>
      </c>
      <c r="O62" s="28" t="s">
        <v>254</v>
      </c>
      <c r="P62" s="26"/>
      <c r="Q62" s="5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s="33" customFormat="1" ht="13.5" customHeight="1">
      <c r="A63" s="25">
        <v>41043</v>
      </c>
      <c r="B63" s="225" t="s">
        <v>228</v>
      </c>
      <c r="C63" s="219" t="s">
        <v>756</v>
      </c>
      <c r="D63" s="225" t="s">
        <v>249</v>
      </c>
      <c r="E63" s="28">
        <v>1427</v>
      </c>
      <c r="F63" s="119">
        <v>2</v>
      </c>
      <c r="G63" s="26" t="s">
        <v>239</v>
      </c>
      <c r="H63" s="31">
        <v>82.36</v>
      </c>
      <c r="I63" s="27">
        <f t="shared" si="1"/>
        <v>164.72</v>
      </c>
      <c r="J63" s="28" t="s">
        <v>303</v>
      </c>
      <c r="K63" s="25">
        <v>41043</v>
      </c>
      <c r="L63" s="412"/>
      <c r="M63" s="25">
        <v>41044</v>
      </c>
      <c r="N63" s="29" t="s">
        <v>300</v>
      </c>
      <c r="O63" s="28" t="s">
        <v>254</v>
      </c>
      <c r="P63" s="26"/>
      <c r="Q63" s="5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s="33" customFormat="1" ht="13.5" customHeight="1">
      <c r="A64" s="25">
        <v>41043</v>
      </c>
      <c r="B64" s="225" t="s">
        <v>228</v>
      </c>
      <c r="C64" s="219" t="s">
        <v>756</v>
      </c>
      <c r="D64" s="225" t="s">
        <v>290</v>
      </c>
      <c r="E64" s="28">
        <v>1436</v>
      </c>
      <c r="F64" s="119">
        <v>2</v>
      </c>
      <c r="G64" s="26" t="s">
        <v>239</v>
      </c>
      <c r="H64" s="31">
        <v>29.67</v>
      </c>
      <c r="I64" s="27">
        <f t="shared" si="1"/>
        <v>59.34</v>
      </c>
      <c r="J64" s="28" t="s">
        <v>303</v>
      </c>
      <c r="K64" s="25">
        <v>41043</v>
      </c>
      <c r="L64" s="412"/>
      <c r="M64" s="25">
        <v>41044</v>
      </c>
      <c r="N64" s="29" t="s">
        <v>300</v>
      </c>
      <c r="O64" s="28" t="s">
        <v>254</v>
      </c>
      <c r="P64" s="26"/>
      <c r="Q64" s="5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s="33" customFormat="1" ht="13.5" customHeight="1">
      <c r="A65" s="25">
        <v>41043</v>
      </c>
      <c r="B65" s="225" t="s">
        <v>228</v>
      </c>
      <c r="C65" s="219" t="s">
        <v>756</v>
      </c>
      <c r="D65" s="225" t="s">
        <v>305</v>
      </c>
      <c r="E65" s="28">
        <v>1270</v>
      </c>
      <c r="F65" s="119">
        <v>10</v>
      </c>
      <c r="G65" s="26" t="s">
        <v>239</v>
      </c>
      <c r="H65" s="31">
        <v>4.6399999999999997</v>
      </c>
      <c r="I65" s="27">
        <f t="shared" si="1"/>
        <v>46.4</v>
      </c>
      <c r="J65" s="28" t="s">
        <v>306</v>
      </c>
      <c r="K65" s="25">
        <v>41043</v>
      </c>
      <c r="L65" s="412"/>
      <c r="M65" s="25">
        <v>41050</v>
      </c>
      <c r="N65" s="29" t="s">
        <v>255</v>
      </c>
      <c r="O65" s="28" t="s">
        <v>256</v>
      </c>
      <c r="P65" s="32">
        <v>45118.03</v>
      </c>
      <c r="Q65" s="56">
        <v>41053</v>
      </c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s="33" customFormat="1" ht="13.5" customHeight="1">
      <c r="A66" s="25">
        <v>41043</v>
      </c>
      <c r="B66" s="225" t="s">
        <v>228</v>
      </c>
      <c r="C66" s="219" t="s">
        <v>756</v>
      </c>
      <c r="D66" s="225" t="s">
        <v>307</v>
      </c>
      <c r="E66" s="28">
        <v>1110</v>
      </c>
      <c r="F66" s="119">
        <v>50</v>
      </c>
      <c r="G66" s="26" t="s">
        <v>239</v>
      </c>
      <c r="H66" s="31">
        <v>0.8</v>
      </c>
      <c r="I66" s="27">
        <f t="shared" si="1"/>
        <v>40</v>
      </c>
      <c r="J66" s="28" t="s">
        <v>306</v>
      </c>
      <c r="K66" s="25">
        <v>41043</v>
      </c>
      <c r="L66" s="412"/>
      <c r="M66" s="25">
        <v>41050</v>
      </c>
      <c r="N66" s="29" t="s">
        <v>255</v>
      </c>
      <c r="O66" s="28" t="s">
        <v>256</v>
      </c>
      <c r="P66" s="32">
        <v>45118.03</v>
      </c>
      <c r="Q66" s="56">
        <v>41053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s="33" customFormat="1" ht="13.5" customHeight="1">
      <c r="A67" s="25">
        <v>41045</v>
      </c>
      <c r="B67" s="225" t="s">
        <v>228</v>
      </c>
      <c r="C67" s="219" t="s">
        <v>756</v>
      </c>
      <c r="D67" s="1" t="s">
        <v>1210</v>
      </c>
      <c r="E67" s="28">
        <v>3200</v>
      </c>
      <c r="F67" s="119">
        <v>100</v>
      </c>
      <c r="G67" s="26" t="s">
        <v>229</v>
      </c>
      <c r="H67" s="31">
        <v>28.73</v>
      </c>
      <c r="I67" s="27">
        <f t="shared" si="1"/>
        <v>2873</v>
      </c>
      <c r="J67" s="28" t="s">
        <v>308</v>
      </c>
      <c r="K67" s="25">
        <v>41045</v>
      </c>
      <c r="L67" s="412"/>
      <c r="M67" s="25">
        <v>41050</v>
      </c>
      <c r="N67" s="29" t="s">
        <v>255</v>
      </c>
      <c r="O67" s="28" t="s">
        <v>256</v>
      </c>
      <c r="P67" s="32">
        <v>45118.03</v>
      </c>
      <c r="Q67" s="56">
        <v>41053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s="33" customFormat="1" ht="13.5" customHeight="1">
      <c r="A68" s="25">
        <v>41045</v>
      </c>
      <c r="B68" s="225" t="s">
        <v>228</v>
      </c>
      <c r="C68" s="219" t="s">
        <v>756</v>
      </c>
      <c r="D68" s="225" t="s">
        <v>295</v>
      </c>
      <c r="E68" s="28">
        <v>3700</v>
      </c>
      <c r="F68" s="119">
        <v>100</v>
      </c>
      <c r="G68" s="26" t="s">
        <v>229</v>
      </c>
      <c r="H68" s="31">
        <v>4.7779999999999996</v>
      </c>
      <c r="I68" s="27">
        <f t="shared" ref="I68:I99" si="2">H68*F68</f>
        <v>477.79999999999995</v>
      </c>
      <c r="J68" s="28" t="s">
        <v>308</v>
      </c>
      <c r="K68" s="25">
        <v>41045</v>
      </c>
      <c r="L68" s="412"/>
      <c r="M68" s="25">
        <v>41050</v>
      </c>
      <c r="N68" s="29" t="s">
        <v>255</v>
      </c>
      <c r="O68" s="28" t="s">
        <v>256</v>
      </c>
      <c r="P68" s="32">
        <v>45118.03</v>
      </c>
      <c r="Q68" s="56">
        <v>41053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s="33" customFormat="1" ht="13.5" customHeight="1">
      <c r="A69" s="25">
        <v>41045</v>
      </c>
      <c r="B69" s="225" t="s">
        <v>228</v>
      </c>
      <c r="C69" s="219" t="s">
        <v>756</v>
      </c>
      <c r="D69" s="225" t="s">
        <v>232</v>
      </c>
      <c r="E69" s="28" t="s">
        <v>235</v>
      </c>
      <c r="F69" s="205">
        <v>5100</v>
      </c>
      <c r="G69" s="26" t="s">
        <v>231</v>
      </c>
      <c r="H69" s="31">
        <v>1.855</v>
      </c>
      <c r="I69" s="27">
        <f t="shared" si="2"/>
        <v>9460.5</v>
      </c>
      <c r="J69" s="28" t="s">
        <v>308</v>
      </c>
      <c r="K69" s="25">
        <v>41045</v>
      </c>
      <c r="L69" s="412"/>
      <c r="M69" s="25">
        <v>41050</v>
      </c>
      <c r="N69" s="29" t="s">
        <v>255</v>
      </c>
      <c r="O69" s="28" t="s">
        <v>256</v>
      </c>
      <c r="P69" s="32">
        <v>45118.03</v>
      </c>
      <c r="Q69" s="56">
        <v>41053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s="33" customFormat="1" ht="13.5" customHeight="1">
      <c r="A70" s="25">
        <v>41045</v>
      </c>
      <c r="B70" s="225" t="s">
        <v>228</v>
      </c>
      <c r="C70" s="219" t="s">
        <v>756</v>
      </c>
      <c r="D70" s="225" t="s">
        <v>232</v>
      </c>
      <c r="E70" s="28" t="s">
        <v>233</v>
      </c>
      <c r="F70" s="119">
        <v>40</v>
      </c>
      <c r="G70" s="194" t="s">
        <v>231</v>
      </c>
      <c r="H70" s="31">
        <v>5.98</v>
      </c>
      <c r="I70" s="27">
        <f t="shared" si="2"/>
        <v>239.20000000000002</v>
      </c>
      <c r="J70" s="28" t="s">
        <v>309</v>
      </c>
      <c r="K70" s="25">
        <v>41045</v>
      </c>
      <c r="L70" s="412"/>
      <c r="M70" s="25">
        <v>41045</v>
      </c>
      <c r="N70" s="29" t="s">
        <v>300</v>
      </c>
      <c r="O70" s="28" t="s">
        <v>254</v>
      </c>
      <c r="P70" s="26"/>
      <c r="Q70" s="5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s="33" customFormat="1" ht="13.5" customHeight="1">
      <c r="A71" s="25">
        <v>41045</v>
      </c>
      <c r="B71" s="225" t="s">
        <v>1976</v>
      </c>
      <c r="C71" s="219" t="s">
        <v>756</v>
      </c>
      <c r="D71" s="1" t="s">
        <v>1210</v>
      </c>
      <c r="E71" s="196">
        <v>3200</v>
      </c>
      <c r="F71" s="119">
        <v>20</v>
      </c>
      <c r="G71" s="26" t="s">
        <v>229</v>
      </c>
      <c r="H71" s="31">
        <v>11.96</v>
      </c>
      <c r="I71" s="27">
        <f t="shared" si="2"/>
        <v>239.20000000000002</v>
      </c>
      <c r="J71" s="28" t="s">
        <v>311</v>
      </c>
      <c r="K71" s="25">
        <v>41045</v>
      </c>
      <c r="L71" s="412"/>
      <c r="M71" s="25">
        <v>41045</v>
      </c>
      <c r="N71" s="29" t="s">
        <v>300</v>
      </c>
      <c r="O71" s="28" t="s">
        <v>254</v>
      </c>
      <c r="P71" s="26"/>
      <c r="Q71" s="5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s="33" customFormat="1" ht="13.5" customHeight="1">
      <c r="A72" s="25">
        <v>41046</v>
      </c>
      <c r="B72" s="225" t="s">
        <v>228</v>
      </c>
      <c r="C72" s="219" t="s">
        <v>756</v>
      </c>
      <c r="D72" s="1" t="s">
        <v>1213</v>
      </c>
      <c r="E72" s="28" t="s">
        <v>238</v>
      </c>
      <c r="F72" s="119">
        <v>50</v>
      </c>
      <c r="G72" s="26" t="s">
        <v>239</v>
      </c>
      <c r="H72" s="31">
        <v>13.4</v>
      </c>
      <c r="I72" s="27">
        <f t="shared" si="2"/>
        <v>670</v>
      </c>
      <c r="J72" s="28" t="s">
        <v>312</v>
      </c>
      <c r="K72" s="25">
        <v>41046</v>
      </c>
      <c r="L72" s="412"/>
      <c r="M72" s="25">
        <v>41050</v>
      </c>
      <c r="N72" s="29" t="s">
        <v>255</v>
      </c>
      <c r="O72" s="28" t="s">
        <v>256</v>
      </c>
      <c r="P72" s="32">
        <v>45118.03</v>
      </c>
      <c r="Q72" s="56">
        <v>41053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s="33" customFormat="1" ht="13.5" customHeight="1">
      <c r="A73" s="25">
        <v>41051</v>
      </c>
      <c r="B73" s="225" t="s">
        <v>253</v>
      </c>
      <c r="C73" s="219" t="s">
        <v>756</v>
      </c>
      <c r="D73" s="225" t="s">
        <v>273</v>
      </c>
      <c r="E73" s="196" t="s">
        <v>274</v>
      </c>
      <c r="F73" s="119">
        <v>1800</v>
      </c>
      <c r="G73" s="26" t="s">
        <v>229</v>
      </c>
      <c r="H73" s="31">
        <v>31</v>
      </c>
      <c r="I73" s="27">
        <f t="shared" si="2"/>
        <v>55800</v>
      </c>
      <c r="J73" s="28" t="s">
        <v>313</v>
      </c>
      <c r="K73" s="25">
        <v>41051</v>
      </c>
      <c r="L73" s="412"/>
      <c r="M73" s="25">
        <v>41051</v>
      </c>
      <c r="N73" s="29" t="s">
        <v>255</v>
      </c>
      <c r="O73" s="28" t="s">
        <v>314</v>
      </c>
      <c r="P73" s="32">
        <v>55800</v>
      </c>
      <c r="Q73" s="56">
        <v>41051</v>
      </c>
      <c r="R73" s="26"/>
      <c r="S73" s="26" t="s">
        <v>315</v>
      </c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s="33" customFormat="1" ht="12.95" customHeight="1">
      <c r="A74" s="25">
        <v>41051</v>
      </c>
      <c r="B74" s="225" t="s">
        <v>316</v>
      </c>
      <c r="C74" s="219" t="s">
        <v>756</v>
      </c>
      <c r="D74" s="342" t="s">
        <v>240</v>
      </c>
      <c r="E74" s="196">
        <v>6200</v>
      </c>
      <c r="F74" s="119">
        <v>360</v>
      </c>
      <c r="G74" s="26" t="s">
        <v>229</v>
      </c>
      <c r="H74" s="31">
        <v>45.8</v>
      </c>
      <c r="I74" s="27">
        <f t="shared" si="2"/>
        <v>16488</v>
      </c>
      <c r="J74" s="28" t="s">
        <v>311</v>
      </c>
      <c r="K74" s="25">
        <v>41051</v>
      </c>
      <c r="L74" s="412"/>
      <c r="M74" s="25">
        <v>41051</v>
      </c>
      <c r="N74" s="29" t="s">
        <v>255</v>
      </c>
      <c r="O74" s="28" t="s">
        <v>317</v>
      </c>
      <c r="P74" s="32">
        <v>36338</v>
      </c>
      <c r="Q74" s="56">
        <v>41051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s="33" customFormat="1" ht="13.5" customHeight="1">
      <c r="A75" s="25">
        <v>41051</v>
      </c>
      <c r="B75" s="225" t="s">
        <v>316</v>
      </c>
      <c r="C75" s="219" t="s">
        <v>756</v>
      </c>
      <c r="D75" s="225" t="s">
        <v>232</v>
      </c>
      <c r="E75" s="196" t="s">
        <v>233</v>
      </c>
      <c r="F75" s="119">
        <v>3700</v>
      </c>
      <c r="G75" s="194" t="s">
        <v>231</v>
      </c>
      <c r="H75" s="31">
        <v>5.0999999999999996</v>
      </c>
      <c r="I75" s="27">
        <f t="shared" si="2"/>
        <v>18870</v>
      </c>
      <c r="J75" s="28" t="s">
        <v>311</v>
      </c>
      <c r="K75" s="25">
        <v>41051</v>
      </c>
      <c r="L75" s="412"/>
      <c r="M75" s="25">
        <v>41051</v>
      </c>
      <c r="N75" s="29" t="s">
        <v>255</v>
      </c>
      <c r="O75" s="28" t="s">
        <v>317</v>
      </c>
      <c r="P75" s="32">
        <v>36338</v>
      </c>
      <c r="Q75" s="56">
        <v>41051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s="33" customFormat="1" ht="13.5" customHeight="1">
      <c r="A76" s="25">
        <v>41051</v>
      </c>
      <c r="B76" s="225" t="s">
        <v>316</v>
      </c>
      <c r="C76" s="219" t="s">
        <v>756</v>
      </c>
      <c r="D76" s="225" t="s">
        <v>1869</v>
      </c>
      <c r="E76" s="196">
        <v>501</v>
      </c>
      <c r="F76" s="119">
        <v>700</v>
      </c>
      <c r="G76" s="72" t="s">
        <v>866</v>
      </c>
      <c r="H76" s="31">
        <v>1.4</v>
      </c>
      <c r="I76" s="27">
        <f t="shared" si="2"/>
        <v>979.99999999999989</v>
      </c>
      <c r="J76" s="28" t="s">
        <v>311</v>
      </c>
      <c r="K76" s="25">
        <v>41051</v>
      </c>
      <c r="L76" s="412"/>
      <c r="M76" s="25">
        <v>41051</v>
      </c>
      <c r="N76" s="29" t="s">
        <v>255</v>
      </c>
      <c r="O76" s="28" t="s">
        <v>317</v>
      </c>
      <c r="P76" s="32">
        <v>36338</v>
      </c>
      <c r="Q76" s="56">
        <v>41051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s="26" customFormat="1" ht="12" customHeight="1">
      <c r="A77" s="25">
        <v>41051</v>
      </c>
      <c r="B77" s="225" t="s">
        <v>228</v>
      </c>
      <c r="C77" s="219" t="s">
        <v>756</v>
      </c>
      <c r="D77" s="225" t="s">
        <v>318</v>
      </c>
      <c r="E77" s="28">
        <v>7772</v>
      </c>
      <c r="F77" s="119">
        <v>10</v>
      </c>
      <c r="G77" s="26" t="s">
        <v>229</v>
      </c>
      <c r="H77" s="31">
        <v>113.67</v>
      </c>
      <c r="I77" s="27">
        <f t="shared" si="2"/>
        <v>1136.7</v>
      </c>
      <c r="J77" s="28" t="s">
        <v>319</v>
      </c>
      <c r="K77" s="25">
        <v>41051</v>
      </c>
      <c r="L77" s="412"/>
      <c r="M77" s="25">
        <v>41052</v>
      </c>
      <c r="N77" s="29" t="s">
        <v>255</v>
      </c>
      <c r="O77" s="28" t="s">
        <v>256</v>
      </c>
      <c r="P77" s="32">
        <v>45118.03</v>
      </c>
      <c r="Q77" s="56">
        <v>41053</v>
      </c>
    </row>
    <row r="78" spans="1:33" s="26" customFormat="1" ht="12" customHeight="1">
      <c r="A78" s="25">
        <v>41051</v>
      </c>
      <c r="B78" s="225" t="s">
        <v>228</v>
      </c>
      <c r="C78" s="219" t="s">
        <v>756</v>
      </c>
      <c r="D78" s="225" t="s">
        <v>293</v>
      </c>
      <c r="E78" s="28">
        <v>7744</v>
      </c>
      <c r="F78" s="119">
        <v>200</v>
      </c>
      <c r="G78" s="26" t="s">
        <v>231</v>
      </c>
      <c r="H78" s="31">
        <v>6.8</v>
      </c>
      <c r="I78" s="27">
        <f t="shared" si="2"/>
        <v>1360</v>
      </c>
      <c r="J78" s="28" t="s">
        <v>319</v>
      </c>
      <c r="K78" s="25">
        <v>41051</v>
      </c>
      <c r="L78" s="412"/>
      <c r="M78" s="25">
        <v>41052</v>
      </c>
      <c r="N78" s="29" t="s">
        <v>255</v>
      </c>
      <c r="O78" s="28" t="s">
        <v>256</v>
      </c>
      <c r="P78" s="32">
        <v>45118.03</v>
      </c>
      <c r="Q78" s="56">
        <v>41053</v>
      </c>
    </row>
    <row r="79" spans="1:33" s="26" customFormat="1" ht="12" customHeight="1">
      <c r="A79" s="25">
        <v>41051</v>
      </c>
      <c r="B79" s="225" t="s">
        <v>228</v>
      </c>
      <c r="C79" s="219" t="s">
        <v>756</v>
      </c>
      <c r="D79" s="225" t="s">
        <v>263</v>
      </c>
      <c r="E79" s="28">
        <v>774</v>
      </c>
      <c r="F79" s="119">
        <v>50</v>
      </c>
      <c r="G79" s="26" t="s">
        <v>229</v>
      </c>
      <c r="H79" s="31">
        <v>6.23</v>
      </c>
      <c r="I79" s="27">
        <f t="shared" si="2"/>
        <v>311.5</v>
      </c>
      <c r="J79" s="28" t="s">
        <v>319</v>
      </c>
      <c r="K79" s="25">
        <v>41051</v>
      </c>
      <c r="L79" s="412"/>
      <c r="M79" s="25">
        <v>41052</v>
      </c>
      <c r="N79" s="29" t="s">
        <v>255</v>
      </c>
      <c r="O79" s="28" t="s">
        <v>256</v>
      </c>
      <c r="P79" s="32">
        <v>45118.03</v>
      </c>
      <c r="Q79" s="56">
        <v>41053</v>
      </c>
    </row>
    <row r="80" spans="1:33" s="33" customFormat="1" ht="13.5" customHeight="1">
      <c r="A80" s="25">
        <v>41053</v>
      </c>
      <c r="B80" s="225" t="s">
        <v>228</v>
      </c>
      <c r="C80" s="219" t="s">
        <v>756</v>
      </c>
      <c r="D80" s="225" t="s">
        <v>1870</v>
      </c>
      <c r="E80" s="28">
        <v>8210</v>
      </c>
      <c r="F80" s="119">
        <v>160</v>
      </c>
      <c r="G80" s="26" t="s">
        <v>684</v>
      </c>
      <c r="H80" s="31">
        <v>4.32</v>
      </c>
      <c r="I80" s="27">
        <f t="shared" si="2"/>
        <v>691.2</v>
      </c>
      <c r="J80" s="28" t="s">
        <v>321</v>
      </c>
      <c r="K80" s="25">
        <v>41053</v>
      </c>
      <c r="L80" s="412"/>
      <c r="M80" s="25">
        <v>41053</v>
      </c>
      <c r="N80" s="29" t="s">
        <v>300</v>
      </c>
      <c r="O80" s="28" t="s">
        <v>254</v>
      </c>
      <c r="P80" s="32"/>
      <c r="Q80" s="5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s="33" customFormat="1" ht="13.5" customHeight="1">
      <c r="A81" s="25">
        <v>41054</v>
      </c>
      <c r="B81" s="225" t="s">
        <v>1975</v>
      </c>
      <c r="C81" s="219" t="s">
        <v>756</v>
      </c>
      <c r="D81" s="225" t="s">
        <v>353</v>
      </c>
      <c r="E81" s="28" t="s">
        <v>259</v>
      </c>
      <c r="F81" s="119">
        <v>21</v>
      </c>
      <c r="G81" s="26" t="s">
        <v>229</v>
      </c>
      <c r="H81" s="31">
        <v>12.93</v>
      </c>
      <c r="I81" s="27">
        <f t="shared" si="2"/>
        <v>271.52999999999997</v>
      </c>
      <c r="J81" s="28" t="s">
        <v>322</v>
      </c>
      <c r="K81" s="25">
        <v>41054</v>
      </c>
      <c r="L81" s="412"/>
      <c r="M81" s="25">
        <v>41054</v>
      </c>
      <c r="N81" s="29" t="s">
        <v>300</v>
      </c>
      <c r="O81" s="28" t="s">
        <v>254</v>
      </c>
      <c r="P81" s="32"/>
      <c r="Q81" s="5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s="26" customFormat="1" ht="12" customHeight="1">
      <c r="A82" s="25">
        <v>41054</v>
      </c>
      <c r="B82" s="225" t="s">
        <v>228</v>
      </c>
      <c r="C82" s="219" t="s">
        <v>756</v>
      </c>
      <c r="D82" s="225" t="s">
        <v>263</v>
      </c>
      <c r="E82" s="28" t="s">
        <v>281</v>
      </c>
      <c r="F82" s="119">
        <v>4</v>
      </c>
      <c r="G82" s="26" t="s">
        <v>229</v>
      </c>
      <c r="H82" s="31">
        <v>2</v>
      </c>
      <c r="I82" s="27">
        <f t="shared" si="2"/>
        <v>8</v>
      </c>
      <c r="J82" s="28" t="s">
        <v>322</v>
      </c>
      <c r="K82" s="25">
        <v>41054</v>
      </c>
      <c r="L82" s="412"/>
      <c r="M82" s="25">
        <v>41054</v>
      </c>
      <c r="N82" s="29" t="s">
        <v>300</v>
      </c>
      <c r="O82" s="28" t="s">
        <v>254</v>
      </c>
      <c r="P82" s="32"/>
      <c r="Q82" s="56"/>
    </row>
    <row r="83" spans="1:33" s="26" customFormat="1" ht="12" customHeight="1">
      <c r="A83" s="25">
        <v>41054</v>
      </c>
      <c r="B83" s="225" t="s">
        <v>228</v>
      </c>
      <c r="C83" s="219" t="s">
        <v>756</v>
      </c>
      <c r="D83" s="225" t="s">
        <v>353</v>
      </c>
      <c r="E83" s="28" t="s">
        <v>259</v>
      </c>
      <c r="F83" s="119">
        <v>40</v>
      </c>
      <c r="G83" s="26" t="s">
        <v>229</v>
      </c>
      <c r="H83" s="31">
        <v>12.93</v>
      </c>
      <c r="I83" s="27">
        <f t="shared" si="2"/>
        <v>517.20000000000005</v>
      </c>
      <c r="J83" s="28" t="s">
        <v>323</v>
      </c>
      <c r="K83" s="25">
        <v>41054</v>
      </c>
      <c r="L83" s="412"/>
      <c r="M83" s="25">
        <v>41054</v>
      </c>
      <c r="N83" s="29" t="s">
        <v>300</v>
      </c>
      <c r="O83" s="28" t="s">
        <v>254</v>
      </c>
      <c r="P83" s="32"/>
      <c r="Q83" s="56"/>
    </row>
    <row r="84" spans="1:33" s="33" customFormat="1" ht="13.5" customHeight="1">
      <c r="A84" s="25">
        <v>41054</v>
      </c>
      <c r="B84" s="225" t="s">
        <v>228</v>
      </c>
      <c r="C84" s="219" t="s">
        <v>756</v>
      </c>
      <c r="D84" s="5" t="s">
        <v>2012</v>
      </c>
      <c r="E84" s="28" t="s">
        <v>245</v>
      </c>
      <c r="F84" s="119">
        <v>500</v>
      </c>
      <c r="G84" s="26" t="s">
        <v>229</v>
      </c>
      <c r="H84" s="31">
        <v>1.62</v>
      </c>
      <c r="I84" s="27">
        <f t="shared" si="2"/>
        <v>810</v>
      </c>
      <c r="J84" s="28" t="s">
        <v>323</v>
      </c>
      <c r="K84" s="25">
        <v>41054</v>
      </c>
      <c r="L84" s="412"/>
      <c r="M84" s="25">
        <v>41054</v>
      </c>
      <c r="N84" s="29" t="s">
        <v>300</v>
      </c>
      <c r="O84" s="28" t="s">
        <v>254</v>
      </c>
      <c r="P84" s="32"/>
      <c r="Q84" s="5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s="33" customFormat="1" ht="13.5" customHeight="1">
      <c r="A85" s="25">
        <v>41054</v>
      </c>
      <c r="B85" s="225" t="s">
        <v>228</v>
      </c>
      <c r="C85" s="219" t="s">
        <v>756</v>
      </c>
      <c r="D85" s="225" t="s">
        <v>263</v>
      </c>
      <c r="E85" s="28" t="s">
        <v>281</v>
      </c>
      <c r="F85" s="119">
        <v>20</v>
      </c>
      <c r="G85" s="26" t="s">
        <v>229</v>
      </c>
      <c r="H85" s="31">
        <v>2</v>
      </c>
      <c r="I85" s="27">
        <f t="shared" si="2"/>
        <v>40</v>
      </c>
      <c r="J85" s="28" t="s">
        <v>323</v>
      </c>
      <c r="K85" s="25">
        <v>41054</v>
      </c>
      <c r="L85" s="412"/>
      <c r="M85" s="25">
        <v>41054</v>
      </c>
      <c r="N85" s="29" t="s">
        <v>300</v>
      </c>
      <c r="O85" s="28" t="s">
        <v>254</v>
      </c>
      <c r="P85" s="32"/>
      <c r="Q85" s="5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s="33" customFormat="1" ht="13.5" customHeight="1">
      <c r="A86" s="25">
        <v>41057</v>
      </c>
      <c r="B86" s="225" t="s">
        <v>244</v>
      </c>
      <c r="C86" s="219" t="s">
        <v>756</v>
      </c>
      <c r="D86" s="225" t="s">
        <v>324</v>
      </c>
      <c r="E86" s="196" t="s">
        <v>325</v>
      </c>
      <c r="F86" s="119">
        <v>200</v>
      </c>
      <c r="G86" s="26" t="s">
        <v>231</v>
      </c>
      <c r="H86" s="31">
        <v>5.16</v>
      </c>
      <c r="I86" s="27">
        <f t="shared" si="2"/>
        <v>1032</v>
      </c>
      <c r="J86" s="28" t="s">
        <v>326</v>
      </c>
      <c r="K86" s="25">
        <v>41056</v>
      </c>
      <c r="L86" s="412"/>
      <c r="M86" s="25">
        <v>41054</v>
      </c>
      <c r="N86" s="29" t="s">
        <v>327</v>
      </c>
      <c r="O86" s="28" t="s">
        <v>254</v>
      </c>
      <c r="P86" s="32"/>
      <c r="Q86" s="5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s="33" customFormat="1" ht="13.5" customHeight="1">
      <c r="A87" s="25">
        <v>41057</v>
      </c>
      <c r="B87" s="225" t="s">
        <v>1977</v>
      </c>
      <c r="C87" s="219" t="s">
        <v>756</v>
      </c>
      <c r="D87" s="225" t="s">
        <v>241</v>
      </c>
      <c r="E87" s="196" t="s">
        <v>242</v>
      </c>
      <c r="F87" s="119">
        <v>32</v>
      </c>
      <c r="G87" s="26" t="s">
        <v>229</v>
      </c>
      <c r="H87" s="31">
        <v>19.559999999999999</v>
      </c>
      <c r="I87" s="27">
        <f t="shared" si="2"/>
        <v>625.91999999999996</v>
      </c>
      <c r="J87" s="28" t="s">
        <v>328</v>
      </c>
      <c r="K87" s="25">
        <v>41057</v>
      </c>
      <c r="L87" s="412"/>
      <c r="M87" s="25">
        <v>41057</v>
      </c>
      <c r="N87" s="26" t="s">
        <v>327</v>
      </c>
      <c r="O87" s="28" t="s">
        <v>720</v>
      </c>
      <c r="P87" s="32">
        <v>625.91999999999996</v>
      </c>
      <c r="Q87" s="56">
        <v>41086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s="33" customFormat="1" ht="13.5" customHeight="1">
      <c r="A88" s="25">
        <v>41057</v>
      </c>
      <c r="B88" s="225" t="s">
        <v>228</v>
      </c>
      <c r="C88" s="219" t="s">
        <v>756</v>
      </c>
      <c r="D88" s="1" t="s">
        <v>1210</v>
      </c>
      <c r="E88" s="28">
        <v>3200</v>
      </c>
      <c r="F88" s="119">
        <v>6</v>
      </c>
      <c r="G88" s="26" t="s">
        <v>229</v>
      </c>
      <c r="H88" s="31">
        <v>28.73</v>
      </c>
      <c r="I88" s="27">
        <f t="shared" si="2"/>
        <v>172.38</v>
      </c>
      <c r="J88" s="28" t="s">
        <v>329</v>
      </c>
      <c r="K88" s="25">
        <v>41057</v>
      </c>
      <c r="L88" s="412"/>
      <c r="M88" s="25">
        <v>41064</v>
      </c>
      <c r="N88" s="26" t="s">
        <v>330</v>
      </c>
      <c r="O88" s="28" t="s">
        <v>91</v>
      </c>
      <c r="P88" s="32">
        <v>50855.14</v>
      </c>
      <c r="Q88" s="56">
        <v>41085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s="33" customFormat="1" ht="13.5" customHeight="1">
      <c r="A89" s="25">
        <v>41057</v>
      </c>
      <c r="B89" s="225" t="s">
        <v>228</v>
      </c>
      <c r="C89" s="219" t="s">
        <v>756</v>
      </c>
      <c r="D89" s="225" t="s">
        <v>353</v>
      </c>
      <c r="E89" s="28" t="s">
        <v>259</v>
      </c>
      <c r="F89" s="119">
        <v>9</v>
      </c>
      <c r="G89" s="26" t="s">
        <v>229</v>
      </c>
      <c r="H89" s="31">
        <v>13.33</v>
      </c>
      <c r="I89" s="27">
        <f t="shared" si="2"/>
        <v>119.97</v>
      </c>
      <c r="J89" s="28" t="s">
        <v>329</v>
      </c>
      <c r="K89" s="25">
        <v>41057</v>
      </c>
      <c r="L89" s="412"/>
      <c r="M89" s="25">
        <v>41064</v>
      </c>
      <c r="N89" s="26" t="s">
        <v>330</v>
      </c>
      <c r="O89" s="28" t="s">
        <v>91</v>
      </c>
      <c r="P89" s="32">
        <v>50855.14</v>
      </c>
      <c r="Q89" s="56">
        <v>41085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s="33" customFormat="1" ht="13.5" customHeight="1">
      <c r="A90" s="25">
        <v>41057</v>
      </c>
      <c r="B90" s="225" t="s">
        <v>228</v>
      </c>
      <c r="C90" s="219" t="s">
        <v>756</v>
      </c>
      <c r="D90" s="225" t="s">
        <v>268</v>
      </c>
      <c r="E90" s="28" t="s">
        <v>269</v>
      </c>
      <c r="F90" s="119">
        <v>102</v>
      </c>
      <c r="G90" s="26" t="s">
        <v>231</v>
      </c>
      <c r="H90" s="31">
        <v>1.48</v>
      </c>
      <c r="I90" s="27">
        <f t="shared" si="2"/>
        <v>150.96</v>
      </c>
      <c r="J90" s="28" t="s">
        <v>329</v>
      </c>
      <c r="K90" s="25">
        <v>41057</v>
      </c>
      <c r="L90" s="412"/>
      <c r="M90" s="25">
        <v>41064</v>
      </c>
      <c r="N90" s="26" t="s">
        <v>330</v>
      </c>
      <c r="O90" s="28" t="s">
        <v>91</v>
      </c>
      <c r="P90" s="32">
        <v>50855.14</v>
      </c>
      <c r="Q90" s="56">
        <v>41085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s="33" customFormat="1" ht="13.5" customHeight="1">
      <c r="A91" s="25">
        <v>41057</v>
      </c>
      <c r="B91" s="225" t="s">
        <v>228</v>
      </c>
      <c r="C91" s="219" t="s">
        <v>756</v>
      </c>
      <c r="D91" s="225" t="s">
        <v>263</v>
      </c>
      <c r="E91" s="28" t="s">
        <v>281</v>
      </c>
      <c r="F91" s="119">
        <v>1</v>
      </c>
      <c r="G91" s="26" t="s">
        <v>229</v>
      </c>
      <c r="H91" s="31">
        <v>2.12</v>
      </c>
      <c r="I91" s="27">
        <f t="shared" si="2"/>
        <v>2.12</v>
      </c>
      <c r="J91" s="28" t="s">
        <v>329</v>
      </c>
      <c r="K91" s="25">
        <v>41057</v>
      </c>
      <c r="L91" s="412"/>
      <c r="M91" s="25">
        <v>41064</v>
      </c>
      <c r="N91" s="26" t="s">
        <v>330</v>
      </c>
      <c r="O91" s="28" t="s">
        <v>91</v>
      </c>
      <c r="P91" s="32">
        <v>50855.14</v>
      </c>
      <c r="Q91" s="56">
        <v>41085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s="33" customFormat="1" ht="13.5" customHeight="1">
      <c r="A92" s="25">
        <v>41057</v>
      </c>
      <c r="B92" s="225" t="s">
        <v>228</v>
      </c>
      <c r="C92" s="219" t="s">
        <v>756</v>
      </c>
      <c r="D92" s="5" t="s">
        <v>2012</v>
      </c>
      <c r="E92" s="28" t="s">
        <v>245</v>
      </c>
      <c r="F92" s="119">
        <v>900</v>
      </c>
      <c r="G92" s="26" t="s">
        <v>229</v>
      </c>
      <c r="H92" s="31">
        <v>1.66</v>
      </c>
      <c r="I92" s="27">
        <f t="shared" si="2"/>
        <v>1494</v>
      </c>
      <c r="J92" s="28" t="s">
        <v>329</v>
      </c>
      <c r="K92" s="25">
        <v>41057</v>
      </c>
      <c r="L92" s="412"/>
      <c r="M92" s="25">
        <v>41064</v>
      </c>
      <c r="N92" s="26" t="s">
        <v>330</v>
      </c>
      <c r="O92" s="28" t="s">
        <v>91</v>
      </c>
      <c r="P92" s="32">
        <v>50855.14</v>
      </c>
      <c r="Q92" s="56">
        <v>41085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s="33" customFormat="1" ht="13.5" customHeight="1">
      <c r="A93" s="25">
        <v>41057</v>
      </c>
      <c r="B93" s="225" t="s">
        <v>228</v>
      </c>
      <c r="C93" s="219" t="s">
        <v>756</v>
      </c>
      <c r="D93" s="225" t="s">
        <v>331</v>
      </c>
      <c r="E93" s="28" t="s">
        <v>332</v>
      </c>
      <c r="F93" s="119">
        <v>50</v>
      </c>
      <c r="G93" s="26" t="s">
        <v>229</v>
      </c>
      <c r="H93" s="31">
        <v>2.4700000000000002</v>
      </c>
      <c r="I93" s="27">
        <f t="shared" si="2"/>
        <v>123.50000000000001</v>
      </c>
      <c r="J93" s="28" t="s">
        <v>329</v>
      </c>
      <c r="K93" s="25">
        <v>41057</v>
      </c>
      <c r="L93" s="412"/>
      <c r="M93" s="25">
        <v>41064</v>
      </c>
      <c r="N93" s="26" t="s">
        <v>330</v>
      </c>
      <c r="O93" s="28" t="s">
        <v>91</v>
      </c>
      <c r="P93" s="32">
        <v>50855.14</v>
      </c>
      <c r="Q93" s="56">
        <v>41085</v>
      </c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s="33" customFormat="1" ht="13.5" customHeight="1">
      <c r="A94" s="25">
        <v>41057</v>
      </c>
      <c r="B94" s="225" t="s">
        <v>228</v>
      </c>
      <c r="C94" s="219" t="s">
        <v>756</v>
      </c>
      <c r="D94" s="225" t="s">
        <v>681</v>
      </c>
      <c r="E94" s="28" t="s">
        <v>265</v>
      </c>
      <c r="F94" s="119">
        <v>35</v>
      </c>
      <c r="G94" s="26" t="s">
        <v>239</v>
      </c>
      <c r="H94" s="31">
        <v>3.31</v>
      </c>
      <c r="I94" s="27">
        <f t="shared" si="2"/>
        <v>115.85000000000001</v>
      </c>
      <c r="J94" s="28" t="s">
        <v>329</v>
      </c>
      <c r="K94" s="25">
        <v>41057</v>
      </c>
      <c r="L94" s="412"/>
      <c r="M94" s="25">
        <v>41064</v>
      </c>
      <c r="N94" s="26" t="s">
        <v>330</v>
      </c>
      <c r="O94" s="28" t="s">
        <v>91</v>
      </c>
      <c r="P94" s="32">
        <v>50855.14</v>
      </c>
      <c r="Q94" s="56">
        <v>41085</v>
      </c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s="33" customFormat="1" ht="13.5" customHeight="1">
      <c r="A95" s="25">
        <v>41057</v>
      </c>
      <c r="B95" s="225" t="s">
        <v>228</v>
      </c>
      <c r="C95" s="219" t="s">
        <v>756</v>
      </c>
      <c r="D95" s="225" t="s">
        <v>266</v>
      </c>
      <c r="E95" s="28">
        <v>12308</v>
      </c>
      <c r="F95" s="119">
        <v>10</v>
      </c>
      <c r="G95" s="26" t="s">
        <v>239</v>
      </c>
      <c r="H95" s="31">
        <v>19.43</v>
      </c>
      <c r="I95" s="27">
        <f t="shared" si="2"/>
        <v>194.3</v>
      </c>
      <c r="J95" s="28" t="s">
        <v>329</v>
      </c>
      <c r="K95" s="25">
        <v>41057</v>
      </c>
      <c r="L95" s="412"/>
      <c r="M95" s="25">
        <v>41064</v>
      </c>
      <c r="N95" s="26" t="s">
        <v>330</v>
      </c>
      <c r="O95" s="28" t="s">
        <v>91</v>
      </c>
      <c r="P95" s="32">
        <v>50855.14</v>
      </c>
      <c r="Q95" s="56">
        <v>41085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s="33" customFormat="1" ht="13.5" customHeight="1">
      <c r="A96" s="25">
        <v>41057</v>
      </c>
      <c r="B96" s="225" t="s">
        <v>228</v>
      </c>
      <c r="C96" s="219" t="s">
        <v>756</v>
      </c>
      <c r="D96" s="225" t="s">
        <v>246</v>
      </c>
      <c r="E96" s="28">
        <v>4620</v>
      </c>
      <c r="F96" s="119">
        <v>11</v>
      </c>
      <c r="G96" s="114" t="s">
        <v>1096</v>
      </c>
      <c r="H96" s="31">
        <v>17.79</v>
      </c>
      <c r="I96" s="27">
        <f t="shared" si="2"/>
        <v>195.69</v>
      </c>
      <c r="J96" s="28" t="s">
        <v>329</v>
      </c>
      <c r="K96" s="25">
        <v>41057</v>
      </c>
      <c r="L96" s="412"/>
      <c r="M96" s="25">
        <v>41064</v>
      </c>
      <c r="N96" s="26" t="s">
        <v>330</v>
      </c>
      <c r="O96" s="28" t="s">
        <v>91</v>
      </c>
      <c r="P96" s="32">
        <v>50855.14</v>
      </c>
      <c r="Q96" s="56">
        <v>41085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s="33" customFormat="1" ht="13.5" customHeight="1">
      <c r="A97" s="25">
        <v>41057</v>
      </c>
      <c r="B97" s="225" t="s">
        <v>228</v>
      </c>
      <c r="C97" s="219" t="s">
        <v>756</v>
      </c>
      <c r="D97" s="225" t="s">
        <v>263</v>
      </c>
      <c r="E97" s="28">
        <v>501</v>
      </c>
      <c r="F97" s="119">
        <v>16</v>
      </c>
      <c r="G97" s="26" t="s">
        <v>229</v>
      </c>
      <c r="H97" s="31">
        <v>1.81</v>
      </c>
      <c r="I97" s="27">
        <f t="shared" si="2"/>
        <v>28.96</v>
      </c>
      <c r="J97" s="28" t="s">
        <v>329</v>
      </c>
      <c r="K97" s="25">
        <v>41057</v>
      </c>
      <c r="L97" s="412"/>
      <c r="M97" s="25">
        <v>41064</v>
      </c>
      <c r="N97" s="26" t="s">
        <v>330</v>
      </c>
      <c r="O97" s="28" t="s">
        <v>91</v>
      </c>
      <c r="P97" s="32">
        <v>50855.14</v>
      </c>
      <c r="Q97" s="56">
        <v>41085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s="33" customFormat="1" ht="13.5" customHeight="1">
      <c r="A98" s="25">
        <v>41057</v>
      </c>
      <c r="B98" s="225" t="s">
        <v>228</v>
      </c>
      <c r="C98" s="219" t="s">
        <v>756</v>
      </c>
      <c r="D98" s="342" t="s">
        <v>1872</v>
      </c>
      <c r="E98" s="28" t="s">
        <v>248</v>
      </c>
      <c r="F98" s="119">
        <v>15</v>
      </c>
      <c r="G98" s="26" t="s">
        <v>239</v>
      </c>
      <c r="H98" s="31">
        <v>15.41</v>
      </c>
      <c r="I98" s="27">
        <f t="shared" si="2"/>
        <v>231.15</v>
      </c>
      <c r="J98" s="28" t="s">
        <v>329</v>
      </c>
      <c r="K98" s="25">
        <v>41057</v>
      </c>
      <c r="L98" s="412"/>
      <c r="M98" s="25">
        <v>41064</v>
      </c>
      <c r="N98" s="26" t="s">
        <v>330</v>
      </c>
      <c r="O98" s="28" t="s">
        <v>91</v>
      </c>
      <c r="P98" s="32">
        <v>50855.14</v>
      </c>
      <c r="Q98" s="56">
        <v>41085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s="33" customFormat="1" ht="13.5" customHeight="1">
      <c r="A99" s="25">
        <v>41057</v>
      </c>
      <c r="B99" s="225" t="s">
        <v>228</v>
      </c>
      <c r="C99" s="219" t="s">
        <v>756</v>
      </c>
      <c r="D99" s="342" t="s">
        <v>240</v>
      </c>
      <c r="E99" s="28">
        <v>6200</v>
      </c>
      <c r="F99" s="119">
        <v>8</v>
      </c>
      <c r="G99" s="26" t="s">
        <v>229</v>
      </c>
      <c r="H99" s="31">
        <v>50</v>
      </c>
      <c r="I99" s="27">
        <f t="shared" si="2"/>
        <v>400</v>
      </c>
      <c r="J99" s="28" t="s">
        <v>329</v>
      </c>
      <c r="K99" s="25">
        <v>41057</v>
      </c>
      <c r="L99" s="412"/>
      <c r="M99" s="25">
        <v>41064</v>
      </c>
      <c r="N99" s="26" t="s">
        <v>330</v>
      </c>
      <c r="O99" s="28" t="s">
        <v>91</v>
      </c>
      <c r="P99" s="32">
        <v>50855.14</v>
      </c>
      <c r="Q99" s="56">
        <v>41085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s="33" customFormat="1" ht="13.5" customHeight="1">
      <c r="A100" s="25">
        <v>41057</v>
      </c>
      <c r="B100" s="225" t="s">
        <v>228</v>
      </c>
      <c r="C100" s="219" t="s">
        <v>756</v>
      </c>
      <c r="D100" s="225" t="s">
        <v>241</v>
      </c>
      <c r="E100" s="28" t="s">
        <v>242</v>
      </c>
      <c r="F100" s="119">
        <v>26</v>
      </c>
      <c r="G100" s="26" t="s">
        <v>229</v>
      </c>
      <c r="H100" s="31">
        <v>19.86</v>
      </c>
      <c r="I100" s="27">
        <f t="shared" ref="I100:I131" si="3">H100*F100</f>
        <v>516.36</v>
      </c>
      <c r="J100" s="28" t="s">
        <v>329</v>
      </c>
      <c r="K100" s="25">
        <v>41057</v>
      </c>
      <c r="L100" s="412"/>
      <c r="M100" s="25">
        <v>41064</v>
      </c>
      <c r="N100" s="26" t="s">
        <v>330</v>
      </c>
      <c r="O100" s="28" t="s">
        <v>91</v>
      </c>
      <c r="P100" s="32">
        <v>50855.14</v>
      </c>
      <c r="Q100" s="56">
        <v>41085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s="33" customFormat="1" ht="13.5" customHeight="1">
      <c r="A101" s="25">
        <v>41057</v>
      </c>
      <c r="B101" s="225" t="s">
        <v>228</v>
      </c>
      <c r="C101" s="219" t="s">
        <v>756</v>
      </c>
      <c r="D101" s="342" t="s">
        <v>240</v>
      </c>
      <c r="E101" s="28">
        <v>6200</v>
      </c>
      <c r="F101" s="119">
        <v>8</v>
      </c>
      <c r="G101" s="26" t="s">
        <v>229</v>
      </c>
      <c r="H101" s="31">
        <v>50</v>
      </c>
      <c r="I101" s="27">
        <f t="shared" si="3"/>
        <v>400</v>
      </c>
      <c r="J101" s="28" t="s">
        <v>333</v>
      </c>
      <c r="K101" s="25">
        <v>41057</v>
      </c>
      <c r="L101" s="412"/>
      <c r="M101" s="25">
        <v>41064</v>
      </c>
      <c r="N101" s="26" t="s">
        <v>330</v>
      </c>
      <c r="O101" s="28" t="s">
        <v>91</v>
      </c>
      <c r="P101" s="32">
        <v>50855.14</v>
      </c>
      <c r="Q101" s="56">
        <v>41085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s="33" customFormat="1" ht="13.5" customHeight="1">
      <c r="A102" s="25">
        <v>41057</v>
      </c>
      <c r="B102" s="225" t="s">
        <v>228</v>
      </c>
      <c r="C102" s="219" t="s">
        <v>756</v>
      </c>
      <c r="D102" s="225" t="s">
        <v>263</v>
      </c>
      <c r="E102" s="28">
        <v>501</v>
      </c>
      <c r="F102" s="119">
        <v>16</v>
      </c>
      <c r="G102" s="26" t="s">
        <v>229</v>
      </c>
      <c r="H102" s="31">
        <v>1.81</v>
      </c>
      <c r="I102" s="27">
        <f t="shared" si="3"/>
        <v>28.96</v>
      </c>
      <c r="J102" s="28" t="s">
        <v>333</v>
      </c>
      <c r="K102" s="25">
        <v>41057</v>
      </c>
      <c r="L102" s="412"/>
      <c r="M102" s="25">
        <v>41064</v>
      </c>
      <c r="N102" s="26" t="s">
        <v>330</v>
      </c>
      <c r="O102" s="28" t="s">
        <v>91</v>
      </c>
      <c r="P102" s="32">
        <v>50855.14</v>
      </c>
      <c r="Q102" s="56">
        <v>41085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s="33" customFormat="1" ht="13.5" customHeight="1">
      <c r="A103" s="25">
        <v>41057</v>
      </c>
      <c r="B103" s="225" t="s">
        <v>228</v>
      </c>
      <c r="C103" s="219" t="s">
        <v>756</v>
      </c>
      <c r="D103" s="5" t="s">
        <v>2012</v>
      </c>
      <c r="E103" s="28" t="s">
        <v>245</v>
      </c>
      <c r="F103" s="119">
        <v>500</v>
      </c>
      <c r="G103" s="198" t="s">
        <v>229</v>
      </c>
      <c r="H103" s="31">
        <v>1.66</v>
      </c>
      <c r="I103" s="27">
        <f t="shared" si="3"/>
        <v>830</v>
      </c>
      <c r="J103" s="28" t="s">
        <v>333</v>
      </c>
      <c r="K103" s="25">
        <v>41057</v>
      </c>
      <c r="L103" s="412"/>
      <c r="M103" s="25">
        <v>41064</v>
      </c>
      <c r="N103" s="26" t="s">
        <v>330</v>
      </c>
      <c r="O103" s="28" t="s">
        <v>91</v>
      </c>
      <c r="P103" s="32">
        <v>50855.14</v>
      </c>
      <c r="Q103" s="56">
        <v>41085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s="33" customFormat="1" ht="13.5" customHeight="1">
      <c r="A104" s="25">
        <v>41059</v>
      </c>
      <c r="B104" s="225" t="s">
        <v>228</v>
      </c>
      <c r="C104" s="219" t="s">
        <v>756</v>
      </c>
      <c r="D104" s="5" t="s">
        <v>2012</v>
      </c>
      <c r="E104" s="28" t="s">
        <v>245</v>
      </c>
      <c r="F104" s="119">
        <v>300</v>
      </c>
      <c r="G104" s="198" t="s">
        <v>229</v>
      </c>
      <c r="H104" s="31">
        <v>1.66</v>
      </c>
      <c r="I104" s="27">
        <f t="shared" si="3"/>
        <v>498</v>
      </c>
      <c r="J104" s="28" t="s">
        <v>334</v>
      </c>
      <c r="K104" s="25">
        <v>41059</v>
      </c>
      <c r="L104" s="412"/>
      <c r="M104" s="25">
        <v>41064</v>
      </c>
      <c r="N104" s="26" t="s">
        <v>330</v>
      </c>
      <c r="O104" s="28" t="s">
        <v>91</v>
      </c>
      <c r="P104" s="32">
        <v>50855.14</v>
      </c>
      <c r="Q104" s="56">
        <v>41085</v>
      </c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s="26" customFormat="1" ht="12" customHeight="1">
      <c r="A105" s="25">
        <v>41060</v>
      </c>
      <c r="B105" s="225" t="s">
        <v>228</v>
      </c>
      <c r="C105" s="219" t="s">
        <v>756</v>
      </c>
      <c r="D105" s="5" t="s">
        <v>2012</v>
      </c>
      <c r="E105" s="28" t="s">
        <v>245</v>
      </c>
      <c r="F105" s="119">
        <v>2500</v>
      </c>
      <c r="G105" s="198" t="s">
        <v>229</v>
      </c>
      <c r="H105" s="31">
        <v>1.6</v>
      </c>
      <c r="I105" s="27">
        <f t="shared" si="3"/>
        <v>4000</v>
      </c>
      <c r="J105" s="28" t="s">
        <v>335</v>
      </c>
      <c r="K105" s="25">
        <v>41060</v>
      </c>
      <c r="L105" s="412"/>
      <c r="M105" s="25">
        <v>41064</v>
      </c>
      <c r="N105" s="26" t="s">
        <v>330</v>
      </c>
      <c r="O105" s="28" t="s">
        <v>91</v>
      </c>
      <c r="P105" s="32">
        <v>50855.14</v>
      </c>
      <c r="Q105" s="56">
        <v>41085</v>
      </c>
    </row>
    <row r="106" spans="1:33" s="26" customFormat="1" ht="12" customHeight="1">
      <c r="A106" s="25">
        <v>41060</v>
      </c>
      <c r="B106" s="225" t="s">
        <v>336</v>
      </c>
      <c r="C106" s="219" t="s">
        <v>756</v>
      </c>
      <c r="D106" s="342" t="s">
        <v>240</v>
      </c>
      <c r="E106" s="196">
        <v>6200</v>
      </c>
      <c r="F106" s="119">
        <v>24</v>
      </c>
      <c r="G106" s="26" t="s">
        <v>229</v>
      </c>
      <c r="H106" s="31">
        <v>45.8</v>
      </c>
      <c r="I106" s="27">
        <f t="shared" si="3"/>
        <v>1099.1999999999998</v>
      </c>
      <c r="J106" s="28" t="s">
        <v>337</v>
      </c>
      <c r="K106" s="25">
        <v>41060</v>
      </c>
      <c r="L106" s="412"/>
      <c r="M106" s="56">
        <v>41060</v>
      </c>
      <c r="N106" s="29" t="s">
        <v>300</v>
      </c>
      <c r="O106" s="28" t="s">
        <v>338</v>
      </c>
      <c r="P106" s="32">
        <v>8922</v>
      </c>
      <c r="Q106" s="56">
        <v>41067</v>
      </c>
    </row>
    <row r="107" spans="1:33" s="26" customFormat="1" ht="12" customHeight="1">
      <c r="A107" s="25">
        <v>41060</v>
      </c>
      <c r="B107" s="225" t="s">
        <v>336</v>
      </c>
      <c r="C107" s="219" t="s">
        <v>756</v>
      </c>
      <c r="D107" s="225" t="s">
        <v>241</v>
      </c>
      <c r="E107" s="196" t="s">
        <v>242</v>
      </c>
      <c r="F107" s="119">
        <v>60</v>
      </c>
      <c r="G107" s="26" t="s">
        <v>229</v>
      </c>
      <c r="H107" s="31">
        <v>19</v>
      </c>
      <c r="I107" s="27">
        <f t="shared" si="3"/>
        <v>1140</v>
      </c>
      <c r="J107" s="28" t="s">
        <v>337</v>
      </c>
      <c r="K107" s="25">
        <v>41060</v>
      </c>
      <c r="L107" s="412"/>
      <c r="M107" s="56">
        <v>41060</v>
      </c>
      <c r="N107" s="29" t="s">
        <v>300</v>
      </c>
      <c r="O107" s="28" t="s">
        <v>338</v>
      </c>
      <c r="P107" s="32">
        <v>8922</v>
      </c>
      <c r="Q107" s="56">
        <v>41067</v>
      </c>
    </row>
    <row r="108" spans="1:33" s="26" customFormat="1" ht="12" customHeight="1">
      <c r="A108" s="25">
        <v>41060</v>
      </c>
      <c r="B108" s="225" t="s">
        <v>228</v>
      </c>
      <c r="C108" s="219" t="s">
        <v>756</v>
      </c>
      <c r="D108" s="225" t="s">
        <v>263</v>
      </c>
      <c r="E108" s="28">
        <v>501</v>
      </c>
      <c r="F108" s="119">
        <v>60</v>
      </c>
      <c r="G108" s="26" t="s">
        <v>229</v>
      </c>
      <c r="H108" s="31">
        <v>1.4</v>
      </c>
      <c r="I108" s="27">
        <f t="shared" si="3"/>
        <v>84</v>
      </c>
      <c r="J108" s="28" t="s">
        <v>339</v>
      </c>
      <c r="K108" s="25">
        <v>41060</v>
      </c>
      <c r="L108" s="412"/>
      <c r="M108" s="25">
        <v>41064</v>
      </c>
      <c r="N108" s="26" t="s">
        <v>330</v>
      </c>
      <c r="O108" s="28" t="s">
        <v>91</v>
      </c>
      <c r="P108" s="32">
        <v>50855.14</v>
      </c>
      <c r="Q108" s="56">
        <v>41085</v>
      </c>
    </row>
    <row r="109" spans="1:33" s="26" customFormat="1" ht="12" customHeight="1">
      <c r="A109" s="25">
        <v>41060</v>
      </c>
      <c r="B109" s="225" t="s">
        <v>228</v>
      </c>
      <c r="C109" s="219" t="s">
        <v>756</v>
      </c>
      <c r="D109" s="1" t="s">
        <v>1210</v>
      </c>
      <c r="E109" s="28">
        <v>3200</v>
      </c>
      <c r="F109" s="119">
        <v>20</v>
      </c>
      <c r="G109" s="26" t="s">
        <v>229</v>
      </c>
      <c r="H109" s="31">
        <v>28.73</v>
      </c>
      <c r="I109" s="27">
        <f t="shared" si="3"/>
        <v>574.6</v>
      </c>
      <c r="J109" s="28" t="s">
        <v>339</v>
      </c>
      <c r="K109" s="25">
        <v>41060</v>
      </c>
      <c r="L109" s="412"/>
      <c r="M109" s="25">
        <v>41064</v>
      </c>
      <c r="N109" s="26" t="s">
        <v>330</v>
      </c>
      <c r="O109" s="28" t="s">
        <v>91</v>
      </c>
      <c r="P109" s="32">
        <v>50855.14</v>
      </c>
      <c r="Q109" s="56">
        <v>41085</v>
      </c>
    </row>
    <row r="110" spans="1:33" s="26" customFormat="1" ht="12" customHeight="1">
      <c r="A110" s="25">
        <v>41060</v>
      </c>
      <c r="B110" s="225" t="s">
        <v>228</v>
      </c>
      <c r="C110" s="219" t="s">
        <v>756</v>
      </c>
      <c r="D110" s="225" t="s">
        <v>295</v>
      </c>
      <c r="E110" s="28">
        <v>3700</v>
      </c>
      <c r="F110" s="119">
        <v>20</v>
      </c>
      <c r="G110" s="26" t="s">
        <v>229</v>
      </c>
      <c r="H110" s="31">
        <v>3.7</v>
      </c>
      <c r="I110" s="27">
        <f t="shared" si="3"/>
        <v>74</v>
      </c>
      <c r="J110" s="28" t="s">
        <v>339</v>
      </c>
      <c r="K110" s="25">
        <v>41060</v>
      </c>
      <c r="L110" s="412"/>
      <c r="M110" s="25">
        <v>41064</v>
      </c>
      <c r="N110" s="26" t="s">
        <v>330</v>
      </c>
      <c r="O110" s="28" t="s">
        <v>91</v>
      </c>
      <c r="P110" s="32">
        <v>50855.14</v>
      </c>
      <c r="Q110" s="56">
        <v>41085</v>
      </c>
    </row>
    <row r="111" spans="1:33" s="26" customFormat="1" ht="12" customHeight="1">
      <c r="A111" s="25">
        <v>41060</v>
      </c>
      <c r="B111" s="225" t="s">
        <v>228</v>
      </c>
      <c r="C111" s="219" t="s">
        <v>756</v>
      </c>
      <c r="D111" s="225" t="s">
        <v>232</v>
      </c>
      <c r="E111" s="28" t="s">
        <v>235</v>
      </c>
      <c r="F111" s="205">
        <v>200</v>
      </c>
      <c r="G111" s="26" t="s">
        <v>231</v>
      </c>
      <c r="H111" s="31">
        <v>1.8265</v>
      </c>
      <c r="I111" s="27">
        <f t="shared" si="3"/>
        <v>365.3</v>
      </c>
      <c r="J111" s="28" t="s">
        <v>339</v>
      </c>
      <c r="K111" s="25">
        <v>41060</v>
      </c>
      <c r="L111" s="412"/>
      <c r="M111" s="25">
        <v>41064</v>
      </c>
      <c r="N111" s="26" t="s">
        <v>330</v>
      </c>
      <c r="O111" s="28" t="s">
        <v>91</v>
      </c>
      <c r="P111" s="32">
        <v>50855.14</v>
      </c>
      <c r="Q111" s="56">
        <v>41085</v>
      </c>
    </row>
    <row r="112" spans="1:33" s="26" customFormat="1" ht="12" customHeight="1">
      <c r="A112" s="25">
        <v>41060</v>
      </c>
      <c r="B112" s="225" t="s">
        <v>228</v>
      </c>
      <c r="C112" s="219" t="s">
        <v>756</v>
      </c>
      <c r="D112" s="342" t="s">
        <v>1872</v>
      </c>
      <c r="E112" s="28" t="s">
        <v>248</v>
      </c>
      <c r="F112" s="119">
        <v>10</v>
      </c>
      <c r="G112" s="92" t="s">
        <v>239</v>
      </c>
      <c r="H112" s="31">
        <v>15.41</v>
      </c>
      <c r="I112" s="27">
        <f t="shared" si="3"/>
        <v>154.1</v>
      </c>
      <c r="J112" s="28" t="s">
        <v>339</v>
      </c>
      <c r="K112" s="25">
        <v>41060</v>
      </c>
      <c r="L112" s="412"/>
      <c r="M112" s="25">
        <v>41064</v>
      </c>
      <c r="N112" s="26" t="s">
        <v>330</v>
      </c>
      <c r="O112" s="28" t="s">
        <v>91</v>
      </c>
      <c r="P112" s="32">
        <v>50855.14</v>
      </c>
      <c r="Q112" s="56">
        <v>41085</v>
      </c>
    </row>
    <row r="113" spans="1:33" s="26" customFormat="1" ht="12" customHeight="1">
      <c r="A113" s="25">
        <v>41060</v>
      </c>
      <c r="B113" s="225" t="s">
        <v>228</v>
      </c>
      <c r="C113" s="219" t="s">
        <v>756</v>
      </c>
      <c r="D113" s="1" t="s">
        <v>1213</v>
      </c>
      <c r="E113" s="28" t="s">
        <v>238</v>
      </c>
      <c r="F113" s="119">
        <v>10</v>
      </c>
      <c r="G113" s="26" t="s">
        <v>239</v>
      </c>
      <c r="H113" s="31">
        <v>13.4</v>
      </c>
      <c r="I113" s="27">
        <f t="shared" si="3"/>
        <v>134</v>
      </c>
      <c r="J113" s="28" t="s">
        <v>339</v>
      </c>
      <c r="K113" s="25">
        <v>41060</v>
      </c>
      <c r="L113" s="412"/>
      <c r="M113" s="25">
        <v>41064</v>
      </c>
      <c r="N113" s="26" t="s">
        <v>330</v>
      </c>
      <c r="O113" s="28" t="s">
        <v>91</v>
      </c>
      <c r="P113" s="32">
        <v>50855.14</v>
      </c>
      <c r="Q113" s="56">
        <v>41085</v>
      </c>
    </row>
    <row r="114" spans="1:33" s="26" customFormat="1" ht="13.5" customHeight="1">
      <c r="A114" s="25">
        <v>41060</v>
      </c>
      <c r="B114" s="225" t="s">
        <v>228</v>
      </c>
      <c r="C114" s="219" t="s">
        <v>756</v>
      </c>
      <c r="D114" s="5" t="s">
        <v>2009</v>
      </c>
      <c r="E114" s="28" t="s">
        <v>262</v>
      </c>
      <c r="F114" s="119">
        <v>10</v>
      </c>
      <c r="G114" s="26" t="s">
        <v>239</v>
      </c>
      <c r="H114" s="31">
        <v>30.15</v>
      </c>
      <c r="I114" s="27">
        <f t="shared" si="3"/>
        <v>301.5</v>
      </c>
      <c r="J114" s="28" t="s">
        <v>339</v>
      </c>
      <c r="K114" s="25">
        <v>41060</v>
      </c>
      <c r="L114" s="412"/>
      <c r="M114" s="25">
        <v>41064</v>
      </c>
      <c r="N114" s="26" t="s">
        <v>330</v>
      </c>
      <c r="O114" s="28" t="s">
        <v>91</v>
      </c>
      <c r="P114" s="32">
        <v>50855.14</v>
      </c>
      <c r="Q114" s="56">
        <v>41085</v>
      </c>
    </row>
    <row r="115" spans="1:33" s="26" customFormat="1" ht="13.5" customHeight="1">
      <c r="A115" s="25">
        <v>41060</v>
      </c>
      <c r="B115" s="225" t="s">
        <v>1978</v>
      </c>
      <c r="C115" s="219" t="s">
        <v>756</v>
      </c>
      <c r="D115" s="1" t="s">
        <v>1871</v>
      </c>
      <c r="E115" s="196">
        <v>8247</v>
      </c>
      <c r="F115" s="119">
        <v>3000</v>
      </c>
      <c r="G115" s="26" t="s">
        <v>229</v>
      </c>
      <c r="H115" s="31">
        <v>12.6</v>
      </c>
      <c r="I115" s="27">
        <f t="shared" si="3"/>
        <v>37800</v>
      </c>
      <c r="J115" s="28"/>
      <c r="K115" s="25">
        <v>41060</v>
      </c>
      <c r="L115" s="412"/>
      <c r="M115" s="25">
        <v>41060</v>
      </c>
      <c r="N115" s="26" t="s">
        <v>330</v>
      </c>
      <c r="O115" s="28" t="s">
        <v>719</v>
      </c>
      <c r="P115" s="32">
        <v>40726</v>
      </c>
      <c r="Q115" s="56">
        <v>41079</v>
      </c>
    </row>
    <row r="116" spans="1:33" s="26" customFormat="1" ht="12" customHeight="1">
      <c r="A116" s="25">
        <v>41061</v>
      </c>
      <c r="B116" s="225" t="s">
        <v>228</v>
      </c>
      <c r="C116" s="219" t="s">
        <v>756</v>
      </c>
      <c r="D116" s="225" t="s">
        <v>232</v>
      </c>
      <c r="E116" s="28" t="s">
        <v>235</v>
      </c>
      <c r="F116" s="205">
        <v>5000</v>
      </c>
      <c r="G116" s="26" t="s">
        <v>231</v>
      </c>
      <c r="H116" s="31">
        <v>1.8</v>
      </c>
      <c r="I116" s="27">
        <f t="shared" si="3"/>
        <v>9000</v>
      </c>
      <c r="J116" s="28" t="s">
        <v>341</v>
      </c>
      <c r="K116" s="25">
        <v>41061</v>
      </c>
      <c r="L116" s="412"/>
      <c r="M116" s="25">
        <v>41072</v>
      </c>
      <c r="N116" s="26" t="s">
        <v>330</v>
      </c>
      <c r="O116" s="28" t="s">
        <v>91</v>
      </c>
      <c r="P116" s="32">
        <v>50855.14</v>
      </c>
      <c r="Q116" s="56">
        <v>41085</v>
      </c>
    </row>
    <row r="117" spans="1:33" s="26" customFormat="1" ht="12" customHeight="1">
      <c r="A117" s="25">
        <v>41064</v>
      </c>
      <c r="B117" s="225" t="s">
        <v>336</v>
      </c>
      <c r="C117" s="219" t="s">
        <v>756</v>
      </c>
      <c r="D117" s="225" t="s">
        <v>241</v>
      </c>
      <c r="E117" s="196" t="s">
        <v>242</v>
      </c>
      <c r="F117" s="119">
        <v>120</v>
      </c>
      <c r="G117" s="26" t="s">
        <v>229</v>
      </c>
      <c r="H117" s="31">
        <v>19</v>
      </c>
      <c r="I117" s="27">
        <f t="shared" si="3"/>
        <v>2280</v>
      </c>
      <c r="J117" s="28" t="s">
        <v>342</v>
      </c>
      <c r="K117" s="25">
        <v>41064</v>
      </c>
      <c r="L117" s="412"/>
      <c r="M117" s="56">
        <v>41067</v>
      </c>
      <c r="N117" s="29" t="s">
        <v>343</v>
      </c>
      <c r="O117" s="28" t="s">
        <v>338</v>
      </c>
      <c r="P117" s="32">
        <v>8922</v>
      </c>
      <c r="Q117" s="56">
        <v>41067</v>
      </c>
    </row>
    <row r="118" spans="1:33" s="33" customFormat="1" ht="12" customHeight="1">
      <c r="A118" s="25">
        <v>41065</v>
      </c>
      <c r="B118" s="225" t="s">
        <v>316</v>
      </c>
      <c r="C118" s="219" t="s">
        <v>756</v>
      </c>
      <c r="D118" s="225" t="s">
        <v>232</v>
      </c>
      <c r="E118" s="196" t="s">
        <v>233</v>
      </c>
      <c r="F118" s="119">
        <v>500</v>
      </c>
      <c r="G118" s="194" t="s">
        <v>231</v>
      </c>
      <c r="H118" s="31">
        <v>5.0999999999999996</v>
      </c>
      <c r="I118" s="27">
        <f t="shared" si="3"/>
        <v>2550</v>
      </c>
      <c r="J118" s="28" t="s">
        <v>311</v>
      </c>
      <c r="K118" s="25">
        <v>41065</v>
      </c>
      <c r="L118" s="412"/>
      <c r="M118" s="25">
        <v>41065</v>
      </c>
      <c r="N118" s="29" t="s">
        <v>300</v>
      </c>
      <c r="O118" s="28" t="s">
        <v>344</v>
      </c>
      <c r="P118" s="32">
        <v>2550</v>
      </c>
      <c r="Q118" s="56">
        <v>41065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s="33" customFormat="1" ht="12" customHeight="1">
      <c r="A119" s="25">
        <v>41066</v>
      </c>
      <c r="B119" s="225" t="s">
        <v>228</v>
      </c>
      <c r="C119" s="219" t="s">
        <v>756</v>
      </c>
      <c r="D119" s="225" t="s">
        <v>268</v>
      </c>
      <c r="E119" s="28" t="s">
        <v>269</v>
      </c>
      <c r="F119" s="119">
        <v>50</v>
      </c>
      <c r="G119" s="26" t="s">
        <v>231</v>
      </c>
      <c r="H119" s="31">
        <v>1.44</v>
      </c>
      <c r="I119" s="27">
        <f t="shared" si="3"/>
        <v>72</v>
      </c>
      <c r="J119" s="28" t="s">
        <v>345</v>
      </c>
      <c r="K119" s="25">
        <v>41066</v>
      </c>
      <c r="L119" s="412"/>
      <c r="M119" s="25">
        <v>41066</v>
      </c>
      <c r="N119" s="29" t="s">
        <v>300</v>
      </c>
      <c r="O119" s="28" t="s">
        <v>713</v>
      </c>
      <c r="P119" s="32"/>
      <c r="Q119" s="5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s="33" customFormat="1" ht="12" customHeight="1">
      <c r="A120" s="25">
        <v>41066</v>
      </c>
      <c r="B120" s="225" t="s">
        <v>228</v>
      </c>
      <c r="C120" s="219" t="s">
        <v>756</v>
      </c>
      <c r="D120" s="225" t="s">
        <v>232</v>
      </c>
      <c r="E120" s="28" t="s">
        <v>235</v>
      </c>
      <c r="F120" s="205">
        <v>200</v>
      </c>
      <c r="G120" s="26" t="s">
        <v>231</v>
      </c>
      <c r="H120" s="31">
        <v>1.77</v>
      </c>
      <c r="I120" s="27">
        <f t="shared" si="3"/>
        <v>354</v>
      </c>
      <c r="J120" s="28" t="s">
        <v>345</v>
      </c>
      <c r="K120" s="25">
        <v>41066</v>
      </c>
      <c r="L120" s="412"/>
      <c r="M120" s="25">
        <v>41066</v>
      </c>
      <c r="N120" s="29" t="s">
        <v>300</v>
      </c>
      <c r="O120" s="28" t="s">
        <v>713</v>
      </c>
      <c r="P120" s="32"/>
      <c r="Q120" s="5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s="33" customFormat="1" ht="12" customHeight="1">
      <c r="A121" s="25">
        <v>41066</v>
      </c>
      <c r="B121" s="225" t="s">
        <v>228</v>
      </c>
      <c r="C121" s="219" t="s">
        <v>756</v>
      </c>
      <c r="D121" s="225" t="s">
        <v>346</v>
      </c>
      <c r="E121" s="28">
        <v>3700</v>
      </c>
      <c r="F121" s="119">
        <v>30</v>
      </c>
      <c r="G121" s="26" t="s">
        <v>231</v>
      </c>
      <c r="H121" s="31">
        <v>3.7</v>
      </c>
      <c r="I121" s="27">
        <f t="shared" si="3"/>
        <v>111</v>
      </c>
      <c r="J121" s="28" t="s">
        <v>345</v>
      </c>
      <c r="K121" s="25">
        <v>41066</v>
      </c>
      <c r="L121" s="412"/>
      <c r="M121" s="25">
        <v>41066</v>
      </c>
      <c r="N121" s="29" t="s">
        <v>300</v>
      </c>
      <c r="O121" s="28" t="s">
        <v>91</v>
      </c>
      <c r="P121" s="32">
        <v>50855.14</v>
      </c>
      <c r="Q121" s="56">
        <v>41085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s="33" customFormat="1" ht="12" customHeight="1">
      <c r="A122" s="25">
        <v>41067</v>
      </c>
      <c r="B122" s="225" t="s">
        <v>228</v>
      </c>
      <c r="C122" s="219" t="s">
        <v>756</v>
      </c>
      <c r="D122" s="225" t="s">
        <v>805</v>
      </c>
      <c r="E122" s="28" t="s">
        <v>348</v>
      </c>
      <c r="F122" s="119">
        <v>600</v>
      </c>
      <c r="G122" s="123" t="s">
        <v>171</v>
      </c>
      <c r="H122" s="31">
        <v>1.72</v>
      </c>
      <c r="I122" s="27">
        <f t="shared" si="3"/>
        <v>1032</v>
      </c>
      <c r="J122" s="28" t="s">
        <v>349</v>
      </c>
      <c r="K122" s="25">
        <v>41067</v>
      </c>
      <c r="L122" s="412"/>
      <c r="M122" s="25">
        <v>41072</v>
      </c>
      <c r="N122" s="26" t="s">
        <v>330</v>
      </c>
      <c r="O122" s="28" t="s">
        <v>91</v>
      </c>
      <c r="P122" s="32">
        <v>50855.14</v>
      </c>
      <c r="Q122" s="56">
        <v>41085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s="33" customFormat="1" ht="12" customHeight="1">
      <c r="A123" s="25">
        <v>41067</v>
      </c>
      <c r="B123" s="225" t="s">
        <v>228</v>
      </c>
      <c r="C123" s="219" t="s">
        <v>756</v>
      </c>
      <c r="D123" s="225" t="s">
        <v>350</v>
      </c>
      <c r="E123" s="28">
        <v>7502</v>
      </c>
      <c r="F123" s="119">
        <v>5</v>
      </c>
      <c r="G123" s="26" t="s">
        <v>229</v>
      </c>
      <c r="H123" s="31">
        <v>122.8</v>
      </c>
      <c r="I123" s="27">
        <f t="shared" si="3"/>
        <v>614</v>
      </c>
      <c r="J123" s="28" t="s">
        <v>351</v>
      </c>
      <c r="K123" s="25">
        <v>41067</v>
      </c>
      <c r="L123" s="412"/>
      <c r="M123" s="25">
        <v>41072</v>
      </c>
      <c r="N123" s="26" t="s">
        <v>330</v>
      </c>
      <c r="O123" s="28" t="s">
        <v>91</v>
      </c>
      <c r="P123" s="32">
        <v>50855.14</v>
      </c>
      <c r="Q123" s="56">
        <v>41085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s="33" customFormat="1" ht="12" customHeight="1">
      <c r="A124" s="25">
        <v>41067</v>
      </c>
      <c r="B124" s="225" t="s">
        <v>228</v>
      </c>
      <c r="C124" s="219" t="s">
        <v>756</v>
      </c>
      <c r="D124" s="225" t="s">
        <v>263</v>
      </c>
      <c r="E124" s="28">
        <v>501</v>
      </c>
      <c r="F124" s="119">
        <v>100</v>
      </c>
      <c r="G124" s="26" t="s">
        <v>229</v>
      </c>
      <c r="H124" s="31">
        <v>1.4</v>
      </c>
      <c r="I124" s="27">
        <f t="shared" si="3"/>
        <v>140</v>
      </c>
      <c r="J124" s="28" t="s">
        <v>352</v>
      </c>
      <c r="K124" s="25">
        <v>41067</v>
      </c>
      <c r="L124" s="412"/>
      <c r="M124" s="25">
        <v>41072</v>
      </c>
      <c r="N124" s="26" t="s">
        <v>330</v>
      </c>
      <c r="O124" s="28" t="s">
        <v>91</v>
      </c>
      <c r="P124" s="32">
        <v>50855.14</v>
      </c>
      <c r="Q124" s="56">
        <v>41085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s="33" customFormat="1" ht="12" customHeight="1">
      <c r="A125" s="25">
        <v>41067</v>
      </c>
      <c r="B125" s="225" t="s">
        <v>1979</v>
      </c>
      <c r="C125" s="219" t="s">
        <v>756</v>
      </c>
      <c r="D125" s="225" t="s">
        <v>353</v>
      </c>
      <c r="E125" s="196" t="s">
        <v>242</v>
      </c>
      <c r="F125" s="119">
        <v>120</v>
      </c>
      <c r="G125" s="26" t="s">
        <v>229</v>
      </c>
      <c r="H125" s="31">
        <v>18.37</v>
      </c>
      <c r="I125" s="27">
        <f t="shared" si="3"/>
        <v>2204.4</v>
      </c>
      <c r="J125" s="28" t="s">
        <v>354</v>
      </c>
      <c r="K125" s="25">
        <v>41067</v>
      </c>
      <c r="L125" s="412"/>
      <c r="M125" s="56">
        <v>41067</v>
      </c>
      <c r="N125" s="29" t="s">
        <v>343</v>
      </c>
      <c r="O125" s="28" t="s">
        <v>338</v>
      </c>
      <c r="P125" s="32">
        <v>8922</v>
      </c>
      <c r="Q125" s="56">
        <v>41067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s="33" customFormat="1" ht="12" customHeight="1">
      <c r="A126" s="25">
        <v>41067</v>
      </c>
      <c r="B126" s="225" t="s">
        <v>336</v>
      </c>
      <c r="C126" s="219" t="s">
        <v>756</v>
      </c>
      <c r="D126" s="342" t="s">
        <v>240</v>
      </c>
      <c r="E126" s="196">
        <v>6200</v>
      </c>
      <c r="F126" s="119">
        <v>48</v>
      </c>
      <c r="G126" s="26" t="s">
        <v>229</v>
      </c>
      <c r="H126" s="31">
        <v>45.8</v>
      </c>
      <c r="I126" s="27">
        <f t="shared" si="3"/>
        <v>2198.3999999999996</v>
      </c>
      <c r="J126" s="28" t="s">
        <v>354</v>
      </c>
      <c r="K126" s="25">
        <v>41067</v>
      </c>
      <c r="L126" s="412"/>
      <c r="M126" s="56">
        <v>41067</v>
      </c>
      <c r="N126" s="29" t="s">
        <v>343</v>
      </c>
      <c r="O126" s="28" t="s">
        <v>338</v>
      </c>
      <c r="P126" s="32">
        <v>8922</v>
      </c>
      <c r="Q126" s="56">
        <v>41067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s="33" customFormat="1" ht="12" customHeight="1">
      <c r="A127" s="25">
        <v>41068</v>
      </c>
      <c r="B127" s="225" t="s">
        <v>228</v>
      </c>
      <c r="C127" s="219" t="s">
        <v>756</v>
      </c>
      <c r="D127" s="5" t="s">
        <v>2012</v>
      </c>
      <c r="E127" s="28" t="s">
        <v>245</v>
      </c>
      <c r="F127" s="119">
        <v>1000</v>
      </c>
      <c r="G127" s="198" t="s">
        <v>229</v>
      </c>
      <c r="H127" s="31">
        <v>1.6</v>
      </c>
      <c r="I127" s="27">
        <f t="shared" si="3"/>
        <v>1600</v>
      </c>
      <c r="J127" s="28" t="s">
        <v>355</v>
      </c>
      <c r="K127" s="25">
        <v>41068</v>
      </c>
      <c r="L127" s="412"/>
      <c r="M127" s="25">
        <v>41072</v>
      </c>
      <c r="N127" s="26" t="s">
        <v>330</v>
      </c>
      <c r="O127" s="28" t="s">
        <v>91</v>
      </c>
      <c r="P127" s="32">
        <v>50855.14</v>
      </c>
      <c r="Q127" s="56">
        <v>41085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s="33" customFormat="1" ht="12" customHeight="1">
      <c r="A128" s="25">
        <v>41068</v>
      </c>
      <c r="B128" s="225" t="s">
        <v>228</v>
      </c>
      <c r="C128" s="219" t="s">
        <v>756</v>
      </c>
      <c r="D128" s="1" t="s">
        <v>1213</v>
      </c>
      <c r="E128" s="28" t="s">
        <v>238</v>
      </c>
      <c r="F128" s="119">
        <v>10</v>
      </c>
      <c r="G128" s="26" t="s">
        <v>239</v>
      </c>
      <c r="H128" s="31">
        <v>13.4</v>
      </c>
      <c r="I128" s="27">
        <f t="shared" si="3"/>
        <v>134</v>
      </c>
      <c r="J128" s="28" t="s">
        <v>355</v>
      </c>
      <c r="K128" s="25">
        <v>41068</v>
      </c>
      <c r="L128" s="412"/>
      <c r="M128" s="25">
        <v>41072</v>
      </c>
      <c r="N128" s="26" t="s">
        <v>330</v>
      </c>
      <c r="O128" s="28" t="s">
        <v>91</v>
      </c>
      <c r="P128" s="32">
        <v>50855.14</v>
      </c>
      <c r="Q128" s="56">
        <v>41085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s="33" customFormat="1" ht="12" customHeight="1">
      <c r="A129" s="25">
        <v>41068</v>
      </c>
      <c r="B129" s="225" t="s">
        <v>228</v>
      </c>
      <c r="C129" s="219" t="s">
        <v>756</v>
      </c>
      <c r="D129" s="225" t="s">
        <v>287</v>
      </c>
      <c r="E129" s="28">
        <v>10434</v>
      </c>
      <c r="F129" s="119">
        <v>100</v>
      </c>
      <c r="G129" s="26" t="s">
        <v>229</v>
      </c>
      <c r="H129" s="31">
        <v>14.88</v>
      </c>
      <c r="I129" s="27">
        <f t="shared" si="3"/>
        <v>1488</v>
      </c>
      <c r="J129" s="28" t="s">
        <v>352</v>
      </c>
      <c r="K129" s="25">
        <v>41068</v>
      </c>
      <c r="L129" s="412"/>
      <c r="M129" s="25">
        <v>41072</v>
      </c>
      <c r="N129" s="26" t="s">
        <v>330</v>
      </c>
      <c r="O129" s="28" t="s">
        <v>91</v>
      </c>
      <c r="P129" s="32">
        <v>50855.14</v>
      </c>
      <c r="Q129" s="56">
        <v>41085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s="33" customFormat="1" ht="12" customHeight="1">
      <c r="A130" s="25">
        <v>41068</v>
      </c>
      <c r="B130" s="225" t="s">
        <v>228</v>
      </c>
      <c r="C130" s="219" t="s">
        <v>756</v>
      </c>
      <c r="D130" s="342" t="s">
        <v>1872</v>
      </c>
      <c r="E130" s="28" t="s">
        <v>248</v>
      </c>
      <c r="F130" s="119">
        <v>100</v>
      </c>
      <c r="G130" s="92" t="s">
        <v>239</v>
      </c>
      <c r="H130" s="31">
        <v>14.49</v>
      </c>
      <c r="I130" s="27">
        <f t="shared" si="3"/>
        <v>1449</v>
      </c>
      <c r="J130" s="28" t="s">
        <v>352</v>
      </c>
      <c r="K130" s="25">
        <v>41068</v>
      </c>
      <c r="L130" s="412"/>
      <c r="M130" s="25">
        <v>41072</v>
      </c>
      <c r="N130" s="26" t="s">
        <v>330</v>
      </c>
      <c r="O130" s="28" t="s">
        <v>91</v>
      </c>
      <c r="P130" s="32">
        <v>50855.14</v>
      </c>
      <c r="Q130" s="56">
        <v>41085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s="33" customFormat="1" ht="12" customHeight="1">
      <c r="A131" s="25">
        <v>41068</v>
      </c>
      <c r="B131" s="225" t="s">
        <v>228</v>
      </c>
      <c r="C131" s="219" t="s">
        <v>756</v>
      </c>
      <c r="D131" s="225" t="s">
        <v>251</v>
      </c>
      <c r="E131" s="28" t="s">
        <v>252</v>
      </c>
      <c r="F131" s="119">
        <v>100</v>
      </c>
      <c r="G131" s="26" t="s">
        <v>231</v>
      </c>
      <c r="H131" s="31">
        <v>1.86</v>
      </c>
      <c r="I131" s="27">
        <f t="shared" si="3"/>
        <v>186</v>
      </c>
      <c r="J131" s="28" t="s">
        <v>352</v>
      </c>
      <c r="K131" s="25">
        <v>41068</v>
      </c>
      <c r="L131" s="412"/>
      <c r="M131" s="25">
        <v>41072</v>
      </c>
      <c r="N131" s="26" t="s">
        <v>330</v>
      </c>
      <c r="O131" s="28" t="s">
        <v>91</v>
      </c>
      <c r="P131" s="32">
        <v>50855.14</v>
      </c>
      <c r="Q131" s="56">
        <v>41085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s="33" customFormat="1" ht="12" customHeight="1">
      <c r="A132" s="25">
        <v>41068</v>
      </c>
      <c r="B132" s="225" t="s">
        <v>228</v>
      </c>
      <c r="C132" s="219" t="s">
        <v>756</v>
      </c>
      <c r="D132" s="225" t="s">
        <v>232</v>
      </c>
      <c r="E132" s="28" t="s">
        <v>235</v>
      </c>
      <c r="F132" s="205">
        <v>200</v>
      </c>
      <c r="G132" s="26" t="s">
        <v>231</v>
      </c>
      <c r="H132" s="31">
        <v>1.8260000000000001</v>
      </c>
      <c r="I132" s="27">
        <f t="shared" ref="I132:I152" si="4">H132*F132</f>
        <v>365.2</v>
      </c>
      <c r="J132" s="28" t="s">
        <v>352</v>
      </c>
      <c r="K132" s="25">
        <v>41068</v>
      </c>
      <c r="L132" s="412"/>
      <c r="M132" s="25">
        <v>41072</v>
      </c>
      <c r="N132" s="26" t="s">
        <v>330</v>
      </c>
      <c r="O132" s="28" t="s">
        <v>91</v>
      </c>
      <c r="P132" s="32">
        <v>50855.14</v>
      </c>
      <c r="Q132" s="56">
        <v>41085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s="33" customFormat="1" ht="12" customHeight="1">
      <c r="A133" s="25">
        <v>41071</v>
      </c>
      <c r="B133" s="225" t="s">
        <v>228</v>
      </c>
      <c r="C133" s="219" t="s">
        <v>756</v>
      </c>
      <c r="D133" s="225" t="s">
        <v>357</v>
      </c>
      <c r="E133" s="28">
        <v>1711</v>
      </c>
      <c r="F133" s="119">
        <v>20</v>
      </c>
      <c r="G133" s="26" t="s">
        <v>239</v>
      </c>
      <c r="H133" s="31">
        <v>11.78</v>
      </c>
      <c r="I133" s="27">
        <f t="shared" si="4"/>
        <v>235.6</v>
      </c>
      <c r="J133" s="28" t="s">
        <v>358</v>
      </c>
      <c r="K133" s="25">
        <v>41071</v>
      </c>
      <c r="L133" s="412"/>
      <c r="M133" s="25">
        <v>41072</v>
      </c>
      <c r="N133" s="26" t="s">
        <v>330</v>
      </c>
      <c r="O133" s="28" t="s">
        <v>91</v>
      </c>
      <c r="P133" s="32">
        <v>50855.14</v>
      </c>
      <c r="Q133" s="56">
        <v>41085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s="33" customFormat="1" ht="12" customHeight="1">
      <c r="A134" s="25">
        <v>41071</v>
      </c>
      <c r="B134" s="225" t="s">
        <v>228</v>
      </c>
      <c r="C134" s="219" t="s">
        <v>756</v>
      </c>
      <c r="D134" s="1" t="s">
        <v>1213</v>
      </c>
      <c r="E134" s="28" t="s">
        <v>238</v>
      </c>
      <c r="F134" s="119">
        <v>20</v>
      </c>
      <c r="G134" s="26" t="s">
        <v>239</v>
      </c>
      <c r="H134" s="31">
        <v>13.4</v>
      </c>
      <c r="I134" s="27">
        <f t="shared" si="4"/>
        <v>268</v>
      </c>
      <c r="J134" s="28" t="s">
        <v>358</v>
      </c>
      <c r="K134" s="25">
        <v>41071</v>
      </c>
      <c r="L134" s="412"/>
      <c r="M134" s="25">
        <v>41072</v>
      </c>
      <c r="N134" s="26" t="s">
        <v>330</v>
      </c>
      <c r="O134" s="28" t="s">
        <v>91</v>
      </c>
      <c r="P134" s="32">
        <v>50855.14</v>
      </c>
      <c r="Q134" s="56">
        <v>41085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s="33" customFormat="1" ht="12" customHeight="1">
      <c r="A135" s="25">
        <v>41072</v>
      </c>
      <c r="B135" s="225" t="s">
        <v>228</v>
      </c>
      <c r="C135" s="219" t="s">
        <v>756</v>
      </c>
      <c r="D135" s="225" t="s">
        <v>232</v>
      </c>
      <c r="E135" s="28" t="s">
        <v>235</v>
      </c>
      <c r="F135" s="205">
        <v>8000</v>
      </c>
      <c r="G135" s="26" t="s">
        <v>231</v>
      </c>
      <c r="H135" s="31">
        <v>1.8</v>
      </c>
      <c r="I135" s="27">
        <f t="shared" si="4"/>
        <v>14400</v>
      </c>
      <c r="J135" s="28" t="s">
        <v>359</v>
      </c>
      <c r="K135" s="25">
        <v>41072</v>
      </c>
      <c r="L135" s="412"/>
      <c r="M135" s="25">
        <v>41079</v>
      </c>
      <c r="N135" s="26" t="s">
        <v>330</v>
      </c>
      <c r="O135" s="28" t="s">
        <v>91</v>
      </c>
      <c r="P135" s="32">
        <v>50855.14</v>
      </c>
      <c r="Q135" s="56">
        <v>41085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s="33" customFormat="1" ht="12" customHeight="1">
      <c r="A136" s="25">
        <v>41073</v>
      </c>
      <c r="B136" s="225" t="s">
        <v>336</v>
      </c>
      <c r="C136" s="219" t="s">
        <v>756</v>
      </c>
      <c r="D136" s="225" t="s">
        <v>263</v>
      </c>
      <c r="E136" s="196" t="s">
        <v>281</v>
      </c>
      <c r="F136" s="119">
        <v>20</v>
      </c>
      <c r="G136" s="26" t="s">
        <v>229</v>
      </c>
      <c r="H136" s="31">
        <v>1.92</v>
      </c>
      <c r="I136" s="27">
        <f t="shared" si="4"/>
        <v>38.4</v>
      </c>
      <c r="J136" s="28" t="s">
        <v>360</v>
      </c>
      <c r="K136" s="25">
        <v>41073</v>
      </c>
      <c r="L136" s="412"/>
      <c r="M136" s="56">
        <v>41072</v>
      </c>
      <c r="N136" s="29" t="s">
        <v>343</v>
      </c>
      <c r="O136" s="28" t="s">
        <v>718</v>
      </c>
      <c r="P136" s="32">
        <v>13314.5</v>
      </c>
      <c r="Q136" s="56">
        <v>41086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s="33" customFormat="1" ht="12" customHeight="1">
      <c r="A137" s="25">
        <v>41073</v>
      </c>
      <c r="B137" s="225" t="s">
        <v>336</v>
      </c>
      <c r="C137" s="219" t="s">
        <v>756</v>
      </c>
      <c r="D137" s="225" t="s">
        <v>353</v>
      </c>
      <c r="E137" s="196" t="s">
        <v>259</v>
      </c>
      <c r="F137" s="119">
        <v>40</v>
      </c>
      <c r="G137" s="26" t="s">
        <v>229</v>
      </c>
      <c r="H137" s="26">
        <v>13.33</v>
      </c>
      <c r="I137" s="27">
        <f t="shared" si="4"/>
        <v>533.20000000000005</v>
      </c>
      <c r="J137" s="28" t="s">
        <v>361</v>
      </c>
      <c r="K137" s="25">
        <v>41073</v>
      </c>
      <c r="L137" s="412"/>
      <c r="M137" s="56">
        <v>41072</v>
      </c>
      <c r="N137" s="29" t="s">
        <v>343</v>
      </c>
      <c r="O137" s="28" t="s">
        <v>718</v>
      </c>
      <c r="P137" s="32">
        <v>13314.5</v>
      </c>
      <c r="Q137" s="56">
        <v>41086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s="33" customFormat="1" ht="12" customHeight="1">
      <c r="A138" s="25">
        <v>41073</v>
      </c>
      <c r="B138" s="225" t="s">
        <v>336</v>
      </c>
      <c r="C138" s="219" t="s">
        <v>756</v>
      </c>
      <c r="D138" s="225" t="s">
        <v>268</v>
      </c>
      <c r="E138" s="196" t="s">
        <v>269</v>
      </c>
      <c r="F138" s="119">
        <v>200</v>
      </c>
      <c r="G138" s="26" t="s">
        <v>231</v>
      </c>
      <c r="H138" s="31">
        <v>1.43</v>
      </c>
      <c r="I138" s="27">
        <f t="shared" si="4"/>
        <v>286</v>
      </c>
      <c r="J138" s="28" t="s">
        <v>362</v>
      </c>
      <c r="K138" s="25">
        <v>41073</v>
      </c>
      <c r="L138" s="412"/>
      <c r="M138" s="56">
        <v>41072</v>
      </c>
      <c r="N138" s="29" t="s">
        <v>343</v>
      </c>
      <c r="O138" s="28" t="s">
        <v>718</v>
      </c>
      <c r="P138" s="32">
        <v>13314.5</v>
      </c>
      <c r="Q138" s="56">
        <v>41086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s="33" customFormat="1" ht="12" customHeight="1">
      <c r="A139" s="25">
        <v>41073</v>
      </c>
      <c r="B139" s="225" t="s">
        <v>336</v>
      </c>
      <c r="C139" s="219" t="s">
        <v>756</v>
      </c>
      <c r="D139" s="225" t="s">
        <v>273</v>
      </c>
      <c r="E139" s="196" t="s">
        <v>274</v>
      </c>
      <c r="F139" s="119">
        <v>4</v>
      </c>
      <c r="G139" s="26" t="s">
        <v>684</v>
      </c>
      <c r="H139" s="31">
        <v>32</v>
      </c>
      <c r="I139" s="27">
        <f t="shared" si="4"/>
        <v>128</v>
      </c>
      <c r="J139" s="28" t="s">
        <v>362</v>
      </c>
      <c r="K139" s="25">
        <v>41073</v>
      </c>
      <c r="L139" s="412"/>
      <c r="M139" s="56">
        <v>41072</v>
      </c>
      <c r="N139" s="29" t="s">
        <v>343</v>
      </c>
      <c r="O139" s="28" t="s">
        <v>718</v>
      </c>
      <c r="P139" s="32">
        <v>13314.5</v>
      </c>
      <c r="Q139" s="56">
        <v>41086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s="33" customFormat="1" ht="12" customHeight="1">
      <c r="A140" s="25">
        <v>41073</v>
      </c>
      <c r="B140" s="225" t="s">
        <v>336</v>
      </c>
      <c r="C140" s="219" t="s">
        <v>756</v>
      </c>
      <c r="D140" s="225" t="s">
        <v>353</v>
      </c>
      <c r="E140" s="196" t="s">
        <v>242</v>
      </c>
      <c r="F140" s="119">
        <v>30</v>
      </c>
      <c r="G140" s="26" t="s">
        <v>229</v>
      </c>
      <c r="H140" s="31">
        <v>18.37</v>
      </c>
      <c r="I140" s="27">
        <f t="shared" si="4"/>
        <v>551.1</v>
      </c>
      <c r="J140" s="28" t="s">
        <v>363</v>
      </c>
      <c r="K140" s="25">
        <v>41073</v>
      </c>
      <c r="L140" s="412"/>
      <c r="M140" s="56">
        <v>41072</v>
      </c>
      <c r="N140" s="29" t="s">
        <v>343</v>
      </c>
      <c r="O140" s="28" t="s">
        <v>718</v>
      </c>
      <c r="P140" s="32">
        <v>13314.5</v>
      </c>
      <c r="Q140" s="56">
        <v>41086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s="33" customFormat="1" ht="12" customHeight="1">
      <c r="A141" s="25">
        <v>41074</v>
      </c>
      <c r="B141" s="225" t="s">
        <v>228</v>
      </c>
      <c r="C141" s="219" t="s">
        <v>756</v>
      </c>
      <c r="D141" s="5" t="s">
        <v>2012</v>
      </c>
      <c r="E141" s="28" t="s">
        <v>245</v>
      </c>
      <c r="F141" s="119">
        <v>5000</v>
      </c>
      <c r="G141" s="198" t="s">
        <v>229</v>
      </c>
      <c r="H141" s="31">
        <v>1.58</v>
      </c>
      <c r="I141" s="27">
        <f t="shared" si="4"/>
        <v>7900</v>
      </c>
      <c r="J141" s="28" t="s">
        <v>364</v>
      </c>
      <c r="K141" s="25">
        <v>41074</v>
      </c>
      <c r="L141" s="412"/>
      <c r="M141" s="25">
        <v>41079</v>
      </c>
      <c r="N141" s="26" t="s">
        <v>330</v>
      </c>
      <c r="O141" s="28" t="s">
        <v>91</v>
      </c>
      <c r="P141" s="32">
        <v>50855.14</v>
      </c>
      <c r="Q141" s="56">
        <v>41085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s="33" customFormat="1" ht="12" customHeight="1">
      <c r="A142" s="25">
        <v>41075</v>
      </c>
      <c r="B142" s="225" t="s">
        <v>1978</v>
      </c>
      <c r="C142" s="219" t="s">
        <v>756</v>
      </c>
      <c r="D142" s="5" t="s">
        <v>1221</v>
      </c>
      <c r="E142" s="196" t="s">
        <v>686</v>
      </c>
      <c r="F142" s="119">
        <v>77</v>
      </c>
      <c r="G142" s="26" t="s">
        <v>684</v>
      </c>
      <c r="H142" s="31">
        <v>38</v>
      </c>
      <c r="I142" s="27">
        <f t="shared" si="4"/>
        <v>2926</v>
      </c>
      <c r="J142" s="28" t="s">
        <v>687</v>
      </c>
      <c r="K142" s="25">
        <v>41078</v>
      </c>
      <c r="L142" s="412"/>
      <c r="M142" s="25">
        <v>41075</v>
      </c>
      <c r="N142" s="26" t="s">
        <v>330</v>
      </c>
      <c r="O142" s="28" t="s">
        <v>719</v>
      </c>
      <c r="P142" s="32">
        <v>40726</v>
      </c>
      <c r="Q142" s="56">
        <v>41079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s="33" customFormat="1" ht="12" customHeight="1">
      <c r="A143" s="25">
        <v>41078</v>
      </c>
      <c r="B143" s="225" t="s">
        <v>336</v>
      </c>
      <c r="C143" s="219" t="s">
        <v>756</v>
      </c>
      <c r="D143" s="342" t="s">
        <v>240</v>
      </c>
      <c r="E143" s="196">
        <v>6200</v>
      </c>
      <c r="F143" s="119">
        <v>48</v>
      </c>
      <c r="G143" s="26" t="s">
        <v>684</v>
      </c>
      <c r="H143" s="31">
        <v>45.8</v>
      </c>
      <c r="I143" s="27">
        <f t="shared" si="4"/>
        <v>2198.3999999999996</v>
      </c>
      <c r="J143" s="28" t="s">
        <v>92</v>
      </c>
      <c r="K143" s="25">
        <v>41078</v>
      </c>
      <c r="L143" s="412"/>
      <c r="M143" s="56">
        <v>41078</v>
      </c>
      <c r="N143" s="29" t="s">
        <v>343</v>
      </c>
      <c r="O143" s="28" t="s">
        <v>718</v>
      </c>
      <c r="P143" s="32">
        <v>13314.5</v>
      </c>
      <c r="Q143" s="56">
        <v>41086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s="33" customFormat="1" ht="12" customHeight="1">
      <c r="A144" s="25">
        <v>41078</v>
      </c>
      <c r="B144" s="225" t="s">
        <v>336</v>
      </c>
      <c r="C144" s="219" t="s">
        <v>756</v>
      </c>
      <c r="D144" s="225" t="s">
        <v>263</v>
      </c>
      <c r="E144" s="196" t="s">
        <v>281</v>
      </c>
      <c r="F144" s="119">
        <v>100</v>
      </c>
      <c r="G144" s="26" t="s">
        <v>229</v>
      </c>
      <c r="H144" s="31">
        <v>1.92</v>
      </c>
      <c r="I144" s="27">
        <f t="shared" si="4"/>
        <v>192</v>
      </c>
      <c r="J144" s="28" t="s">
        <v>92</v>
      </c>
      <c r="K144" s="25">
        <v>41078</v>
      </c>
      <c r="L144" s="412"/>
      <c r="M144" s="56">
        <v>41078</v>
      </c>
      <c r="N144" s="29" t="s">
        <v>343</v>
      </c>
      <c r="O144" s="28" t="s">
        <v>718</v>
      </c>
      <c r="P144" s="32">
        <v>13314.5</v>
      </c>
      <c r="Q144" s="56">
        <v>41086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s="33" customFormat="1" ht="12" customHeight="1">
      <c r="A145" s="25">
        <v>41078</v>
      </c>
      <c r="B145" s="225" t="s">
        <v>336</v>
      </c>
      <c r="C145" s="219" t="s">
        <v>756</v>
      </c>
      <c r="D145" s="225" t="s">
        <v>353</v>
      </c>
      <c r="E145" s="196" t="s">
        <v>242</v>
      </c>
      <c r="F145" s="119">
        <v>120</v>
      </c>
      <c r="G145" s="26" t="s">
        <v>229</v>
      </c>
      <c r="H145" s="31">
        <v>18.37</v>
      </c>
      <c r="I145" s="27">
        <f t="shared" si="4"/>
        <v>2204.4</v>
      </c>
      <c r="J145" s="28" t="s">
        <v>693</v>
      </c>
      <c r="K145" s="25">
        <v>41078</v>
      </c>
      <c r="L145" s="412"/>
      <c r="M145" s="56">
        <v>41078</v>
      </c>
      <c r="N145" s="29" t="s">
        <v>343</v>
      </c>
      <c r="O145" s="28" t="s">
        <v>718</v>
      </c>
      <c r="P145" s="32">
        <v>13314.5</v>
      </c>
      <c r="Q145" s="56">
        <v>41086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s="33" customFormat="1" ht="12" customHeight="1">
      <c r="A146" s="25">
        <v>41078</v>
      </c>
      <c r="B146" s="225" t="s">
        <v>336</v>
      </c>
      <c r="C146" s="219" t="s">
        <v>756</v>
      </c>
      <c r="D146" s="1" t="s">
        <v>1210</v>
      </c>
      <c r="E146" s="196">
        <v>3200</v>
      </c>
      <c r="F146" s="119">
        <v>60</v>
      </c>
      <c r="G146" s="26" t="s">
        <v>684</v>
      </c>
      <c r="H146" s="31">
        <v>28</v>
      </c>
      <c r="I146" s="27">
        <f t="shared" si="4"/>
        <v>1680</v>
      </c>
      <c r="J146" s="28" t="s">
        <v>693</v>
      </c>
      <c r="K146" s="25">
        <v>41078</v>
      </c>
      <c r="L146" s="412"/>
      <c r="M146" s="56">
        <v>41078</v>
      </c>
      <c r="N146" s="29" t="s">
        <v>343</v>
      </c>
      <c r="O146" s="28" t="s">
        <v>718</v>
      </c>
      <c r="P146" s="32">
        <v>13314.5</v>
      </c>
      <c r="Q146" s="56">
        <v>41086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s="33" customFormat="1" ht="12" customHeight="1">
      <c r="A147" s="25">
        <v>41078</v>
      </c>
      <c r="B147" s="225" t="s">
        <v>228</v>
      </c>
      <c r="C147" s="219" t="s">
        <v>756</v>
      </c>
      <c r="D147" s="225" t="s">
        <v>263</v>
      </c>
      <c r="E147" s="28">
        <v>501</v>
      </c>
      <c r="F147" s="119">
        <v>60</v>
      </c>
      <c r="G147" s="26" t="s">
        <v>684</v>
      </c>
      <c r="H147" s="31">
        <v>1.4</v>
      </c>
      <c r="I147" s="27">
        <f t="shared" si="4"/>
        <v>84</v>
      </c>
      <c r="J147" s="28" t="s">
        <v>93</v>
      </c>
      <c r="K147" s="25">
        <v>41078</v>
      </c>
      <c r="L147" s="412"/>
      <c r="M147" s="25">
        <v>41079</v>
      </c>
      <c r="N147" s="26" t="s">
        <v>330</v>
      </c>
      <c r="O147" s="28" t="s">
        <v>91</v>
      </c>
      <c r="P147" s="32">
        <v>50855.14</v>
      </c>
      <c r="Q147" s="56">
        <v>41085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s="33" customFormat="1" ht="12" customHeight="1">
      <c r="A148" s="25">
        <v>41078</v>
      </c>
      <c r="B148" s="225" t="s">
        <v>336</v>
      </c>
      <c r="C148" s="219" t="s">
        <v>756</v>
      </c>
      <c r="D148" s="225" t="s">
        <v>346</v>
      </c>
      <c r="E148" s="196">
        <v>3700</v>
      </c>
      <c r="F148" s="119">
        <v>50</v>
      </c>
      <c r="G148" s="26" t="s">
        <v>684</v>
      </c>
      <c r="H148" s="31">
        <v>3.65</v>
      </c>
      <c r="I148" s="27">
        <f t="shared" si="4"/>
        <v>182.5</v>
      </c>
      <c r="J148" s="28" t="s">
        <v>693</v>
      </c>
      <c r="K148" s="25">
        <v>41078</v>
      </c>
      <c r="L148" s="412"/>
      <c r="M148" s="56">
        <v>41078</v>
      </c>
      <c r="N148" s="29" t="s">
        <v>343</v>
      </c>
      <c r="O148" s="28" t="s">
        <v>718</v>
      </c>
      <c r="P148" s="32">
        <v>13314.5</v>
      </c>
      <c r="Q148" s="56">
        <v>41086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s="33" customFormat="1" ht="12" customHeight="1">
      <c r="A149" s="25">
        <v>41078</v>
      </c>
      <c r="B149" s="225" t="s">
        <v>228</v>
      </c>
      <c r="C149" s="219" t="s">
        <v>756</v>
      </c>
      <c r="D149" s="225" t="s">
        <v>694</v>
      </c>
      <c r="E149" s="28">
        <v>4680</v>
      </c>
      <c r="F149" s="119">
        <v>4</v>
      </c>
      <c r="G149" s="26" t="s">
        <v>690</v>
      </c>
      <c r="H149" s="31">
        <v>78.39</v>
      </c>
      <c r="I149" s="27">
        <f t="shared" si="4"/>
        <v>313.56</v>
      </c>
      <c r="J149" s="28" t="s">
        <v>695</v>
      </c>
      <c r="K149" s="25">
        <v>41078</v>
      </c>
      <c r="L149" s="412"/>
      <c r="M149" s="25">
        <v>41079</v>
      </c>
      <c r="N149" s="26" t="s">
        <v>330</v>
      </c>
      <c r="O149" s="28" t="s">
        <v>91</v>
      </c>
      <c r="P149" s="32">
        <v>50855.14</v>
      </c>
      <c r="Q149" s="56">
        <v>41085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s="33" customFormat="1" ht="12" customHeight="1">
      <c r="A150" s="25">
        <v>41078</v>
      </c>
      <c r="B150" s="225" t="s">
        <v>228</v>
      </c>
      <c r="C150" s="219" t="s">
        <v>756</v>
      </c>
      <c r="D150" s="225" t="s">
        <v>357</v>
      </c>
      <c r="E150" s="28">
        <v>1711</v>
      </c>
      <c r="F150" s="119">
        <v>6</v>
      </c>
      <c r="G150" s="26" t="s">
        <v>690</v>
      </c>
      <c r="H150" s="31">
        <v>11.78</v>
      </c>
      <c r="I150" s="27">
        <f t="shared" si="4"/>
        <v>70.679999999999993</v>
      </c>
      <c r="J150" s="28" t="s">
        <v>695</v>
      </c>
      <c r="K150" s="25">
        <v>41078</v>
      </c>
      <c r="L150" s="412"/>
      <c r="M150" s="25">
        <v>41079</v>
      </c>
      <c r="N150" s="26" t="s">
        <v>330</v>
      </c>
      <c r="O150" s="28" t="s">
        <v>91</v>
      </c>
      <c r="P150" s="32">
        <v>50855.14</v>
      </c>
      <c r="Q150" s="56">
        <v>41085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s="33" customFormat="1" ht="12" customHeight="1">
      <c r="A151" s="25">
        <v>41079</v>
      </c>
      <c r="B151" s="225" t="s">
        <v>228</v>
      </c>
      <c r="C151" s="219" t="s">
        <v>756</v>
      </c>
      <c r="D151" s="225" t="s">
        <v>287</v>
      </c>
      <c r="E151" s="28">
        <v>10434</v>
      </c>
      <c r="F151" s="119">
        <v>5</v>
      </c>
      <c r="G151" s="26" t="s">
        <v>690</v>
      </c>
      <c r="H151" s="31">
        <v>14.88</v>
      </c>
      <c r="I151" s="27">
        <f t="shared" si="4"/>
        <v>74.400000000000006</v>
      </c>
      <c r="J151" s="28" t="s">
        <v>94</v>
      </c>
      <c r="K151" s="25">
        <v>41079</v>
      </c>
      <c r="L151" s="412"/>
      <c r="M151" s="25">
        <v>41079</v>
      </c>
      <c r="N151" s="26" t="s">
        <v>330</v>
      </c>
      <c r="O151" s="28" t="s">
        <v>91</v>
      </c>
      <c r="P151" s="32">
        <v>50855.14</v>
      </c>
      <c r="Q151" s="56">
        <v>41085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s="33" customFormat="1" ht="12" customHeight="1">
      <c r="A152" s="25">
        <v>41079</v>
      </c>
      <c r="B152" s="225" t="s">
        <v>228</v>
      </c>
      <c r="C152" s="219" t="s">
        <v>756</v>
      </c>
      <c r="D152" s="225" t="s">
        <v>304</v>
      </c>
      <c r="E152" s="28">
        <v>1426</v>
      </c>
      <c r="F152" s="119">
        <v>10</v>
      </c>
      <c r="G152" s="26" t="s">
        <v>690</v>
      </c>
      <c r="H152" s="31">
        <v>20</v>
      </c>
      <c r="I152" s="27">
        <f t="shared" si="4"/>
        <v>200</v>
      </c>
      <c r="J152" s="28" t="s">
        <v>94</v>
      </c>
      <c r="K152" s="25">
        <v>41079</v>
      </c>
      <c r="L152" s="412"/>
      <c r="M152" s="25">
        <v>41079</v>
      </c>
      <c r="N152" s="26" t="s">
        <v>330</v>
      </c>
      <c r="O152" s="28" t="s">
        <v>91</v>
      </c>
      <c r="P152" s="32">
        <v>50855.14</v>
      </c>
      <c r="Q152" s="56">
        <v>41085</v>
      </c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s="33" customFormat="1" ht="12" customHeight="1">
      <c r="A153" s="25">
        <v>41079</v>
      </c>
      <c r="B153" s="225" t="s">
        <v>26</v>
      </c>
      <c r="C153" s="219" t="s">
        <v>756</v>
      </c>
      <c r="D153" s="225" t="s">
        <v>1873</v>
      </c>
      <c r="E153" s="196">
        <v>4941</v>
      </c>
      <c r="F153" s="177" t="s">
        <v>1582</v>
      </c>
      <c r="G153" s="159" t="s">
        <v>27</v>
      </c>
      <c r="H153" s="31">
        <v>370</v>
      </c>
      <c r="I153" s="27">
        <f>H153*1*0.8</f>
        <v>296</v>
      </c>
      <c r="J153" s="28" t="s">
        <v>705</v>
      </c>
      <c r="K153" s="25">
        <v>41079</v>
      </c>
      <c r="L153" s="412"/>
      <c r="M153" s="25">
        <v>41079</v>
      </c>
      <c r="N153" s="29" t="s">
        <v>698</v>
      </c>
      <c r="O153" s="28" t="s">
        <v>1011</v>
      </c>
      <c r="P153" s="32">
        <v>1436</v>
      </c>
      <c r="Q153" s="56">
        <v>41199</v>
      </c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s="33" customFormat="1" ht="12" customHeight="1">
      <c r="A154" s="25">
        <v>41079</v>
      </c>
      <c r="B154" s="225" t="s">
        <v>1979</v>
      </c>
      <c r="C154" s="219" t="s">
        <v>756</v>
      </c>
      <c r="D154" s="1" t="s">
        <v>1210</v>
      </c>
      <c r="E154" s="196">
        <v>3200</v>
      </c>
      <c r="F154" s="119">
        <v>50</v>
      </c>
      <c r="G154" s="26" t="s">
        <v>684</v>
      </c>
      <c r="H154" s="31">
        <v>28</v>
      </c>
      <c r="I154" s="27">
        <f t="shared" ref="I154:I185" si="5">H154*F154</f>
        <v>1400</v>
      </c>
      <c r="J154" s="28" t="s">
        <v>706</v>
      </c>
      <c r="K154" s="25">
        <v>41079</v>
      </c>
      <c r="L154" s="412"/>
      <c r="M154" s="56">
        <v>41079</v>
      </c>
      <c r="N154" s="29" t="s">
        <v>688</v>
      </c>
      <c r="O154" s="28" t="s">
        <v>718</v>
      </c>
      <c r="P154" s="32">
        <v>13314.5</v>
      </c>
      <c r="Q154" s="56">
        <v>41086</v>
      </c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s="33" customFormat="1" ht="12" customHeight="1">
      <c r="A155" s="25">
        <v>41079</v>
      </c>
      <c r="B155" s="225" t="s">
        <v>336</v>
      </c>
      <c r="C155" s="219" t="s">
        <v>756</v>
      </c>
      <c r="D155" s="225" t="s">
        <v>346</v>
      </c>
      <c r="E155" s="196">
        <v>3700</v>
      </c>
      <c r="F155" s="119">
        <v>50</v>
      </c>
      <c r="G155" s="26" t="s">
        <v>684</v>
      </c>
      <c r="H155" s="31">
        <v>3.65</v>
      </c>
      <c r="I155" s="27">
        <f t="shared" si="5"/>
        <v>182.5</v>
      </c>
      <c r="J155" s="28" t="s">
        <v>706</v>
      </c>
      <c r="K155" s="25">
        <v>41079</v>
      </c>
      <c r="L155" s="412"/>
      <c r="M155" s="56">
        <v>41079</v>
      </c>
      <c r="N155" s="29" t="s">
        <v>688</v>
      </c>
      <c r="O155" s="28" t="s">
        <v>718</v>
      </c>
      <c r="P155" s="32">
        <v>13314.5</v>
      </c>
      <c r="Q155" s="56">
        <v>41086</v>
      </c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s="33" customFormat="1" ht="12" customHeight="1">
      <c r="A156" s="25">
        <v>41080</v>
      </c>
      <c r="B156" s="225" t="s">
        <v>228</v>
      </c>
      <c r="C156" s="219" t="s">
        <v>756</v>
      </c>
      <c r="D156" s="225" t="s">
        <v>350</v>
      </c>
      <c r="E156" s="28">
        <v>7502</v>
      </c>
      <c r="F156" s="119">
        <v>5</v>
      </c>
      <c r="G156" s="26" t="s">
        <v>684</v>
      </c>
      <c r="H156" s="31">
        <v>122.8</v>
      </c>
      <c r="I156" s="27">
        <f t="shared" si="5"/>
        <v>614</v>
      </c>
      <c r="J156" s="28" t="s">
        <v>707</v>
      </c>
      <c r="K156" s="25">
        <v>41080</v>
      </c>
      <c r="L156" s="412"/>
      <c r="M156" s="25">
        <v>41086</v>
      </c>
      <c r="N156" s="26" t="s">
        <v>330</v>
      </c>
      <c r="O156" s="28" t="s">
        <v>847</v>
      </c>
      <c r="P156" s="32">
        <v>29214.74</v>
      </c>
      <c r="Q156" s="88">
        <v>41117</v>
      </c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s="33" customFormat="1" ht="12" customHeight="1">
      <c r="A157" s="25">
        <v>41080</v>
      </c>
      <c r="B157" s="225" t="s">
        <v>336</v>
      </c>
      <c r="C157" s="219" t="s">
        <v>756</v>
      </c>
      <c r="D157" s="225" t="s">
        <v>273</v>
      </c>
      <c r="E157" s="196" t="s">
        <v>274</v>
      </c>
      <c r="F157" s="119">
        <v>20</v>
      </c>
      <c r="G157" s="26" t="s">
        <v>684</v>
      </c>
      <c r="H157" s="31">
        <v>32</v>
      </c>
      <c r="I157" s="27">
        <f t="shared" si="5"/>
        <v>640</v>
      </c>
      <c r="J157" s="28" t="s">
        <v>708</v>
      </c>
      <c r="K157" s="25">
        <v>41080</v>
      </c>
      <c r="L157" s="412"/>
      <c r="M157" s="56">
        <v>41080</v>
      </c>
      <c r="N157" s="29" t="s">
        <v>688</v>
      </c>
      <c r="O157" s="28" t="s">
        <v>718</v>
      </c>
      <c r="P157" s="32">
        <v>13314.5</v>
      </c>
      <c r="Q157" s="56">
        <v>41086</v>
      </c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s="33" customFormat="1" ht="12" customHeight="1">
      <c r="A158" s="25">
        <v>41081</v>
      </c>
      <c r="B158" s="225" t="s">
        <v>316</v>
      </c>
      <c r="C158" s="219" t="s">
        <v>756</v>
      </c>
      <c r="D158" s="225" t="s">
        <v>1874</v>
      </c>
      <c r="E158" s="196" t="s">
        <v>233</v>
      </c>
      <c r="F158" s="119">
        <v>500</v>
      </c>
      <c r="G158" s="194" t="s">
        <v>231</v>
      </c>
      <c r="H158" s="31">
        <v>5.0999999999999996</v>
      </c>
      <c r="I158" s="27">
        <f t="shared" si="5"/>
        <v>2550</v>
      </c>
      <c r="J158" s="28" t="s">
        <v>705</v>
      </c>
      <c r="K158" s="25">
        <v>41080</v>
      </c>
      <c r="L158" s="412"/>
      <c r="M158" s="25">
        <v>41080</v>
      </c>
      <c r="N158" s="29" t="s">
        <v>698</v>
      </c>
      <c r="O158" s="28" t="s">
        <v>709</v>
      </c>
      <c r="P158" s="32">
        <v>2550</v>
      </c>
      <c r="Q158" s="56">
        <v>41081</v>
      </c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s="33" customFormat="1" ht="12" customHeight="1">
      <c r="A159" s="25">
        <v>41081</v>
      </c>
      <c r="B159" s="225" t="s">
        <v>336</v>
      </c>
      <c r="C159" s="219" t="s">
        <v>756</v>
      </c>
      <c r="D159" s="1" t="s">
        <v>1210</v>
      </c>
      <c r="E159" s="196">
        <v>3200</v>
      </c>
      <c r="F159" s="119">
        <v>40</v>
      </c>
      <c r="G159" s="26" t="s">
        <v>684</v>
      </c>
      <c r="H159" s="31">
        <v>28</v>
      </c>
      <c r="I159" s="27">
        <f t="shared" si="5"/>
        <v>1120</v>
      </c>
      <c r="J159" s="28" t="s">
        <v>710</v>
      </c>
      <c r="K159" s="25">
        <v>41081</v>
      </c>
      <c r="L159" s="412"/>
      <c r="M159" s="56">
        <v>41081</v>
      </c>
      <c r="N159" s="29" t="s">
        <v>698</v>
      </c>
      <c r="O159" s="28" t="s">
        <v>718</v>
      </c>
      <c r="P159" s="32">
        <v>13314.5</v>
      </c>
      <c r="Q159" s="56">
        <v>41086</v>
      </c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s="33" customFormat="1" ht="12" customHeight="1">
      <c r="A160" s="25">
        <v>41081</v>
      </c>
      <c r="B160" s="225" t="s">
        <v>1979</v>
      </c>
      <c r="C160" s="219" t="s">
        <v>756</v>
      </c>
      <c r="D160" s="225" t="s">
        <v>346</v>
      </c>
      <c r="E160" s="196">
        <v>3700</v>
      </c>
      <c r="F160" s="119">
        <v>40</v>
      </c>
      <c r="G160" s="26" t="s">
        <v>684</v>
      </c>
      <c r="H160" s="31">
        <v>3.6</v>
      </c>
      <c r="I160" s="27">
        <f t="shared" si="5"/>
        <v>144</v>
      </c>
      <c r="J160" s="28" t="s">
        <v>710</v>
      </c>
      <c r="K160" s="25">
        <v>41081</v>
      </c>
      <c r="L160" s="412"/>
      <c r="M160" s="56">
        <v>41081</v>
      </c>
      <c r="N160" s="29" t="s">
        <v>698</v>
      </c>
      <c r="O160" s="28" t="s">
        <v>718</v>
      </c>
      <c r="P160" s="32">
        <v>13314.5</v>
      </c>
      <c r="Q160" s="56">
        <v>41086</v>
      </c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s="33" customFormat="1" ht="12" customHeight="1">
      <c r="A161" s="25">
        <v>41081</v>
      </c>
      <c r="B161" s="225" t="s">
        <v>228</v>
      </c>
      <c r="C161" s="219" t="s">
        <v>756</v>
      </c>
      <c r="D161" s="225" t="s">
        <v>305</v>
      </c>
      <c r="E161" s="28">
        <v>1270</v>
      </c>
      <c r="F161" s="119">
        <v>40</v>
      </c>
      <c r="G161" s="190" t="s">
        <v>239</v>
      </c>
      <c r="H161" s="31">
        <v>4.3099999999999996</v>
      </c>
      <c r="I161" s="27">
        <f t="shared" si="5"/>
        <v>172.39999999999998</v>
      </c>
      <c r="J161" s="28" t="s">
        <v>95</v>
      </c>
      <c r="K161" s="25">
        <v>41081</v>
      </c>
      <c r="L161" s="412"/>
      <c r="M161" s="25">
        <v>41086</v>
      </c>
      <c r="N161" s="26" t="s">
        <v>330</v>
      </c>
      <c r="O161" s="28" t="s">
        <v>847</v>
      </c>
      <c r="P161" s="32">
        <v>29214.74</v>
      </c>
      <c r="Q161" s="88">
        <v>41117</v>
      </c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s="33" customFormat="1" ht="12" customHeight="1">
      <c r="A162" s="25">
        <v>41081</v>
      </c>
      <c r="B162" s="225" t="s">
        <v>228</v>
      </c>
      <c r="C162" s="219" t="s">
        <v>756</v>
      </c>
      <c r="D162" s="225" t="s">
        <v>232</v>
      </c>
      <c r="E162" s="28" t="s">
        <v>235</v>
      </c>
      <c r="F162" s="205">
        <v>140</v>
      </c>
      <c r="G162" s="26" t="s">
        <v>689</v>
      </c>
      <c r="H162" s="31">
        <v>1.8</v>
      </c>
      <c r="I162" s="27">
        <f t="shared" si="5"/>
        <v>252</v>
      </c>
      <c r="J162" s="28" t="s">
        <v>95</v>
      </c>
      <c r="K162" s="25">
        <v>41081</v>
      </c>
      <c r="L162" s="412"/>
      <c r="M162" s="25">
        <v>41086</v>
      </c>
      <c r="N162" s="26" t="s">
        <v>330</v>
      </c>
      <c r="O162" s="28" t="s">
        <v>847</v>
      </c>
      <c r="P162" s="32">
        <v>29214.74</v>
      </c>
      <c r="Q162" s="88">
        <v>41117</v>
      </c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s="33" customFormat="1" ht="12" customHeight="1">
      <c r="A163" s="25">
        <v>41085</v>
      </c>
      <c r="B163" s="225" t="s">
        <v>228</v>
      </c>
      <c r="C163" s="219" t="s">
        <v>756</v>
      </c>
      <c r="D163" s="5" t="s">
        <v>2012</v>
      </c>
      <c r="E163" s="28" t="s">
        <v>96</v>
      </c>
      <c r="F163" s="326">
        <v>2000</v>
      </c>
      <c r="G163" s="198" t="s">
        <v>229</v>
      </c>
      <c r="H163" s="31">
        <v>1.55</v>
      </c>
      <c r="I163" s="27">
        <f t="shared" si="5"/>
        <v>3100</v>
      </c>
      <c r="J163" s="28" t="s">
        <v>97</v>
      </c>
      <c r="K163" s="25">
        <v>41085</v>
      </c>
      <c r="L163" s="412"/>
      <c r="M163" s="25">
        <v>41086</v>
      </c>
      <c r="N163" s="26" t="s">
        <v>330</v>
      </c>
      <c r="O163" s="28" t="s">
        <v>847</v>
      </c>
      <c r="P163" s="32">
        <v>29214.74</v>
      </c>
      <c r="Q163" s="88">
        <v>41117</v>
      </c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s="33" customFormat="1" ht="12" customHeight="1">
      <c r="A164" s="25">
        <v>41085</v>
      </c>
      <c r="B164" s="225" t="s">
        <v>228</v>
      </c>
      <c r="C164" s="219" t="s">
        <v>756</v>
      </c>
      <c r="D164" s="225" t="s">
        <v>1875</v>
      </c>
      <c r="E164" s="28">
        <v>4680</v>
      </c>
      <c r="F164" s="119">
        <v>2</v>
      </c>
      <c r="G164" s="26" t="s">
        <v>696</v>
      </c>
      <c r="H164" s="31">
        <v>78.39</v>
      </c>
      <c r="I164" s="27">
        <f t="shared" si="5"/>
        <v>156.78</v>
      </c>
      <c r="J164" s="28" t="s">
        <v>715</v>
      </c>
      <c r="K164" s="25">
        <v>41085</v>
      </c>
      <c r="L164" s="412"/>
      <c r="M164" s="25">
        <v>41086</v>
      </c>
      <c r="N164" s="26" t="s">
        <v>330</v>
      </c>
      <c r="O164" s="28" t="s">
        <v>847</v>
      </c>
      <c r="P164" s="32">
        <v>29214.74</v>
      </c>
      <c r="Q164" s="88">
        <v>41117</v>
      </c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s="33" customFormat="1" ht="12" customHeight="1">
      <c r="A165" s="25">
        <v>41085</v>
      </c>
      <c r="B165" s="225" t="s">
        <v>228</v>
      </c>
      <c r="C165" s="219" t="s">
        <v>756</v>
      </c>
      <c r="D165" s="225" t="s">
        <v>263</v>
      </c>
      <c r="E165" s="28">
        <v>501</v>
      </c>
      <c r="F165" s="119">
        <v>100</v>
      </c>
      <c r="G165" s="26" t="s">
        <v>684</v>
      </c>
      <c r="H165" s="31">
        <v>1.4</v>
      </c>
      <c r="I165" s="27">
        <f t="shared" si="5"/>
        <v>140</v>
      </c>
      <c r="J165" s="28" t="s">
        <v>715</v>
      </c>
      <c r="K165" s="25">
        <v>41085</v>
      </c>
      <c r="L165" s="412"/>
      <c r="M165" s="25">
        <v>41086</v>
      </c>
      <c r="N165" s="26" t="s">
        <v>330</v>
      </c>
      <c r="O165" s="28" t="s">
        <v>847</v>
      </c>
      <c r="P165" s="32">
        <v>29214.74</v>
      </c>
      <c r="Q165" s="88">
        <v>41117</v>
      </c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s="33" customFormat="1" ht="12" customHeight="1">
      <c r="A166" s="25">
        <v>41086</v>
      </c>
      <c r="B166" s="225" t="s">
        <v>228</v>
      </c>
      <c r="C166" s="219" t="s">
        <v>756</v>
      </c>
      <c r="D166" s="225" t="s">
        <v>353</v>
      </c>
      <c r="E166" s="28" t="s">
        <v>242</v>
      </c>
      <c r="F166" s="119">
        <v>60</v>
      </c>
      <c r="G166" s="26" t="s">
        <v>229</v>
      </c>
      <c r="H166" s="31">
        <v>18.37</v>
      </c>
      <c r="I166" s="27">
        <f t="shared" si="5"/>
        <v>1102.2</v>
      </c>
      <c r="J166" s="28" t="s">
        <v>98</v>
      </c>
      <c r="K166" s="25">
        <v>41086</v>
      </c>
      <c r="L166" s="412"/>
      <c r="M166" s="25">
        <v>41086</v>
      </c>
      <c r="N166" s="26" t="s">
        <v>330</v>
      </c>
      <c r="O166" s="28" t="s">
        <v>847</v>
      </c>
      <c r="P166" s="32">
        <v>29214.74</v>
      </c>
      <c r="Q166" s="88">
        <v>41117</v>
      </c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s="33" customFormat="1" ht="12" customHeight="1">
      <c r="A167" s="25">
        <v>41086</v>
      </c>
      <c r="B167" s="225" t="s">
        <v>336</v>
      </c>
      <c r="C167" s="219" t="s">
        <v>756</v>
      </c>
      <c r="D167" s="342" t="s">
        <v>240</v>
      </c>
      <c r="E167" s="196">
        <v>6200</v>
      </c>
      <c r="F167" s="119">
        <v>40</v>
      </c>
      <c r="G167" s="26" t="s">
        <v>684</v>
      </c>
      <c r="H167" s="31">
        <v>45.8</v>
      </c>
      <c r="I167" s="27">
        <f t="shared" si="5"/>
        <v>1832</v>
      </c>
      <c r="J167" s="28" t="s">
        <v>99</v>
      </c>
      <c r="K167" s="25">
        <v>41086</v>
      </c>
      <c r="L167" s="412"/>
      <c r="M167" s="56">
        <v>41086</v>
      </c>
      <c r="N167" s="29" t="s">
        <v>166</v>
      </c>
      <c r="O167" s="28" t="s">
        <v>718</v>
      </c>
      <c r="P167" s="32">
        <v>13314.5</v>
      </c>
      <c r="Q167" s="56">
        <v>41086</v>
      </c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4.25" customHeight="1">
      <c r="A168" s="25">
        <v>41086</v>
      </c>
      <c r="B168" s="225" t="s">
        <v>1979</v>
      </c>
      <c r="C168" s="219" t="s">
        <v>756</v>
      </c>
      <c r="D168" s="225" t="s">
        <v>353</v>
      </c>
      <c r="E168" s="196" t="s">
        <v>242</v>
      </c>
      <c r="F168" s="131">
        <v>12</v>
      </c>
      <c r="G168" s="26" t="s">
        <v>229</v>
      </c>
      <c r="H168" s="31">
        <v>18.37</v>
      </c>
      <c r="I168" s="27">
        <f t="shared" si="5"/>
        <v>220.44</v>
      </c>
      <c r="J168" s="28" t="s">
        <v>717</v>
      </c>
      <c r="K168" s="25">
        <v>41086</v>
      </c>
      <c r="M168" s="56">
        <v>41086</v>
      </c>
      <c r="N168" s="29" t="s">
        <v>166</v>
      </c>
      <c r="O168" s="28" t="s">
        <v>1377</v>
      </c>
      <c r="P168" s="32">
        <v>16292.64</v>
      </c>
      <c r="Q168" s="56">
        <v>41241</v>
      </c>
    </row>
    <row r="169" spans="1:33" ht="12" customHeight="1">
      <c r="A169" s="25">
        <v>41086</v>
      </c>
      <c r="B169" s="225" t="s">
        <v>244</v>
      </c>
      <c r="C169" s="219" t="s">
        <v>756</v>
      </c>
      <c r="D169" s="225" t="s">
        <v>625</v>
      </c>
      <c r="E169" s="196">
        <v>9132</v>
      </c>
      <c r="F169" s="119">
        <v>600</v>
      </c>
      <c r="G169" s="26" t="s">
        <v>684</v>
      </c>
      <c r="H169" s="31">
        <v>2.6</v>
      </c>
      <c r="I169" s="27">
        <f t="shared" si="5"/>
        <v>1560</v>
      </c>
      <c r="J169" s="28" t="s">
        <v>100</v>
      </c>
      <c r="K169" s="25">
        <v>41089</v>
      </c>
      <c r="M169" s="25">
        <v>41087</v>
      </c>
      <c r="N169" s="29" t="s">
        <v>688</v>
      </c>
      <c r="O169" s="26" t="s">
        <v>713</v>
      </c>
    </row>
    <row r="170" spans="1:33" ht="12" customHeight="1">
      <c r="A170" s="25">
        <v>41087</v>
      </c>
      <c r="B170" s="225" t="s">
        <v>244</v>
      </c>
      <c r="C170" s="219" t="s">
        <v>756</v>
      </c>
      <c r="D170" s="225" t="s">
        <v>730</v>
      </c>
      <c r="E170" s="196">
        <v>8515</v>
      </c>
      <c r="F170" s="119">
        <v>5</v>
      </c>
      <c r="G170" s="26" t="s">
        <v>684</v>
      </c>
      <c r="H170" s="31">
        <v>17</v>
      </c>
      <c r="I170" s="27">
        <f t="shared" si="5"/>
        <v>85</v>
      </c>
      <c r="J170" s="28" t="s">
        <v>101</v>
      </c>
      <c r="K170" s="25">
        <v>41089</v>
      </c>
      <c r="M170" s="25">
        <v>41087</v>
      </c>
      <c r="N170" s="29" t="s">
        <v>688</v>
      </c>
      <c r="O170" s="26" t="s">
        <v>713</v>
      </c>
    </row>
    <row r="171" spans="1:33" s="33" customFormat="1" ht="12" customHeight="1">
      <c r="A171" s="25">
        <v>41087</v>
      </c>
      <c r="B171" s="225" t="s">
        <v>228</v>
      </c>
      <c r="C171" s="219" t="s">
        <v>756</v>
      </c>
      <c r="D171" s="225" t="s">
        <v>1876</v>
      </c>
      <c r="E171" s="28">
        <v>4680</v>
      </c>
      <c r="F171" s="119">
        <v>2</v>
      </c>
      <c r="G171" s="26" t="s">
        <v>696</v>
      </c>
      <c r="H171" s="31">
        <v>78.39</v>
      </c>
      <c r="I171" s="27">
        <f t="shared" si="5"/>
        <v>156.78</v>
      </c>
      <c r="J171" s="28" t="s">
        <v>724</v>
      </c>
      <c r="K171" s="25">
        <v>41087</v>
      </c>
      <c r="L171" s="412"/>
      <c r="M171" s="25">
        <v>41096</v>
      </c>
      <c r="N171" s="29" t="s">
        <v>688</v>
      </c>
      <c r="O171" s="28" t="s">
        <v>847</v>
      </c>
      <c r="P171" s="32">
        <v>29214.74</v>
      </c>
      <c r="Q171" s="88">
        <v>41117</v>
      </c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2" customHeight="1">
      <c r="A172" s="25">
        <v>41081</v>
      </c>
      <c r="B172" s="225" t="s">
        <v>244</v>
      </c>
      <c r="C172" s="219" t="s">
        <v>756</v>
      </c>
      <c r="D172" s="225" t="s">
        <v>1877</v>
      </c>
      <c r="E172" s="196">
        <v>4680</v>
      </c>
      <c r="F172" s="119">
        <v>2</v>
      </c>
      <c r="G172" s="26" t="s">
        <v>696</v>
      </c>
      <c r="H172" s="31">
        <v>96</v>
      </c>
      <c r="I172" s="27">
        <f t="shared" si="5"/>
        <v>192</v>
      </c>
      <c r="J172" s="28" t="s">
        <v>725</v>
      </c>
      <c r="K172" s="25">
        <v>41087</v>
      </c>
      <c r="M172" s="25">
        <v>41080</v>
      </c>
      <c r="N172" s="29" t="s">
        <v>697</v>
      </c>
      <c r="O172" s="28" t="s">
        <v>44</v>
      </c>
      <c r="P172" s="32">
        <v>16544</v>
      </c>
      <c r="Q172" s="56">
        <v>41138</v>
      </c>
      <c r="S172" s="26" t="s">
        <v>45</v>
      </c>
    </row>
    <row r="173" spans="1:33" s="33" customFormat="1" ht="12" customHeight="1">
      <c r="A173" s="25">
        <v>41088</v>
      </c>
      <c r="B173" s="225" t="s">
        <v>1978</v>
      </c>
      <c r="C173" s="219" t="s">
        <v>756</v>
      </c>
      <c r="D173" s="1" t="s">
        <v>1871</v>
      </c>
      <c r="E173" s="196" t="s">
        <v>102</v>
      </c>
      <c r="F173" s="119">
        <v>120</v>
      </c>
      <c r="G173" s="26" t="s">
        <v>684</v>
      </c>
      <c r="H173" s="31">
        <v>12.7</v>
      </c>
      <c r="I173" s="27">
        <f t="shared" si="5"/>
        <v>1524</v>
      </c>
      <c r="J173" s="28" t="s">
        <v>771</v>
      </c>
      <c r="K173" s="25">
        <v>41089</v>
      </c>
      <c r="L173" s="412"/>
      <c r="M173" s="25">
        <v>41088</v>
      </c>
      <c r="N173" s="29" t="s">
        <v>697</v>
      </c>
      <c r="O173" s="28" t="s">
        <v>1574</v>
      </c>
      <c r="P173" s="32">
        <v>36833.599999999999</v>
      </c>
      <c r="Q173" s="56">
        <v>41264</v>
      </c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2" customHeight="1">
      <c r="A174" s="25">
        <v>41089</v>
      </c>
      <c r="B174" s="225" t="s">
        <v>1979</v>
      </c>
      <c r="C174" s="219" t="s">
        <v>756</v>
      </c>
      <c r="D174" s="225" t="s">
        <v>268</v>
      </c>
      <c r="E174" s="196" t="s">
        <v>269</v>
      </c>
      <c r="F174" s="119">
        <v>300</v>
      </c>
      <c r="G174" s="26" t="s">
        <v>689</v>
      </c>
      <c r="H174" s="31">
        <v>1.43</v>
      </c>
      <c r="I174" s="27">
        <f t="shared" si="5"/>
        <v>429</v>
      </c>
      <c r="J174" s="28" t="s">
        <v>731</v>
      </c>
      <c r="K174" s="25">
        <v>41089</v>
      </c>
      <c r="M174" s="56">
        <v>41089</v>
      </c>
      <c r="N174" s="29" t="s">
        <v>166</v>
      </c>
      <c r="O174" s="51" t="s">
        <v>161</v>
      </c>
      <c r="P174" s="32">
        <v>15416.4</v>
      </c>
      <c r="Q174" s="56">
        <v>41151</v>
      </c>
    </row>
    <row r="175" spans="1:33" ht="12" customHeight="1">
      <c r="A175" s="25">
        <v>41089</v>
      </c>
      <c r="B175" s="225" t="s">
        <v>1979</v>
      </c>
      <c r="C175" s="219" t="s">
        <v>756</v>
      </c>
      <c r="D175" s="1" t="s">
        <v>1210</v>
      </c>
      <c r="E175" s="196">
        <v>3200</v>
      </c>
      <c r="F175" s="119">
        <v>40</v>
      </c>
      <c r="G175" s="26" t="s">
        <v>684</v>
      </c>
      <c r="H175" s="31">
        <v>28</v>
      </c>
      <c r="I175" s="27">
        <f t="shared" si="5"/>
        <v>1120</v>
      </c>
      <c r="J175" s="28" t="s">
        <v>731</v>
      </c>
      <c r="K175" s="25">
        <v>41089</v>
      </c>
      <c r="M175" s="56">
        <v>41089</v>
      </c>
      <c r="N175" s="29" t="s">
        <v>166</v>
      </c>
      <c r="O175" s="51" t="s">
        <v>161</v>
      </c>
      <c r="P175" s="32">
        <v>15416.4</v>
      </c>
      <c r="Q175" s="56">
        <v>41151</v>
      </c>
    </row>
    <row r="176" spans="1:33" ht="12" customHeight="1">
      <c r="A176" s="25">
        <v>41089</v>
      </c>
      <c r="B176" s="225" t="s">
        <v>1979</v>
      </c>
      <c r="C176" s="219" t="s">
        <v>756</v>
      </c>
      <c r="D176" s="225" t="s">
        <v>263</v>
      </c>
      <c r="E176" s="196" t="s">
        <v>281</v>
      </c>
      <c r="F176" s="119">
        <v>20</v>
      </c>
      <c r="G176" s="26" t="s">
        <v>229</v>
      </c>
      <c r="H176" s="31">
        <v>1.92</v>
      </c>
      <c r="I176" s="27">
        <f t="shared" si="5"/>
        <v>38.4</v>
      </c>
      <c r="J176" s="28" t="s">
        <v>731</v>
      </c>
      <c r="K176" s="25">
        <v>41089</v>
      </c>
      <c r="M176" s="56">
        <v>41089</v>
      </c>
      <c r="N176" s="29" t="s">
        <v>166</v>
      </c>
      <c r="O176" s="51" t="s">
        <v>161</v>
      </c>
      <c r="P176" s="32">
        <v>15416.4</v>
      </c>
      <c r="Q176" s="56">
        <v>41151</v>
      </c>
    </row>
    <row r="177" spans="1:33" ht="12" customHeight="1">
      <c r="A177" s="25">
        <v>41089</v>
      </c>
      <c r="B177" s="225" t="s">
        <v>1979</v>
      </c>
      <c r="C177" s="219" t="s">
        <v>756</v>
      </c>
      <c r="D177" s="225" t="s">
        <v>353</v>
      </c>
      <c r="E177" s="196" t="s">
        <v>259</v>
      </c>
      <c r="F177" s="119">
        <v>40</v>
      </c>
      <c r="G177" s="26" t="s">
        <v>229</v>
      </c>
      <c r="H177" s="31">
        <v>13.33</v>
      </c>
      <c r="I177" s="27">
        <f t="shared" si="5"/>
        <v>533.20000000000005</v>
      </c>
      <c r="J177" s="28" t="s">
        <v>731</v>
      </c>
      <c r="K177" s="25">
        <v>41089</v>
      </c>
      <c r="M177" s="56">
        <v>41089</v>
      </c>
      <c r="N177" s="29" t="s">
        <v>166</v>
      </c>
      <c r="O177" s="51" t="s">
        <v>161</v>
      </c>
      <c r="P177" s="32">
        <v>15416.4</v>
      </c>
      <c r="Q177" s="56">
        <v>41151</v>
      </c>
    </row>
    <row r="178" spans="1:33" ht="14.25" customHeight="1">
      <c r="A178" s="25">
        <v>41089</v>
      </c>
      <c r="B178" s="225" t="s">
        <v>1979</v>
      </c>
      <c r="C178" s="219" t="s">
        <v>756</v>
      </c>
      <c r="D178" s="225" t="s">
        <v>1878</v>
      </c>
      <c r="E178" s="196" t="s">
        <v>701</v>
      </c>
      <c r="F178" s="119">
        <v>25</v>
      </c>
      <c r="G178" s="26" t="s">
        <v>684</v>
      </c>
      <c r="H178" s="31">
        <v>2.4</v>
      </c>
      <c r="I178" s="27">
        <f t="shared" si="5"/>
        <v>60</v>
      </c>
      <c r="J178" s="28" t="s">
        <v>731</v>
      </c>
      <c r="K178" s="25">
        <v>41089</v>
      </c>
      <c r="M178" s="56">
        <v>41089</v>
      </c>
      <c r="N178" s="29" t="s">
        <v>166</v>
      </c>
      <c r="O178" s="51" t="s">
        <v>161</v>
      </c>
      <c r="P178" s="32">
        <v>15416.4</v>
      </c>
      <c r="Q178" s="56">
        <v>41151</v>
      </c>
    </row>
    <row r="179" spans="1:33" ht="12" customHeight="1">
      <c r="A179" s="25">
        <v>41090</v>
      </c>
      <c r="B179" s="225" t="s">
        <v>228</v>
      </c>
      <c r="C179" s="219" t="s">
        <v>756</v>
      </c>
      <c r="D179" s="342" t="s">
        <v>1872</v>
      </c>
      <c r="E179" s="28" t="s">
        <v>691</v>
      </c>
      <c r="F179" s="119">
        <v>20</v>
      </c>
      <c r="G179" s="92" t="s">
        <v>239</v>
      </c>
      <c r="H179" s="31">
        <v>13.91</v>
      </c>
      <c r="I179" s="27">
        <f t="shared" si="5"/>
        <v>278.2</v>
      </c>
      <c r="J179" s="28" t="s">
        <v>772</v>
      </c>
      <c r="K179" s="25">
        <v>41090</v>
      </c>
      <c r="M179" s="25">
        <v>41094</v>
      </c>
      <c r="N179" s="29" t="s">
        <v>688</v>
      </c>
      <c r="O179" s="28" t="s">
        <v>713</v>
      </c>
      <c r="Q179" s="88"/>
    </row>
    <row r="180" spans="1:33" ht="12" customHeight="1">
      <c r="A180" s="25">
        <v>41090</v>
      </c>
      <c r="B180" s="225" t="s">
        <v>228</v>
      </c>
      <c r="C180" s="219" t="s">
        <v>756</v>
      </c>
      <c r="D180" s="5" t="s">
        <v>2012</v>
      </c>
      <c r="E180" s="28" t="s">
        <v>96</v>
      </c>
      <c r="F180" s="119">
        <v>500</v>
      </c>
      <c r="G180" s="198" t="s">
        <v>229</v>
      </c>
      <c r="H180" s="31">
        <v>1.49</v>
      </c>
      <c r="I180" s="27">
        <f t="shared" si="5"/>
        <v>745</v>
      </c>
      <c r="J180" s="28" t="s">
        <v>772</v>
      </c>
      <c r="K180" s="25">
        <v>41090</v>
      </c>
      <c r="M180" s="25">
        <v>41094</v>
      </c>
      <c r="N180" s="29" t="s">
        <v>688</v>
      </c>
      <c r="O180" s="28" t="s">
        <v>713</v>
      </c>
      <c r="Q180" s="88"/>
    </row>
    <row r="181" spans="1:33" ht="12" customHeight="1">
      <c r="A181" s="25">
        <v>41086</v>
      </c>
      <c r="B181" s="225" t="s">
        <v>244</v>
      </c>
      <c r="C181" s="219" t="s">
        <v>756</v>
      </c>
      <c r="D181" s="225" t="s">
        <v>714</v>
      </c>
      <c r="E181" s="196">
        <v>4680</v>
      </c>
      <c r="F181" s="119">
        <v>2</v>
      </c>
      <c r="G181" s="26" t="s">
        <v>696</v>
      </c>
      <c r="H181" s="31">
        <v>90</v>
      </c>
      <c r="I181" s="27">
        <f t="shared" si="5"/>
        <v>180</v>
      </c>
      <c r="J181" s="28" t="s">
        <v>103</v>
      </c>
      <c r="K181" s="25">
        <v>41090</v>
      </c>
      <c r="M181" s="25">
        <v>41087</v>
      </c>
      <c r="N181" s="29" t="s">
        <v>697</v>
      </c>
      <c r="O181" s="28" t="s">
        <v>44</v>
      </c>
      <c r="P181" s="32">
        <v>16544</v>
      </c>
      <c r="Q181" s="56">
        <v>41138</v>
      </c>
      <c r="S181" s="26" t="s">
        <v>45</v>
      </c>
    </row>
    <row r="182" spans="1:33" ht="12" customHeight="1">
      <c r="A182" s="25">
        <v>41086</v>
      </c>
      <c r="B182" s="225" t="s">
        <v>244</v>
      </c>
      <c r="C182" s="219" t="s">
        <v>756</v>
      </c>
      <c r="D182" s="225" t="s">
        <v>825</v>
      </c>
      <c r="E182" s="196" t="s">
        <v>325</v>
      </c>
      <c r="F182" s="119">
        <v>300</v>
      </c>
      <c r="G182" s="26" t="s">
        <v>689</v>
      </c>
      <c r="H182" s="31">
        <v>5.0599999999999996</v>
      </c>
      <c r="I182" s="27">
        <f t="shared" si="5"/>
        <v>1517.9999999999998</v>
      </c>
      <c r="J182" s="28" t="s">
        <v>803</v>
      </c>
      <c r="K182" s="25">
        <v>41090</v>
      </c>
      <c r="M182" s="25">
        <v>41087</v>
      </c>
      <c r="N182" s="29" t="s">
        <v>688</v>
      </c>
      <c r="O182" s="28" t="s">
        <v>713</v>
      </c>
    </row>
    <row r="183" spans="1:33" s="33" customFormat="1" ht="12" customHeight="1">
      <c r="A183" s="25">
        <v>41092</v>
      </c>
      <c r="B183" s="225" t="s">
        <v>228</v>
      </c>
      <c r="C183" s="219" t="s">
        <v>756</v>
      </c>
      <c r="D183" s="5" t="s">
        <v>2012</v>
      </c>
      <c r="E183" s="28" t="s">
        <v>96</v>
      </c>
      <c r="F183" s="119">
        <v>5000</v>
      </c>
      <c r="G183" s="198" t="s">
        <v>229</v>
      </c>
      <c r="H183" s="31">
        <v>1.55</v>
      </c>
      <c r="I183" s="27">
        <f t="shared" si="5"/>
        <v>7750</v>
      </c>
      <c r="J183" s="28" t="s">
        <v>104</v>
      </c>
      <c r="K183" s="25">
        <v>41092</v>
      </c>
      <c r="L183" s="412"/>
      <c r="M183" s="25">
        <v>41096</v>
      </c>
      <c r="N183" s="29" t="s">
        <v>688</v>
      </c>
      <c r="O183" s="28" t="s">
        <v>847</v>
      </c>
      <c r="P183" s="32">
        <v>29214.74</v>
      </c>
      <c r="Q183" s="88">
        <v>41117</v>
      </c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s="33" customFormat="1" ht="12" customHeight="1">
      <c r="A184" s="25">
        <v>41092</v>
      </c>
      <c r="B184" s="225" t="s">
        <v>228</v>
      </c>
      <c r="C184" s="219" t="s">
        <v>756</v>
      </c>
      <c r="D184" s="1" t="s">
        <v>1210</v>
      </c>
      <c r="E184" s="28">
        <v>3200</v>
      </c>
      <c r="F184" s="119">
        <v>40</v>
      </c>
      <c r="G184" s="26" t="s">
        <v>684</v>
      </c>
      <c r="H184" s="31">
        <v>28.73</v>
      </c>
      <c r="I184" s="27">
        <f t="shared" si="5"/>
        <v>1149.2</v>
      </c>
      <c r="J184" s="28" t="s">
        <v>105</v>
      </c>
      <c r="K184" s="25">
        <v>41092</v>
      </c>
      <c r="L184" s="412"/>
      <c r="M184" s="25">
        <v>41096</v>
      </c>
      <c r="N184" s="29" t="s">
        <v>688</v>
      </c>
      <c r="O184" s="28" t="s">
        <v>847</v>
      </c>
      <c r="P184" s="32">
        <v>29214.74</v>
      </c>
      <c r="Q184" s="88">
        <v>41117</v>
      </c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s="33" customFormat="1" ht="12" customHeight="1">
      <c r="A185" s="25">
        <v>41092</v>
      </c>
      <c r="B185" s="225" t="s">
        <v>228</v>
      </c>
      <c r="C185" s="219" t="s">
        <v>756</v>
      </c>
      <c r="D185" s="225" t="s">
        <v>353</v>
      </c>
      <c r="E185" s="28" t="s">
        <v>259</v>
      </c>
      <c r="F185" s="119">
        <v>40</v>
      </c>
      <c r="G185" s="26" t="s">
        <v>229</v>
      </c>
      <c r="H185" s="31">
        <v>13.33</v>
      </c>
      <c r="I185" s="27">
        <f t="shared" si="5"/>
        <v>533.20000000000005</v>
      </c>
      <c r="J185" s="28" t="s">
        <v>105</v>
      </c>
      <c r="K185" s="25">
        <v>41092</v>
      </c>
      <c r="L185" s="412"/>
      <c r="M185" s="25">
        <v>41096</v>
      </c>
      <c r="N185" s="29" t="s">
        <v>688</v>
      </c>
      <c r="O185" s="28" t="s">
        <v>847</v>
      </c>
      <c r="P185" s="32">
        <v>29214.74</v>
      </c>
      <c r="Q185" s="88">
        <v>41117</v>
      </c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s="33" customFormat="1" ht="12" customHeight="1">
      <c r="A186" s="25">
        <v>41092</v>
      </c>
      <c r="B186" s="225" t="s">
        <v>228</v>
      </c>
      <c r="C186" s="219" t="s">
        <v>756</v>
      </c>
      <c r="D186" s="225" t="s">
        <v>268</v>
      </c>
      <c r="E186" s="28" t="s">
        <v>269</v>
      </c>
      <c r="F186" s="119">
        <v>240</v>
      </c>
      <c r="G186" s="26" t="s">
        <v>689</v>
      </c>
      <c r="H186" s="31">
        <v>1.42</v>
      </c>
      <c r="I186" s="27">
        <f t="shared" ref="I186:I206" si="6">H186*F186</f>
        <v>340.79999999999995</v>
      </c>
      <c r="J186" s="28" t="s">
        <v>105</v>
      </c>
      <c r="K186" s="25">
        <v>41092</v>
      </c>
      <c r="L186" s="412"/>
      <c r="M186" s="25">
        <v>41096</v>
      </c>
      <c r="N186" s="29" t="s">
        <v>688</v>
      </c>
      <c r="O186" s="28" t="s">
        <v>847</v>
      </c>
      <c r="P186" s="32">
        <v>29214.74</v>
      </c>
      <c r="Q186" s="88">
        <v>41117</v>
      </c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s="33" customFormat="1" ht="12" customHeight="1">
      <c r="A187" s="25">
        <v>41092</v>
      </c>
      <c r="B187" s="225" t="s">
        <v>1975</v>
      </c>
      <c r="C187" s="219" t="s">
        <v>756</v>
      </c>
      <c r="D187" s="225" t="s">
        <v>263</v>
      </c>
      <c r="E187" s="28" t="s">
        <v>281</v>
      </c>
      <c r="F187" s="119">
        <v>40</v>
      </c>
      <c r="G187" s="26" t="s">
        <v>229</v>
      </c>
      <c r="H187" s="31">
        <v>1.92</v>
      </c>
      <c r="I187" s="27">
        <f t="shared" si="6"/>
        <v>76.8</v>
      </c>
      <c r="J187" s="28" t="s">
        <v>105</v>
      </c>
      <c r="K187" s="25">
        <v>41092</v>
      </c>
      <c r="L187" s="412"/>
      <c r="M187" s="25">
        <v>41096</v>
      </c>
      <c r="N187" s="29" t="s">
        <v>688</v>
      </c>
      <c r="O187" s="28" t="s">
        <v>847</v>
      </c>
      <c r="P187" s="32">
        <v>29214.74</v>
      </c>
      <c r="Q187" s="88">
        <v>41117</v>
      </c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s="33" customFormat="1" ht="12" customHeight="1">
      <c r="A188" s="25">
        <v>41093</v>
      </c>
      <c r="B188" s="225" t="s">
        <v>316</v>
      </c>
      <c r="C188" s="219" t="s">
        <v>756</v>
      </c>
      <c r="D188" s="225" t="s">
        <v>353</v>
      </c>
      <c r="E188" s="196" t="s">
        <v>242</v>
      </c>
      <c r="F188" s="119">
        <v>60</v>
      </c>
      <c r="G188" s="26" t="s">
        <v>229</v>
      </c>
      <c r="H188" s="31">
        <v>18.5</v>
      </c>
      <c r="I188" s="27">
        <f t="shared" si="6"/>
        <v>1110</v>
      </c>
      <c r="J188" s="28" t="s">
        <v>106</v>
      </c>
      <c r="K188" s="25">
        <v>41094</v>
      </c>
      <c r="L188" s="412"/>
      <c r="M188" s="25">
        <v>41093</v>
      </c>
      <c r="N188" s="29" t="s">
        <v>697</v>
      </c>
      <c r="O188" s="28" t="s">
        <v>107</v>
      </c>
      <c r="P188" s="32">
        <v>1110</v>
      </c>
      <c r="Q188" s="56">
        <v>41094</v>
      </c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s="33" customFormat="1" ht="12" customHeight="1">
      <c r="A189" s="25">
        <v>41094</v>
      </c>
      <c r="B189" s="225" t="s">
        <v>1975</v>
      </c>
      <c r="C189" s="219" t="s">
        <v>756</v>
      </c>
      <c r="D189" s="225" t="s">
        <v>1879</v>
      </c>
      <c r="E189" s="28">
        <v>4690</v>
      </c>
      <c r="F189" s="119">
        <v>1</v>
      </c>
      <c r="G189" s="26" t="s">
        <v>229</v>
      </c>
      <c r="H189" s="31">
        <v>212.43</v>
      </c>
      <c r="I189" s="27">
        <f t="shared" si="6"/>
        <v>212.43</v>
      </c>
      <c r="J189" s="28" t="s">
        <v>777</v>
      </c>
      <c r="K189" s="25">
        <v>41094</v>
      </c>
      <c r="L189" s="412"/>
      <c r="M189" s="25">
        <v>41096</v>
      </c>
      <c r="N189" s="29" t="s">
        <v>688</v>
      </c>
      <c r="O189" s="28" t="s">
        <v>847</v>
      </c>
      <c r="P189" s="32">
        <v>29214.74</v>
      </c>
      <c r="Q189" s="88">
        <v>41117</v>
      </c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s="33" customFormat="1" ht="12" customHeight="1">
      <c r="A190" s="25">
        <v>41094</v>
      </c>
      <c r="B190" s="225" t="s">
        <v>1975</v>
      </c>
      <c r="C190" s="219" t="s">
        <v>756</v>
      </c>
      <c r="D190" s="225" t="s">
        <v>1880</v>
      </c>
      <c r="E190" s="28">
        <v>4690</v>
      </c>
      <c r="F190" s="119">
        <v>1</v>
      </c>
      <c r="G190" s="26" t="s">
        <v>229</v>
      </c>
      <c r="H190" s="31">
        <v>212.43</v>
      </c>
      <c r="I190" s="27">
        <f t="shared" si="6"/>
        <v>212.43</v>
      </c>
      <c r="J190" s="28" t="s">
        <v>777</v>
      </c>
      <c r="K190" s="25">
        <v>41094</v>
      </c>
      <c r="L190" s="412"/>
      <c r="M190" s="25">
        <v>41096</v>
      </c>
      <c r="N190" s="29" t="s">
        <v>688</v>
      </c>
      <c r="O190" s="28" t="s">
        <v>847</v>
      </c>
      <c r="P190" s="32">
        <v>29214.74</v>
      </c>
      <c r="Q190" s="88">
        <v>41117</v>
      </c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s="33" customFormat="1" ht="12" customHeight="1">
      <c r="A191" s="25">
        <v>41096</v>
      </c>
      <c r="B191" s="225" t="s">
        <v>1975</v>
      </c>
      <c r="C191" s="219" t="s">
        <v>756</v>
      </c>
      <c r="D191" s="1" t="s">
        <v>1867</v>
      </c>
      <c r="E191" s="28">
        <v>6006</v>
      </c>
      <c r="F191" s="119">
        <v>20</v>
      </c>
      <c r="G191" s="26" t="s">
        <v>684</v>
      </c>
      <c r="H191" s="31">
        <v>57.707999999999998</v>
      </c>
      <c r="I191" s="27">
        <f t="shared" si="6"/>
        <v>1154.1599999999999</v>
      </c>
      <c r="J191" s="28" t="s">
        <v>108</v>
      </c>
      <c r="K191" s="25">
        <v>41096</v>
      </c>
      <c r="L191" s="412"/>
      <c r="M191" s="25">
        <v>41096</v>
      </c>
      <c r="N191" s="29" t="s">
        <v>688</v>
      </c>
      <c r="O191" s="28" t="s">
        <v>847</v>
      </c>
      <c r="P191" s="32">
        <v>29214.74</v>
      </c>
      <c r="Q191" s="88">
        <v>41117</v>
      </c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2" customHeight="1">
      <c r="A192" s="25">
        <v>41096</v>
      </c>
      <c r="B192" s="225" t="s">
        <v>244</v>
      </c>
      <c r="C192" s="219" t="s">
        <v>756</v>
      </c>
      <c r="D192" s="342" t="s">
        <v>240</v>
      </c>
      <c r="E192" s="196">
        <v>6200</v>
      </c>
      <c r="F192" s="119">
        <v>144</v>
      </c>
      <c r="G192" s="26" t="s">
        <v>229</v>
      </c>
      <c r="H192" s="31">
        <v>42</v>
      </c>
      <c r="I192" s="27">
        <f t="shared" si="6"/>
        <v>6048</v>
      </c>
      <c r="J192" s="28" t="s">
        <v>782</v>
      </c>
      <c r="K192" s="25">
        <v>41100</v>
      </c>
      <c r="M192" s="25">
        <v>41096</v>
      </c>
      <c r="N192" s="29" t="s">
        <v>697</v>
      </c>
      <c r="O192" s="28" t="s">
        <v>44</v>
      </c>
      <c r="P192" s="32">
        <v>16544</v>
      </c>
      <c r="Q192" s="56">
        <v>41138</v>
      </c>
      <c r="S192" s="26" t="s">
        <v>45</v>
      </c>
    </row>
    <row r="193" spans="1:33" ht="12" customHeight="1">
      <c r="A193" s="25">
        <v>41096</v>
      </c>
      <c r="B193" s="225" t="s">
        <v>244</v>
      </c>
      <c r="C193" s="219" t="s">
        <v>756</v>
      </c>
      <c r="D193" s="225" t="s">
        <v>353</v>
      </c>
      <c r="E193" s="196" t="s">
        <v>242</v>
      </c>
      <c r="F193" s="119">
        <v>360</v>
      </c>
      <c r="G193" s="26" t="s">
        <v>229</v>
      </c>
      <c r="H193" s="31">
        <v>17.5</v>
      </c>
      <c r="I193" s="27">
        <f t="shared" si="6"/>
        <v>6300</v>
      </c>
      <c r="J193" s="28" t="s">
        <v>782</v>
      </c>
      <c r="K193" s="25">
        <v>41100</v>
      </c>
      <c r="M193" s="25">
        <v>41096</v>
      </c>
      <c r="N193" s="29" t="s">
        <v>697</v>
      </c>
      <c r="O193" s="28" t="s">
        <v>44</v>
      </c>
      <c r="P193" s="32">
        <v>16544</v>
      </c>
      <c r="Q193" s="56">
        <v>41138</v>
      </c>
      <c r="S193" s="26" t="s">
        <v>45</v>
      </c>
    </row>
    <row r="194" spans="1:33" ht="12" customHeight="1">
      <c r="A194" s="25">
        <v>41096</v>
      </c>
      <c r="B194" s="225" t="s">
        <v>244</v>
      </c>
      <c r="C194" s="219" t="s">
        <v>756</v>
      </c>
      <c r="D194" s="225" t="s">
        <v>232</v>
      </c>
      <c r="E194" s="196" t="s">
        <v>233</v>
      </c>
      <c r="F194" s="119">
        <v>700</v>
      </c>
      <c r="G194" s="194" t="s">
        <v>231</v>
      </c>
      <c r="H194" s="31">
        <v>5.0599999999999996</v>
      </c>
      <c r="I194" s="27">
        <f t="shared" si="6"/>
        <v>3541.9999999999995</v>
      </c>
      <c r="J194" s="28" t="s">
        <v>782</v>
      </c>
      <c r="K194" s="25">
        <v>41100</v>
      </c>
      <c r="M194" s="25">
        <v>41096</v>
      </c>
      <c r="N194" s="29" t="s">
        <v>697</v>
      </c>
      <c r="O194" s="28" t="s">
        <v>44</v>
      </c>
      <c r="P194" s="32">
        <v>16544</v>
      </c>
      <c r="Q194" s="56">
        <v>41138</v>
      </c>
      <c r="S194" s="26" t="s">
        <v>45</v>
      </c>
    </row>
    <row r="195" spans="1:33" ht="12" customHeight="1">
      <c r="A195" s="25">
        <v>41096</v>
      </c>
      <c r="B195" s="225" t="s">
        <v>244</v>
      </c>
      <c r="C195" s="219" t="s">
        <v>756</v>
      </c>
      <c r="D195" s="225" t="s">
        <v>263</v>
      </c>
      <c r="E195" s="196">
        <v>501</v>
      </c>
      <c r="F195" s="119">
        <v>200</v>
      </c>
      <c r="G195" s="26" t="s">
        <v>684</v>
      </c>
      <c r="H195" s="31">
        <v>1.41</v>
      </c>
      <c r="I195" s="27">
        <f t="shared" si="6"/>
        <v>282</v>
      </c>
      <c r="J195" s="28" t="s">
        <v>782</v>
      </c>
      <c r="K195" s="25">
        <v>41100</v>
      </c>
      <c r="M195" s="25">
        <v>41096</v>
      </c>
      <c r="N195" s="29" t="s">
        <v>697</v>
      </c>
      <c r="O195" s="28" t="s">
        <v>44</v>
      </c>
      <c r="P195" s="32">
        <v>16544</v>
      </c>
      <c r="Q195" s="56">
        <v>41138</v>
      </c>
      <c r="S195" s="26" t="s">
        <v>45</v>
      </c>
    </row>
    <row r="196" spans="1:33" s="33" customFormat="1" ht="12" customHeight="1">
      <c r="A196" s="25">
        <v>41100</v>
      </c>
      <c r="B196" s="225" t="s">
        <v>1975</v>
      </c>
      <c r="C196" s="219" t="s">
        <v>756</v>
      </c>
      <c r="D196" s="225" t="s">
        <v>287</v>
      </c>
      <c r="E196" s="28">
        <v>10434</v>
      </c>
      <c r="F196" s="119">
        <v>5</v>
      </c>
      <c r="G196" s="26" t="s">
        <v>690</v>
      </c>
      <c r="H196" s="31">
        <v>14.88</v>
      </c>
      <c r="I196" s="27">
        <f t="shared" si="6"/>
        <v>74.400000000000006</v>
      </c>
      <c r="J196" s="28" t="s">
        <v>109</v>
      </c>
      <c r="K196" s="25">
        <v>41100</v>
      </c>
      <c r="L196" s="412"/>
      <c r="M196" s="25">
        <v>41117</v>
      </c>
      <c r="N196" s="29" t="s">
        <v>697</v>
      </c>
      <c r="O196" s="28" t="s">
        <v>847</v>
      </c>
      <c r="P196" s="32">
        <v>29214.74</v>
      </c>
      <c r="Q196" s="88">
        <v>41117</v>
      </c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s="33" customFormat="1" ht="12" customHeight="1">
      <c r="A197" s="25">
        <v>41100</v>
      </c>
      <c r="B197" s="225" t="s">
        <v>1979</v>
      </c>
      <c r="C197" s="219" t="s">
        <v>756</v>
      </c>
      <c r="D197" s="225" t="s">
        <v>347</v>
      </c>
      <c r="E197" s="196" t="s">
        <v>110</v>
      </c>
      <c r="F197" s="119">
        <v>1000</v>
      </c>
      <c r="G197" s="26" t="s">
        <v>684</v>
      </c>
      <c r="H197" s="31">
        <v>1.5</v>
      </c>
      <c r="I197" s="27">
        <f t="shared" si="6"/>
        <v>1500</v>
      </c>
      <c r="J197" s="28" t="s">
        <v>787</v>
      </c>
      <c r="K197" s="25">
        <v>41100</v>
      </c>
      <c r="L197" s="412"/>
      <c r="M197" s="56">
        <v>41100</v>
      </c>
      <c r="N197" s="29" t="s">
        <v>688</v>
      </c>
      <c r="O197" s="26" t="s">
        <v>713</v>
      </c>
      <c r="P197" s="32"/>
      <c r="Q197" s="56"/>
      <c r="R197" s="48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s="33" customFormat="1" ht="12" customHeight="1">
      <c r="A198" s="25">
        <v>41102</v>
      </c>
      <c r="B198" s="225" t="s">
        <v>1979</v>
      </c>
      <c r="C198" s="219" t="s">
        <v>756</v>
      </c>
      <c r="D198" s="225" t="s">
        <v>702</v>
      </c>
      <c r="E198" s="196" t="s">
        <v>701</v>
      </c>
      <c r="F198" s="119">
        <v>1000</v>
      </c>
      <c r="G198" s="26" t="s">
        <v>684</v>
      </c>
      <c r="H198" s="31">
        <v>2.25</v>
      </c>
      <c r="I198" s="27">
        <f t="shared" si="6"/>
        <v>2250</v>
      </c>
      <c r="J198" s="28" t="s">
        <v>791</v>
      </c>
      <c r="K198" s="25">
        <v>41102</v>
      </c>
      <c r="L198" s="412"/>
      <c r="M198" s="56">
        <v>41106</v>
      </c>
      <c r="N198" s="29" t="s">
        <v>688</v>
      </c>
      <c r="O198" s="26" t="s">
        <v>713</v>
      </c>
      <c r="P198" s="32"/>
      <c r="Q198" s="56"/>
      <c r="R198" s="48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s="33" customFormat="1" ht="12" customHeight="1">
      <c r="A199" s="25">
        <v>41102</v>
      </c>
      <c r="B199" s="225" t="s">
        <v>1975</v>
      </c>
      <c r="C199" s="219" t="s">
        <v>756</v>
      </c>
      <c r="D199" s="225" t="s">
        <v>792</v>
      </c>
      <c r="E199" s="28">
        <v>10197</v>
      </c>
      <c r="F199" s="119">
        <v>1</v>
      </c>
      <c r="G199" s="26" t="s">
        <v>690</v>
      </c>
      <c r="H199" s="31">
        <v>40.200000000000003</v>
      </c>
      <c r="I199" s="27">
        <f t="shared" si="6"/>
        <v>40.200000000000003</v>
      </c>
      <c r="J199" s="28" t="s">
        <v>793</v>
      </c>
      <c r="K199" s="25">
        <v>41102</v>
      </c>
      <c r="L199" s="412"/>
      <c r="M199" s="25">
        <v>41117</v>
      </c>
      <c r="N199" s="29" t="s">
        <v>697</v>
      </c>
      <c r="O199" s="28" t="s">
        <v>847</v>
      </c>
      <c r="P199" s="32">
        <v>29214.74</v>
      </c>
      <c r="Q199" s="88">
        <v>41117</v>
      </c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s="33" customFormat="1" ht="12" customHeight="1">
      <c r="A200" s="25">
        <v>41102</v>
      </c>
      <c r="B200" s="225" t="s">
        <v>1975</v>
      </c>
      <c r="C200" s="219" t="s">
        <v>756</v>
      </c>
      <c r="D200" s="225" t="s">
        <v>287</v>
      </c>
      <c r="E200" s="28">
        <v>10434</v>
      </c>
      <c r="F200" s="119">
        <v>20</v>
      </c>
      <c r="G200" s="26" t="s">
        <v>690</v>
      </c>
      <c r="H200" s="26">
        <v>14.88</v>
      </c>
      <c r="I200" s="27">
        <f t="shared" si="6"/>
        <v>297.60000000000002</v>
      </c>
      <c r="J200" s="28" t="s">
        <v>111</v>
      </c>
      <c r="K200" s="25">
        <v>41102</v>
      </c>
      <c r="L200" s="412"/>
      <c r="M200" s="25">
        <v>41117</v>
      </c>
      <c r="N200" s="29" t="s">
        <v>697</v>
      </c>
      <c r="O200" s="28" t="s">
        <v>847</v>
      </c>
      <c r="P200" s="32">
        <v>29214.74</v>
      </c>
      <c r="Q200" s="88">
        <v>41117</v>
      </c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s="33" customFormat="1" ht="12" customHeight="1">
      <c r="A201" s="25">
        <v>41102</v>
      </c>
      <c r="B201" s="225" t="s">
        <v>1975</v>
      </c>
      <c r="C201" s="219" t="s">
        <v>756</v>
      </c>
      <c r="D201" s="225" t="s">
        <v>305</v>
      </c>
      <c r="E201" s="28">
        <v>1270</v>
      </c>
      <c r="F201" s="119">
        <v>200</v>
      </c>
      <c r="G201" s="190" t="s">
        <v>239</v>
      </c>
      <c r="H201" s="26">
        <v>4.3099999999999996</v>
      </c>
      <c r="I201" s="27">
        <f t="shared" si="6"/>
        <v>861.99999999999989</v>
      </c>
      <c r="J201" s="28" t="s">
        <v>111</v>
      </c>
      <c r="K201" s="25">
        <v>41102</v>
      </c>
      <c r="L201" s="412"/>
      <c r="M201" s="25">
        <v>41117</v>
      </c>
      <c r="N201" s="29" t="s">
        <v>697</v>
      </c>
      <c r="O201" s="28" t="s">
        <v>847</v>
      </c>
      <c r="P201" s="32">
        <v>29214.74</v>
      </c>
      <c r="Q201" s="88">
        <v>41117</v>
      </c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2" customHeight="1">
      <c r="A202" s="25">
        <v>41107</v>
      </c>
      <c r="B202" s="225" t="s">
        <v>1975</v>
      </c>
      <c r="C202" s="219" t="s">
        <v>756</v>
      </c>
      <c r="D202" s="225" t="s">
        <v>805</v>
      </c>
      <c r="E202" s="28" t="s">
        <v>348</v>
      </c>
      <c r="F202" s="119">
        <v>3148</v>
      </c>
      <c r="G202" s="123" t="s">
        <v>171</v>
      </c>
      <c r="H202" s="31">
        <v>1.65</v>
      </c>
      <c r="I202" s="27">
        <f t="shared" si="6"/>
        <v>5194.2</v>
      </c>
      <c r="J202" s="28" t="s">
        <v>806</v>
      </c>
      <c r="K202" s="25">
        <v>41107</v>
      </c>
      <c r="M202" s="25">
        <v>41117</v>
      </c>
      <c r="N202" s="29" t="s">
        <v>697</v>
      </c>
      <c r="O202" s="28" t="s">
        <v>847</v>
      </c>
      <c r="P202" s="32">
        <v>29214.74</v>
      </c>
      <c r="Q202" s="88">
        <v>41117</v>
      </c>
    </row>
    <row r="203" spans="1:33" ht="12" customHeight="1">
      <c r="A203" s="25">
        <v>41107</v>
      </c>
      <c r="B203" s="225" t="s">
        <v>1975</v>
      </c>
      <c r="C203" s="219" t="s">
        <v>756</v>
      </c>
      <c r="D203" s="1" t="s">
        <v>1213</v>
      </c>
      <c r="E203" s="28" t="s">
        <v>776</v>
      </c>
      <c r="F203" s="119">
        <v>37</v>
      </c>
      <c r="G203" s="26" t="s">
        <v>690</v>
      </c>
      <c r="H203" s="31">
        <v>13</v>
      </c>
      <c r="I203" s="27">
        <f t="shared" si="6"/>
        <v>481</v>
      </c>
      <c r="J203" s="28" t="s">
        <v>806</v>
      </c>
      <c r="K203" s="25">
        <v>41107</v>
      </c>
      <c r="M203" s="25">
        <v>41117</v>
      </c>
      <c r="N203" s="29" t="s">
        <v>697</v>
      </c>
      <c r="O203" s="28" t="s">
        <v>847</v>
      </c>
      <c r="P203" s="32">
        <v>29214.74</v>
      </c>
      <c r="Q203" s="88">
        <v>41117</v>
      </c>
    </row>
    <row r="204" spans="1:33" ht="12" customHeight="1">
      <c r="A204" s="25">
        <v>41108</v>
      </c>
      <c r="B204" s="225" t="s">
        <v>1975</v>
      </c>
      <c r="C204" s="219" t="s">
        <v>756</v>
      </c>
      <c r="D204" s="225" t="s">
        <v>305</v>
      </c>
      <c r="E204" s="28">
        <v>1270</v>
      </c>
      <c r="F204" s="119">
        <v>60</v>
      </c>
      <c r="G204" s="190" t="s">
        <v>239</v>
      </c>
      <c r="H204" s="31">
        <v>4.1399999999999997</v>
      </c>
      <c r="I204" s="27">
        <f t="shared" si="6"/>
        <v>248.39999999999998</v>
      </c>
      <c r="J204" s="28" t="s">
        <v>112</v>
      </c>
      <c r="K204" s="25">
        <v>41108</v>
      </c>
      <c r="M204" s="25">
        <v>41116</v>
      </c>
      <c r="N204" s="29" t="s">
        <v>688</v>
      </c>
      <c r="O204" s="26" t="s">
        <v>713</v>
      </c>
      <c r="Q204" s="88"/>
    </row>
    <row r="205" spans="1:33" ht="12" customHeight="1">
      <c r="A205" s="25">
        <v>41109</v>
      </c>
      <c r="B205" s="225" t="s">
        <v>1975</v>
      </c>
      <c r="C205" s="219" t="s">
        <v>756</v>
      </c>
      <c r="D205" s="225" t="s">
        <v>808</v>
      </c>
      <c r="E205" s="28">
        <v>4690</v>
      </c>
      <c r="F205" s="119">
        <v>1</v>
      </c>
      <c r="G205" s="26" t="s">
        <v>696</v>
      </c>
      <c r="H205" s="31">
        <v>212.43</v>
      </c>
      <c r="I205" s="27">
        <f t="shared" si="6"/>
        <v>212.43</v>
      </c>
      <c r="J205" s="28" t="s">
        <v>113</v>
      </c>
      <c r="K205" s="25">
        <v>41109</v>
      </c>
      <c r="M205" s="25">
        <v>41117</v>
      </c>
      <c r="N205" s="29" t="s">
        <v>697</v>
      </c>
      <c r="O205" s="28" t="s">
        <v>847</v>
      </c>
      <c r="P205" s="32">
        <v>29214.74</v>
      </c>
      <c r="Q205" s="88">
        <v>41117</v>
      </c>
    </row>
    <row r="206" spans="1:33" ht="12" customHeight="1">
      <c r="A206" s="25">
        <v>41109</v>
      </c>
      <c r="B206" s="225" t="s">
        <v>1975</v>
      </c>
      <c r="C206" s="219" t="s">
        <v>756</v>
      </c>
      <c r="D206" s="225" t="s">
        <v>809</v>
      </c>
      <c r="E206" s="28">
        <v>4690</v>
      </c>
      <c r="F206" s="119">
        <v>1</v>
      </c>
      <c r="G206" s="26" t="s">
        <v>696</v>
      </c>
      <c r="H206" s="31">
        <v>212.43</v>
      </c>
      <c r="I206" s="27">
        <f t="shared" si="6"/>
        <v>212.43</v>
      </c>
      <c r="J206" s="28" t="s">
        <v>113</v>
      </c>
      <c r="K206" s="25">
        <v>41109</v>
      </c>
      <c r="M206" s="25">
        <v>41117</v>
      </c>
      <c r="N206" s="29" t="s">
        <v>697</v>
      </c>
      <c r="O206" s="28" t="s">
        <v>847</v>
      </c>
      <c r="P206" s="32">
        <v>29214.74</v>
      </c>
      <c r="Q206" s="88">
        <v>41117</v>
      </c>
    </row>
    <row r="207" spans="1:33" ht="12" customHeight="1">
      <c r="A207" s="25">
        <v>41109</v>
      </c>
      <c r="B207" s="225" t="s">
        <v>1980</v>
      </c>
      <c r="C207" s="219" t="s">
        <v>756</v>
      </c>
      <c r="D207" s="1" t="s">
        <v>1867</v>
      </c>
      <c r="E207" s="196">
        <v>6006</v>
      </c>
      <c r="F207" s="119">
        <v>74</v>
      </c>
      <c r="G207" s="26" t="s">
        <v>684</v>
      </c>
      <c r="H207" s="31">
        <v>49.8</v>
      </c>
      <c r="I207" s="27">
        <f>49.8*F207</f>
        <v>3685.2</v>
      </c>
      <c r="J207" s="28" t="s">
        <v>106</v>
      </c>
      <c r="K207" s="25">
        <v>41109</v>
      </c>
      <c r="M207" s="25">
        <v>41109</v>
      </c>
      <c r="N207" s="29" t="s">
        <v>697</v>
      </c>
      <c r="O207" s="28" t="s">
        <v>813</v>
      </c>
      <c r="P207" s="32">
        <v>12098.2</v>
      </c>
      <c r="Q207" s="56">
        <v>41109</v>
      </c>
    </row>
    <row r="208" spans="1:33" ht="12" customHeight="1">
      <c r="A208" s="25">
        <v>41109</v>
      </c>
      <c r="B208" s="225" t="s">
        <v>1980</v>
      </c>
      <c r="C208" s="219" t="s">
        <v>756</v>
      </c>
      <c r="D208" s="1" t="s">
        <v>1210</v>
      </c>
      <c r="E208" s="196">
        <v>3200</v>
      </c>
      <c r="F208" s="119">
        <v>100</v>
      </c>
      <c r="G208" s="26" t="s">
        <v>684</v>
      </c>
      <c r="H208" s="31">
        <v>26.55</v>
      </c>
      <c r="I208" s="27">
        <f>26.55*F208</f>
        <v>2655</v>
      </c>
      <c r="J208" s="28" t="s">
        <v>106</v>
      </c>
      <c r="K208" s="25">
        <v>41109</v>
      </c>
      <c r="M208" s="25">
        <v>41109</v>
      </c>
      <c r="N208" s="29" t="s">
        <v>697</v>
      </c>
      <c r="O208" s="28" t="s">
        <v>813</v>
      </c>
      <c r="P208" s="32">
        <v>12099.2</v>
      </c>
      <c r="Q208" s="56">
        <v>41109</v>
      </c>
    </row>
    <row r="209" spans="1:33" ht="12" customHeight="1">
      <c r="A209" s="25">
        <v>41109</v>
      </c>
      <c r="B209" s="225" t="s">
        <v>1980</v>
      </c>
      <c r="C209" s="219" t="s">
        <v>756</v>
      </c>
      <c r="D209" s="225" t="s">
        <v>263</v>
      </c>
      <c r="E209" s="196" t="s">
        <v>281</v>
      </c>
      <c r="F209" s="119">
        <v>100</v>
      </c>
      <c r="G209" s="26" t="s">
        <v>684</v>
      </c>
      <c r="H209" s="31">
        <v>1.88</v>
      </c>
      <c r="I209" s="27">
        <f>1.88*F209</f>
        <v>188</v>
      </c>
      <c r="J209" s="28" t="s">
        <v>106</v>
      </c>
      <c r="K209" s="25">
        <v>41109</v>
      </c>
      <c r="M209" s="25">
        <v>41109</v>
      </c>
      <c r="N209" s="29" t="s">
        <v>697</v>
      </c>
      <c r="O209" s="28" t="s">
        <v>813</v>
      </c>
      <c r="P209" s="32">
        <v>12100.2</v>
      </c>
      <c r="Q209" s="56">
        <v>41109</v>
      </c>
      <c r="S209" s="49"/>
      <c r="T209" s="49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</row>
    <row r="210" spans="1:33" ht="12" customHeight="1">
      <c r="A210" s="25">
        <v>41109</v>
      </c>
      <c r="B210" s="225" t="s">
        <v>1980</v>
      </c>
      <c r="C210" s="219" t="s">
        <v>756</v>
      </c>
      <c r="D210" s="5" t="s">
        <v>1221</v>
      </c>
      <c r="E210" s="196" t="s">
        <v>114</v>
      </c>
      <c r="F210" s="119">
        <v>100</v>
      </c>
      <c r="G210" s="26" t="s">
        <v>684</v>
      </c>
      <c r="H210" s="31">
        <v>37</v>
      </c>
      <c r="I210" s="27">
        <f>37*F210</f>
        <v>3700</v>
      </c>
      <c r="J210" s="28" t="s">
        <v>106</v>
      </c>
      <c r="K210" s="25">
        <v>41109</v>
      </c>
      <c r="M210" s="25">
        <v>41109</v>
      </c>
      <c r="N210" s="29" t="s">
        <v>697</v>
      </c>
      <c r="O210" s="28" t="s">
        <v>813</v>
      </c>
      <c r="P210" s="32">
        <v>12101.2</v>
      </c>
      <c r="Q210" s="56">
        <v>41109</v>
      </c>
      <c r="S210" s="49"/>
      <c r="T210" s="49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</row>
    <row r="211" spans="1:33" ht="12" customHeight="1">
      <c r="A211" s="25">
        <v>41109</v>
      </c>
      <c r="B211" s="225" t="s">
        <v>1980</v>
      </c>
      <c r="C211" s="219" t="s">
        <v>756</v>
      </c>
      <c r="D211" s="225" t="s">
        <v>268</v>
      </c>
      <c r="E211" s="196" t="s">
        <v>269</v>
      </c>
      <c r="F211" s="119">
        <v>100</v>
      </c>
      <c r="G211" s="26" t="s">
        <v>689</v>
      </c>
      <c r="H211" s="31">
        <v>1.4</v>
      </c>
      <c r="I211" s="27">
        <f>1.4*F211</f>
        <v>140</v>
      </c>
      <c r="J211" s="28" t="s">
        <v>106</v>
      </c>
      <c r="K211" s="25">
        <v>41109</v>
      </c>
      <c r="M211" s="25">
        <v>41109</v>
      </c>
      <c r="N211" s="29" t="s">
        <v>697</v>
      </c>
      <c r="O211" s="28" t="s">
        <v>813</v>
      </c>
      <c r="P211" s="32">
        <v>12102.2</v>
      </c>
      <c r="Q211" s="56">
        <v>41109</v>
      </c>
      <c r="S211" s="49"/>
      <c r="T211" s="49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</row>
    <row r="212" spans="1:33" ht="12" customHeight="1">
      <c r="A212" s="25">
        <v>41109</v>
      </c>
      <c r="B212" s="225" t="s">
        <v>1980</v>
      </c>
      <c r="C212" s="219" t="s">
        <v>756</v>
      </c>
      <c r="D212" s="225" t="s">
        <v>232</v>
      </c>
      <c r="E212" s="196" t="s">
        <v>821</v>
      </c>
      <c r="F212" s="205">
        <v>1000</v>
      </c>
      <c r="G212" s="26" t="s">
        <v>689</v>
      </c>
      <c r="H212" s="31">
        <v>1.73</v>
      </c>
      <c r="I212" s="27">
        <f t="shared" ref="I212:I243" si="7">H212*F212</f>
        <v>1730</v>
      </c>
      <c r="J212" s="28" t="s">
        <v>106</v>
      </c>
      <c r="K212" s="25">
        <v>41109</v>
      </c>
      <c r="M212" s="25">
        <v>41109</v>
      </c>
      <c r="N212" s="29" t="s">
        <v>697</v>
      </c>
      <c r="O212" s="28" t="s">
        <v>813</v>
      </c>
      <c r="P212" s="32">
        <v>12103.2</v>
      </c>
      <c r="Q212" s="56">
        <v>41109</v>
      </c>
      <c r="S212" s="49"/>
      <c r="T212" s="49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</row>
    <row r="213" spans="1:33" ht="12" customHeight="1">
      <c r="A213" s="25">
        <v>41110</v>
      </c>
      <c r="B213" s="225" t="s">
        <v>1979</v>
      </c>
      <c r="C213" s="219" t="s">
        <v>756</v>
      </c>
      <c r="D213" s="225" t="s">
        <v>346</v>
      </c>
      <c r="E213" s="196">
        <v>3700</v>
      </c>
      <c r="F213" s="119">
        <v>50</v>
      </c>
      <c r="G213" s="26" t="s">
        <v>684</v>
      </c>
      <c r="H213" s="31">
        <v>3.6</v>
      </c>
      <c r="I213" s="27">
        <f t="shared" si="7"/>
        <v>180</v>
      </c>
      <c r="J213" s="28" t="s">
        <v>115</v>
      </c>
      <c r="K213" s="25">
        <v>41110</v>
      </c>
      <c r="M213" s="56">
        <v>41130</v>
      </c>
      <c r="N213" s="29" t="s">
        <v>166</v>
      </c>
      <c r="O213" s="28" t="s">
        <v>14</v>
      </c>
      <c r="P213" s="32">
        <v>9590</v>
      </c>
      <c r="Q213" s="56">
        <v>41130</v>
      </c>
      <c r="S213" s="49"/>
      <c r="T213" s="49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</row>
    <row r="214" spans="1:33" ht="12" customHeight="1">
      <c r="A214" s="25">
        <v>41110</v>
      </c>
      <c r="B214" s="225" t="s">
        <v>1975</v>
      </c>
      <c r="C214" s="219" t="s">
        <v>756</v>
      </c>
      <c r="D214" s="5" t="s">
        <v>2012</v>
      </c>
      <c r="E214" s="28" t="s">
        <v>245</v>
      </c>
      <c r="F214" s="119">
        <v>1000</v>
      </c>
      <c r="G214" s="198" t="s">
        <v>229</v>
      </c>
      <c r="H214" s="31">
        <v>1.55</v>
      </c>
      <c r="I214" s="27">
        <f t="shared" si="7"/>
        <v>1550</v>
      </c>
      <c r="J214" s="28" t="s">
        <v>815</v>
      </c>
      <c r="K214" s="25">
        <v>41110</v>
      </c>
      <c r="M214" s="25">
        <v>41117</v>
      </c>
      <c r="N214" s="29" t="s">
        <v>697</v>
      </c>
      <c r="O214" s="28" t="s">
        <v>847</v>
      </c>
      <c r="P214" s="32">
        <v>29214.74</v>
      </c>
      <c r="Q214" s="88">
        <v>41117</v>
      </c>
      <c r="S214" s="49"/>
      <c r="T214" s="49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</row>
    <row r="215" spans="1:33" ht="12" customHeight="1">
      <c r="A215" s="25">
        <v>41110</v>
      </c>
      <c r="B215" s="225" t="s">
        <v>1975</v>
      </c>
      <c r="C215" s="219" t="s">
        <v>756</v>
      </c>
      <c r="D215" s="225" t="s">
        <v>307</v>
      </c>
      <c r="E215" s="28">
        <v>1110</v>
      </c>
      <c r="F215" s="119">
        <v>150</v>
      </c>
      <c r="G215" s="26" t="s">
        <v>690</v>
      </c>
      <c r="H215" s="31">
        <v>0.77</v>
      </c>
      <c r="I215" s="27">
        <f t="shared" si="7"/>
        <v>115.5</v>
      </c>
      <c r="J215" s="28" t="s">
        <v>815</v>
      </c>
      <c r="K215" s="25">
        <v>41110</v>
      </c>
      <c r="M215" s="25">
        <v>41117</v>
      </c>
      <c r="N215" s="29" t="s">
        <v>697</v>
      </c>
      <c r="O215" s="28" t="s">
        <v>847</v>
      </c>
      <c r="P215" s="32">
        <v>29214.74</v>
      </c>
      <c r="Q215" s="88">
        <v>41117</v>
      </c>
      <c r="S215" s="49"/>
      <c r="T215" s="49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</row>
    <row r="216" spans="1:33" ht="12" customHeight="1">
      <c r="A216" s="25">
        <v>41110</v>
      </c>
      <c r="B216" s="225" t="s">
        <v>1975</v>
      </c>
      <c r="C216" s="219" t="s">
        <v>756</v>
      </c>
      <c r="D216" s="1" t="s">
        <v>1210</v>
      </c>
      <c r="E216" s="28">
        <v>3200</v>
      </c>
      <c r="F216" s="119">
        <v>50</v>
      </c>
      <c r="G216" s="26" t="s">
        <v>684</v>
      </c>
      <c r="H216" s="31">
        <v>28.3</v>
      </c>
      <c r="I216" s="27">
        <f t="shared" si="7"/>
        <v>1415</v>
      </c>
      <c r="J216" s="28" t="s">
        <v>815</v>
      </c>
      <c r="K216" s="25">
        <v>41110</v>
      </c>
      <c r="M216" s="25">
        <v>41117</v>
      </c>
      <c r="N216" s="29" t="s">
        <v>697</v>
      </c>
      <c r="O216" s="28" t="s">
        <v>847</v>
      </c>
      <c r="P216" s="32">
        <v>29214.74</v>
      </c>
      <c r="Q216" s="88">
        <v>41117</v>
      </c>
      <c r="S216" s="49"/>
      <c r="T216" s="49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</row>
    <row r="217" spans="1:33" ht="12" customHeight="1">
      <c r="A217" s="25">
        <v>41111</v>
      </c>
      <c r="B217" s="225" t="s">
        <v>1975</v>
      </c>
      <c r="C217" s="219" t="s">
        <v>756</v>
      </c>
      <c r="D217" s="1" t="s">
        <v>1210</v>
      </c>
      <c r="E217" s="28">
        <v>3200</v>
      </c>
      <c r="F217" s="119">
        <v>10</v>
      </c>
      <c r="G217" s="26" t="s">
        <v>684</v>
      </c>
      <c r="H217" s="31">
        <v>28.3</v>
      </c>
      <c r="I217" s="27">
        <f t="shared" si="7"/>
        <v>283</v>
      </c>
      <c r="J217" s="28" t="s">
        <v>116</v>
      </c>
      <c r="K217" s="25">
        <v>41111</v>
      </c>
      <c r="M217" s="25">
        <v>41117</v>
      </c>
      <c r="N217" s="29" t="s">
        <v>697</v>
      </c>
      <c r="O217" s="28" t="s">
        <v>847</v>
      </c>
      <c r="P217" s="32">
        <v>29214.74</v>
      </c>
      <c r="Q217" s="88">
        <v>41117</v>
      </c>
      <c r="S217" s="49"/>
      <c r="T217" s="49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</row>
    <row r="218" spans="1:33" ht="12" customHeight="1">
      <c r="A218" s="25">
        <v>41111</v>
      </c>
      <c r="B218" s="225" t="s">
        <v>1975</v>
      </c>
      <c r="C218" s="219" t="s">
        <v>756</v>
      </c>
      <c r="D218" s="225" t="s">
        <v>268</v>
      </c>
      <c r="E218" s="28" t="s">
        <v>269</v>
      </c>
      <c r="F218" s="119">
        <v>200</v>
      </c>
      <c r="G218" s="26" t="s">
        <v>231</v>
      </c>
      <c r="H218" s="31">
        <v>1.42</v>
      </c>
      <c r="I218" s="27">
        <f t="shared" si="7"/>
        <v>284</v>
      </c>
      <c r="J218" s="28" t="s">
        <v>116</v>
      </c>
      <c r="K218" s="25">
        <v>41111</v>
      </c>
      <c r="M218" s="25">
        <v>41117</v>
      </c>
      <c r="N218" s="29" t="s">
        <v>697</v>
      </c>
      <c r="O218" s="28" t="s">
        <v>847</v>
      </c>
      <c r="P218" s="32">
        <v>29214.74</v>
      </c>
      <c r="Q218" s="88">
        <v>41117</v>
      </c>
      <c r="S218" s="49"/>
      <c r="T218" s="49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</row>
    <row r="219" spans="1:33" ht="12" customHeight="1">
      <c r="A219" s="25">
        <v>41113</v>
      </c>
      <c r="B219" s="225" t="s">
        <v>1975</v>
      </c>
      <c r="C219" s="219" t="s">
        <v>756</v>
      </c>
      <c r="D219" s="225" t="s">
        <v>305</v>
      </c>
      <c r="E219" s="28">
        <v>1270</v>
      </c>
      <c r="F219" s="119">
        <v>100</v>
      </c>
      <c r="G219" s="190" t="s">
        <v>239</v>
      </c>
      <c r="H219" s="31">
        <v>4.3099999999999996</v>
      </c>
      <c r="I219" s="27">
        <f t="shared" si="7"/>
        <v>430.99999999999994</v>
      </c>
      <c r="J219" s="28" t="s">
        <v>814</v>
      </c>
      <c r="K219" s="25">
        <v>41113</v>
      </c>
      <c r="M219" s="25">
        <v>41117</v>
      </c>
      <c r="N219" s="29" t="s">
        <v>697</v>
      </c>
      <c r="O219" s="28" t="s">
        <v>847</v>
      </c>
      <c r="P219" s="32">
        <v>29214.74</v>
      </c>
      <c r="Q219" s="88">
        <v>41117</v>
      </c>
      <c r="S219" s="49"/>
      <c r="T219" s="49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</row>
    <row r="220" spans="1:33" ht="12" customHeight="1">
      <c r="A220" s="25">
        <v>41113</v>
      </c>
      <c r="B220" s="225" t="s">
        <v>1975</v>
      </c>
      <c r="C220" s="219" t="s">
        <v>756</v>
      </c>
      <c r="D220" s="225" t="s">
        <v>320</v>
      </c>
      <c r="E220" s="28">
        <v>8511</v>
      </c>
      <c r="F220" s="119">
        <v>50</v>
      </c>
      <c r="G220" s="26" t="s">
        <v>684</v>
      </c>
      <c r="H220" s="31">
        <v>8.5500000000000007</v>
      </c>
      <c r="I220" s="27">
        <f t="shared" si="7"/>
        <v>427.50000000000006</v>
      </c>
      <c r="J220" s="28" t="s">
        <v>816</v>
      </c>
      <c r="K220" s="25">
        <v>41113</v>
      </c>
      <c r="M220" s="25">
        <v>41116</v>
      </c>
      <c r="N220" s="29" t="s">
        <v>688</v>
      </c>
      <c r="O220" s="26" t="s">
        <v>713</v>
      </c>
      <c r="Q220" s="88"/>
      <c r="S220" s="49"/>
      <c r="T220" s="49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</row>
    <row r="221" spans="1:33" ht="12" customHeight="1">
      <c r="A221" s="25">
        <v>41113</v>
      </c>
      <c r="B221" s="225" t="s">
        <v>1980</v>
      </c>
      <c r="C221" s="219" t="s">
        <v>756</v>
      </c>
      <c r="D221" s="225" t="s">
        <v>1881</v>
      </c>
      <c r="E221" s="196">
        <v>8511</v>
      </c>
      <c r="F221" s="119">
        <v>40</v>
      </c>
      <c r="G221" s="26" t="s">
        <v>684</v>
      </c>
      <c r="H221" s="31">
        <v>8.0500000000000007</v>
      </c>
      <c r="I221" s="27">
        <f t="shared" si="7"/>
        <v>322</v>
      </c>
      <c r="J221" s="28" t="s">
        <v>817</v>
      </c>
      <c r="K221" s="25">
        <v>41113</v>
      </c>
      <c r="M221" s="25">
        <v>41113</v>
      </c>
      <c r="N221" s="29" t="s">
        <v>688</v>
      </c>
      <c r="O221" s="26" t="s">
        <v>713</v>
      </c>
      <c r="S221" s="49"/>
      <c r="T221" s="49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</row>
    <row r="222" spans="1:33" ht="12" customHeight="1">
      <c r="A222" s="25">
        <v>41113</v>
      </c>
      <c r="B222" s="225" t="s">
        <v>1980</v>
      </c>
      <c r="C222" s="219" t="s">
        <v>756</v>
      </c>
      <c r="D222" s="1" t="s">
        <v>1867</v>
      </c>
      <c r="E222" s="196">
        <v>6006</v>
      </c>
      <c r="F222" s="119">
        <v>276</v>
      </c>
      <c r="G222" s="26" t="s">
        <v>684</v>
      </c>
      <c r="H222" s="31">
        <v>49.5</v>
      </c>
      <c r="I222" s="27">
        <f t="shared" si="7"/>
        <v>13662</v>
      </c>
      <c r="J222" s="28" t="s">
        <v>822</v>
      </c>
      <c r="K222" s="25">
        <v>41116</v>
      </c>
      <c r="M222" s="25">
        <v>41115</v>
      </c>
      <c r="N222" s="29" t="s">
        <v>697</v>
      </c>
      <c r="O222" s="28" t="s">
        <v>823</v>
      </c>
      <c r="P222" s="32">
        <v>30365.8</v>
      </c>
      <c r="Q222" s="56">
        <v>41116</v>
      </c>
      <c r="S222" s="49"/>
      <c r="T222" s="49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</row>
    <row r="223" spans="1:33" ht="12" customHeight="1">
      <c r="A223" s="25">
        <v>41113</v>
      </c>
      <c r="B223" s="225" t="s">
        <v>1980</v>
      </c>
      <c r="C223" s="219" t="s">
        <v>756</v>
      </c>
      <c r="D223" s="225" t="s">
        <v>1870</v>
      </c>
      <c r="E223" s="196">
        <v>8210</v>
      </c>
      <c r="F223" s="119">
        <v>960</v>
      </c>
      <c r="G223" s="26" t="s">
        <v>684</v>
      </c>
      <c r="H223" s="31">
        <v>3.78</v>
      </c>
      <c r="I223" s="27">
        <f t="shared" si="7"/>
        <v>3628.7999999999997</v>
      </c>
      <c r="J223" s="28" t="s">
        <v>822</v>
      </c>
      <c r="K223" s="25">
        <v>41116</v>
      </c>
      <c r="M223" s="25">
        <v>41115</v>
      </c>
      <c r="N223" s="29" t="s">
        <v>697</v>
      </c>
      <c r="O223" s="28" t="s">
        <v>823</v>
      </c>
      <c r="P223" s="32">
        <v>30365.8</v>
      </c>
      <c r="Q223" s="56">
        <v>41116</v>
      </c>
      <c r="S223" s="49"/>
      <c r="T223" s="49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</row>
    <row r="224" spans="1:33" ht="12" customHeight="1">
      <c r="A224" s="25">
        <v>41113</v>
      </c>
      <c r="B224" s="225" t="s">
        <v>1980</v>
      </c>
      <c r="C224" s="219" t="s">
        <v>756</v>
      </c>
      <c r="D224" s="225" t="s">
        <v>350</v>
      </c>
      <c r="E224" s="196">
        <v>7502</v>
      </c>
      <c r="F224" s="119">
        <v>30</v>
      </c>
      <c r="G224" s="26" t="s">
        <v>684</v>
      </c>
      <c r="H224" s="31">
        <v>106</v>
      </c>
      <c r="I224" s="27">
        <f t="shared" si="7"/>
        <v>3180</v>
      </c>
      <c r="J224" s="28" t="s">
        <v>822</v>
      </c>
      <c r="K224" s="25">
        <v>41116</v>
      </c>
      <c r="M224" s="25">
        <v>41115</v>
      </c>
      <c r="N224" s="29" t="s">
        <v>697</v>
      </c>
      <c r="O224" s="28" t="s">
        <v>823</v>
      </c>
      <c r="P224" s="32">
        <v>30365.8</v>
      </c>
      <c r="Q224" s="56">
        <v>41116</v>
      </c>
      <c r="S224" s="49"/>
      <c r="T224" s="49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</row>
    <row r="225" spans="1:33" ht="12" customHeight="1">
      <c r="A225" s="25">
        <v>41113</v>
      </c>
      <c r="B225" s="225" t="s">
        <v>1980</v>
      </c>
      <c r="C225" s="219" t="s">
        <v>756</v>
      </c>
      <c r="D225" s="5" t="s">
        <v>2012</v>
      </c>
      <c r="E225" s="196" t="s">
        <v>780</v>
      </c>
      <c r="F225" s="119">
        <v>5000</v>
      </c>
      <c r="G225" s="198" t="s">
        <v>229</v>
      </c>
      <c r="H225" s="31">
        <v>1.46</v>
      </c>
      <c r="I225" s="27">
        <f t="shared" si="7"/>
        <v>7300</v>
      </c>
      <c r="J225" s="28" t="s">
        <v>822</v>
      </c>
      <c r="K225" s="25">
        <v>41116</v>
      </c>
      <c r="M225" s="25">
        <v>41115</v>
      </c>
      <c r="N225" s="29" t="s">
        <v>697</v>
      </c>
      <c r="O225" s="28" t="s">
        <v>823</v>
      </c>
      <c r="P225" s="32">
        <v>30365.8</v>
      </c>
      <c r="Q225" s="56">
        <v>41116</v>
      </c>
      <c r="S225" s="49"/>
      <c r="T225" s="49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</row>
    <row r="226" spans="1:33" ht="12" customHeight="1">
      <c r="A226" s="25">
        <v>41113</v>
      </c>
      <c r="B226" s="225" t="s">
        <v>1980</v>
      </c>
      <c r="C226" s="219" t="s">
        <v>756</v>
      </c>
      <c r="D226" s="225" t="s">
        <v>232</v>
      </c>
      <c r="E226" s="196" t="s">
        <v>821</v>
      </c>
      <c r="F226" s="205">
        <v>1500</v>
      </c>
      <c r="G226" s="26" t="s">
        <v>684</v>
      </c>
      <c r="H226" s="31">
        <v>1.73</v>
      </c>
      <c r="I226" s="27">
        <f t="shared" si="7"/>
        <v>2595</v>
      </c>
      <c r="J226" s="28" t="s">
        <v>822</v>
      </c>
      <c r="K226" s="25">
        <v>41116</v>
      </c>
      <c r="M226" s="25">
        <v>41115</v>
      </c>
      <c r="N226" s="29" t="s">
        <v>697</v>
      </c>
      <c r="O226" s="28" t="s">
        <v>823</v>
      </c>
      <c r="P226" s="32">
        <v>30365.8</v>
      </c>
      <c r="Q226" s="56">
        <v>41116</v>
      </c>
      <c r="S226" s="49"/>
      <c r="T226" s="49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</row>
    <row r="227" spans="1:33" ht="12" customHeight="1">
      <c r="A227" s="25">
        <v>41114</v>
      </c>
      <c r="B227" s="225" t="s">
        <v>1981</v>
      </c>
      <c r="C227" s="219" t="s">
        <v>756</v>
      </c>
      <c r="D227" s="225" t="s">
        <v>1762</v>
      </c>
      <c r="E227" s="196">
        <v>8514</v>
      </c>
      <c r="F227" s="119">
        <v>34</v>
      </c>
      <c r="G227" s="26" t="s">
        <v>684</v>
      </c>
      <c r="H227" s="31">
        <v>61.6</v>
      </c>
      <c r="I227" s="27">
        <f t="shared" si="7"/>
        <v>2094.4</v>
      </c>
      <c r="J227" s="28" t="s">
        <v>824</v>
      </c>
      <c r="K227" s="25">
        <v>41116</v>
      </c>
      <c r="M227" s="25">
        <v>41114</v>
      </c>
      <c r="N227" s="29" t="s">
        <v>697</v>
      </c>
      <c r="O227" s="28" t="s">
        <v>1</v>
      </c>
      <c r="P227" s="32">
        <v>2094.4</v>
      </c>
      <c r="Q227" s="56">
        <v>41127</v>
      </c>
      <c r="S227" s="49"/>
      <c r="T227" s="49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</row>
    <row r="228" spans="1:33" ht="12" customHeight="1">
      <c r="A228" s="25">
        <v>41115</v>
      </c>
      <c r="B228" s="225" t="s">
        <v>1975</v>
      </c>
      <c r="C228" s="219" t="s">
        <v>756</v>
      </c>
      <c r="D228" s="1" t="s">
        <v>1210</v>
      </c>
      <c r="E228" s="28">
        <v>3200</v>
      </c>
      <c r="F228" s="119">
        <v>20</v>
      </c>
      <c r="G228" s="26" t="s">
        <v>684</v>
      </c>
      <c r="H228" s="31">
        <v>28.3</v>
      </c>
      <c r="I228" s="27">
        <f t="shared" si="7"/>
        <v>566</v>
      </c>
      <c r="J228" s="28" t="s">
        <v>818</v>
      </c>
      <c r="K228" s="25">
        <v>41115</v>
      </c>
      <c r="M228" s="25">
        <v>41117</v>
      </c>
      <c r="N228" s="29" t="s">
        <v>697</v>
      </c>
      <c r="O228" s="28" t="s">
        <v>847</v>
      </c>
      <c r="P228" s="32">
        <v>29214.74</v>
      </c>
      <c r="Q228" s="88">
        <v>41117</v>
      </c>
      <c r="S228" s="49"/>
      <c r="T228" s="49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</row>
    <row r="229" spans="1:33" ht="12" customHeight="1">
      <c r="A229" s="25">
        <v>41115</v>
      </c>
      <c r="B229" s="225" t="s">
        <v>1975</v>
      </c>
      <c r="C229" s="219" t="s">
        <v>756</v>
      </c>
      <c r="D229" s="225" t="s">
        <v>346</v>
      </c>
      <c r="E229" s="28">
        <v>3700</v>
      </c>
      <c r="F229" s="119">
        <v>20</v>
      </c>
      <c r="G229" s="26" t="s">
        <v>684</v>
      </c>
      <c r="H229" s="31">
        <v>3.64</v>
      </c>
      <c r="I229" s="27">
        <f t="shared" si="7"/>
        <v>72.8</v>
      </c>
      <c r="J229" s="28" t="s">
        <v>818</v>
      </c>
      <c r="K229" s="25">
        <v>41115</v>
      </c>
      <c r="M229" s="25">
        <v>41117</v>
      </c>
      <c r="N229" s="29" t="s">
        <v>697</v>
      </c>
      <c r="O229" s="28" t="s">
        <v>847</v>
      </c>
      <c r="P229" s="32">
        <v>29214.74</v>
      </c>
      <c r="Q229" s="88">
        <v>41117</v>
      </c>
      <c r="S229" s="49"/>
      <c r="T229" s="49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</row>
    <row r="230" spans="1:33" ht="12" customHeight="1">
      <c r="A230" s="25">
        <v>41115</v>
      </c>
      <c r="B230" s="225" t="s">
        <v>1979</v>
      </c>
      <c r="C230" s="219" t="s">
        <v>756</v>
      </c>
      <c r="D230" s="1" t="s">
        <v>1867</v>
      </c>
      <c r="E230" s="196">
        <v>6006</v>
      </c>
      <c r="F230" s="119">
        <v>4</v>
      </c>
      <c r="G230" s="26" t="s">
        <v>684</v>
      </c>
      <c r="H230" s="31">
        <v>50</v>
      </c>
      <c r="I230" s="27">
        <f t="shared" si="7"/>
        <v>200</v>
      </c>
      <c r="J230" s="28" t="s">
        <v>820</v>
      </c>
      <c r="K230" s="25">
        <v>41116</v>
      </c>
      <c r="M230" s="56">
        <v>41130</v>
      </c>
      <c r="N230" s="29" t="s">
        <v>166</v>
      </c>
      <c r="O230" s="28" t="s">
        <v>14</v>
      </c>
      <c r="P230" s="32">
        <v>9590</v>
      </c>
      <c r="Q230" s="56">
        <v>41130</v>
      </c>
      <c r="S230" s="49"/>
      <c r="T230" s="49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</row>
    <row r="231" spans="1:33" ht="12" customHeight="1">
      <c r="A231" s="25">
        <v>41116</v>
      </c>
      <c r="B231" s="225" t="s">
        <v>1979</v>
      </c>
      <c r="C231" s="219" t="s">
        <v>756</v>
      </c>
      <c r="D231" s="1" t="s">
        <v>1210</v>
      </c>
      <c r="E231" s="196">
        <v>3200</v>
      </c>
      <c r="F231" s="119">
        <v>80</v>
      </c>
      <c r="G231" s="26" t="s">
        <v>684</v>
      </c>
      <c r="H231" s="31">
        <v>26</v>
      </c>
      <c r="I231" s="27">
        <f t="shared" si="7"/>
        <v>2080</v>
      </c>
      <c r="J231" s="28" t="s">
        <v>826</v>
      </c>
      <c r="K231" s="25">
        <v>41117</v>
      </c>
      <c r="M231" s="56">
        <v>41130</v>
      </c>
      <c r="N231" s="29" t="s">
        <v>166</v>
      </c>
      <c r="O231" s="28" t="s">
        <v>14</v>
      </c>
      <c r="P231" s="32">
        <v>9590</v>
      </c>
      <c r="Q231" s="56">
        <v>41130</v>
      </c>
      <c r="S231" s="49"/>
      <c r="T231" s="49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</row>
    <row r="232" spans="1:33" ht="12" customHeight="1">
      <c r="A232" s="25">
        <v>41116</v>
      </c>
      <c r="B232" s="225" t="s">
        <v>1979</v>
      </c>
      <c r="C232" s="219" t="s">
        <v>756</v>
      </c>
      <c r="D232" s="225" t="s">
        <v>346</v>
      </c>
      <c r="E232" s="196">
        <v>3700</v>
      </c>
      <c r="F232" s="119">
        <v>100</v>
      </c>
      <c r="G232" s="26" t="s">
        <v>684</v>
      </c>
      <c r="H232" s="31">
        <v>3.3</v>
      </c>
      <c r="I232" s="27">
        <f t="shared" si="7"/>
        <v>330</v>
      </c>
      <c r="J232" s="28" t="s">
        <v>826</v>
      </c>
      <c r="K232" s="25">
        <v>41117</v>
      </c>
      <c r="M232" s="56">
        <v>41130</v>
      </c>
      <c r="N232" s="29" t="s">
        <v>166</v>
      </c>
      <c r="O232" s="28" t="s">
        <v>14</v>
      </c>
      <c r="P232" s="32">
        <v>9590</v>
      </c>
      <c r="Q232" s="56">
        <v>41130</v>
      </c>
      <c r="S232" s="49"/>
      <c r="T232" s="49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</row>
    <row r="233" spans="1:33" ht="12" customHeight="1">
      <c r="A233" s="25">
        <v>41116</v>
      </c>
      <c r="B233" s="225" t="s">
        <v>1979</v>
      </c>
      <c r="C233" s="219" t="s">
        <v>756</v>
      </c>
      <c r="D233" s="225" t="s">
        <v>232</v>
      </c>
      <c r="E233" s="196" t="s">
        <v>821</v>
      </c>
      <c r="F233" s="205">
        <v>1000</v>
      </c>
      <c r="G233" s="26" t="s">
        <v>684</v>
      </c>
      <c r="H233" s="31">
        <v>1.7</v>
      </c>
      <c r="I233" s="27">
        <f t="shared" si="7"/>
        <v>1700</v>
      </c>
      <c r="J233" s="28" t="s">
        <v>826</v>
      </c>
      <c r="K233" s="25">
        <v>41117</v>
      </c>
      <c r="M233" s="56">
        <v>41130</v>
      </c>
      <c r="N233" s="29" t="s">
        <v>166</v>
      </c>
      <c r="O233" s="28" t="s">
        <v>14</v>
      </c>
      <c r="P233" s="32">
        <v>9590</v>
      </c>
      <c r="Q233" s="56">
        <v>41130</v>
      </c>
      <c r="S233" s="49"/>
      <c r="T233" s="49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</row>
    <row r="234" spans="1:33" ht="12" customHeight="1">
      <c r="A234" s="25">
        <v>41116</v>
      </c>
      <c r="B234" s="225" t="s">
        <v>1980</v>
      </c>
      <c r="C234" s="219" t="s">
        <v>756</v>
      </c>
      <c r="D234" s="225" t="s">
        <v>1882</v>
      </c>
      <c r="E234" s="196" t="s">
        <v>242</v>
      </c>
      <c r="F234" s="119">
        <v>180</v>
      </c>
      <c r="G234" s="26" t="s">
        <v>229</v>
      </c>
      <c r="H234" s="31">
        <v>17.5</v>
      </c>
      <c r="I234" s="27">
        <f t="shared" si="7"/>
        <v>3150</v>
      </c>
      <c r="J234" s="28" t="s">
        <v>705</v>
      </c>
      <c r="K234" s="25">
        <v>41117</v>
      </c>
      <c r="M234" s="25">
        <v>41117</v>
      </c>
      <c r="N234" s="29" t="s">
        <v>697</v>
      </c>
      <c r="O234" s="28" t="s">
        <v>836</v>
      </c>
      <c r="P234" s="32">
        <v>9114.6</v>
      </c>
      <c r="Q234" s="56">
        <v>41117</v>
      </c>
      <c r="S234" s="49"/>
      <c r="T234" s="49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</row>
    <row r="235" spans="1:33" ht="12" customHeight="1">
      <c r="A235" s="25">
        <v>41116</v>
      </c>
      <c r="B235" s="225" t="s">
        <v>1980</v>
      </c>
      <c r="C235" s="219" t="s">
        <v>756</v>
      </c>
      <c r="D235" s="225" t="s">
        <v>1874</v>
      </c>
      <c r="E235" s="196" t="s">
        <v>233</v>
      </c>
      <c r="F235" s="119">
        <v>300</v>
      </c>
      <c r="G235" s="194" t="s">
        <v>231</v>
      </c>
      <c r="H235" s="31">
        <v>5.05</v>
      </c>
      <c r="I235" s="27">
        <f t="shared" si="7"/>
        <v>1515</v>
      </c>
      <c r="J235" s="28" t="s">
        <v>705</v>
      </c>
      <c r="K235" s="25">
        <v>41117</v>
      </c>
      <c r="M235" s="25">
        <v>41117</v>
      </c>
      <c r="N235" s="29" t="s">
        <v>697</v>
      </c>
      <c r="O235" s="28" t="s">
        <v>836</v>
      </c>
      <c r="P235" s="32">
        <v>9114.6</v>
      </c>
      <c r="Q235" s="56">
        <v>41117</v>
      </c>
      <c r="S235" s="49"/>
      <c r="T235" s="49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</row>
    <row r="236" spans="1:33" ht="12" customHeight="1">
      <c r="A236" s="25">
        <v>41116</v>
      </c>
      <c r="B236" s="225" t="s">
        <v>1980</v>
      </c>
      <c r="C236" s="219" t="s">
        <v>756</v>
      </c>
      <c r="D236" s="225" t="s">
        <v>810</v>
      </c>
      <c r="E236" s="196">
        <v>8511</v>
      </c>
      <c r="F236" s="119">
        <v>200</v>
      </c>
      <c r="G236" s="119" t="s">
        <v>229</v>
      </c>
      <c r="H236" s="31">
        <v>8.09</v>
      </c>
      <c r="I236" s="27">
        <f t="shared" si="7"/>
        <v>1618</v>
      </c>
      <c r="J236" s="28" t="s">
        <v>822</v>
      </c>
      <c r="K236" s="25">
        <v>41120</v>
      </c>
      <c r="M236" s="25">
        <v>41121</v>
      </c>
      <c r="N236" s="29" t="s">
        <v>688</v>
      </c>
      <c r="O236" s="119" t="s">
        <v>713</v>
      </c>
      <c r="P236" s="32">
        <v>72146</v>
      </c>
      <c r="Q236" s="56">
        <v>41149</v>
      </c>
      <c r="R236" s="120" t="s">
        <v>143</v>
      </c>
      <c r="S236" s="49"/>
      <c r="T236" s="49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</row>
    <row r="237" spans="1:33" ht="12" customHeight="1">
      <c r="A237" s="25">
        <v>41116</v>
      </c>
      <c r="B237" s="225" t="s">
        <v>1980</v>
      </c>
      <c r="C237" s="219" t="s">
        <v>756</v>
      </c>
      <c r="D237" s="225" t="s">
        <v>825</v>
      </c>
      <c r="E237" s="196" t="s">
        <v>325</v>
      </c>
      <c r="F237" s="119">
        <v>160</v>
      </c>
      <c r="G237" s="119" t="s">
        <v>689</v>
      </c>
      <c r="H237" s="31">
        <v>5.2</v>
      </c>
      <c r="I237" s="27">
        <f t="shared" si="7"/>
        <v>832</v>
      </c>
      <c r="J237" s="28" t="s">
        <v>822</v>
      </c>
      <c r="K237" s="25">
        <v>41120</v>
      </c>
      <c r="M237" s="25">
        <v>41121</v>
      </c>
      <c r="N237" s="29" t="s">
        <v>688</v>
      </c>
      <c r="O237" s="119" t="s">
        <v>713</v>
      </c>
      <c r="P237" s="32">
        <v>72146</v>
      </c>
      <c r="Q237" s="56">
        <v>41149</v>
      </c>
      <c r="R237" s="120" t="s">
        <v>143</v>
      </c>
      <c r="S237" s="49"/>
      <c r="T237" s="49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</row>
    <row r="238" spans="1:33" ht="12" customHeight="1">
      <c r="A238" s="25">
        <v>41117</v>
      </c>
      <c r="B238" s="225" t="s">
        <v>1980</v>
      </c>
      <c r="C238" s="219" t="s">
        <v>756</v>
      </c>
      <c r="D238" s="225" t="s">
        <v>1870</v>
      </c>
      <c r="E238" s="196">
        <v>8210</v>
      </c>
      <c r="F238" s="119">
        <v>320</v>
      </c>
      <c r="G238" s="26" t="s">
        <v>684</v>
      </c>
      <c r="H238" s="31">
        <v>3.78</v>
      </c>
      <c r="I238" s="27">
        <f t="shared" si="7"/>
        <v>1209.5999999999999</v>
      </c>
      <c r="J238" s="28" t="s">
        <v>167</v>
      </c>
      <c r="K238" s="25">
        <v>41117</v>
      </c>
      <c r="M238" s="25">
        <v>41117</v>
      </c>
      <c r="N238" s="29" t="s">
        <v>697</v>
      </c>
      <c r="O238" s="28" t="s">
        <v>25</v>
      </c>
      <c r="P238" s="32">
        <v>9114.6</v>
      </c>
      <c r="Q238" s="56">
        <v>41117</v>
      </c>
      <c r="S238" s="49"/>
      <c r="T238" s="49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</row>
    <row r="239" spans="1:33" ht="12" customHeight="1">
      <c r="A239" s="25">
        <v>41117</v>
      </c>
      <c r="B239" s="225" t="s">
        <v>1980</v>
      </c>
      <c r="C239" s="219" t="s">
        <v>162</v>
      </c>
      <c r="D239" s="342" t="s">
        <v>240</v>
      </c>
      <c r="E239" s="196">
        <v>6200</v>
      </c>
      <c r="F239" s="124">
        <v>72</v>
      </c>
      <c r="G239" s="124" t="s">
        <v>170</v>
      </c>
      <c r="H239" s="31">
        <v>45</v>
      </c>
      <c r="I239" s="27">
        <f t="shared" si="7"/>
        <v>3240</v>
      </c>
      <c r="J239" s="28" t="s">
        <v>167</v>
      </c>
      <c r="K239" s="25">
        <v>41117</v>
      </c>
      <c r="M239" s="25">
        <v>41117</v>
      </c>
      <c r="N239" s="29" t="s">
        <v>166</v>
      </c>
      <c r="O239" s="28" t="s">
        <v>25</v>
      </c>
      <c r="P239" s="32">
        <v>9114.6</v>
      </c>
      <c r="Q239" s="56">
        <v>41117</v>
      </c>
      <c r="R239" s="124"/>
      <c r="S239" s="49"/>
      <c r="T239" s="49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</row>
    <row r="240" spans="1:33" ht="12" customHeight="1">
      <c r="A240" s="25">
        <v>41117</v>
      </c>
      <c r="B240" s="225" t="s">
        <v>1975</v>
      </c>
      <c r="C240" s="219" t="s">
        <v>756</v>
      </c>
      <c r="D240" s="225" t="s">
        <v>670</v>
      </c>
      <c r="E240" s="28" t="s">
        <v>1083</v>
      </c>
      <c r="F240" s="119">
        <v>250</v>
      </c>
      <c r="G240" s="328" t="s">
        <v>170</v>
      </c>
      <c r="H240" s="31">
        <v>4.08</v>
      </c>
      <c r="I240" s="27">
        <f t="shared" si="7"/>
        <v>1020</v>
      </c>
      <c r="J240" s="28" t="s">
        <v>838</v>
      </c>
      <c r="K240" s="25">
        <v>41117</v>
      </c>
      <c r="M240" s="25">
        <v>41138</v>
      </c>
      <c r="N240" s="29" t="s">
        <v>697</v>
      </c>
      <c r="O240" s="37" t="s">
        <v>141</v>
      </c>
      <c r="P240" s="32">
        <v>13200.78</v>
      </c>
      <c r="Q240" s="56">
        <v>41149</v>
      </c>
      <c r="S240" s="49"/>
      <c r="T240" s="49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</row>
    <row r="241" spans="1:33" ht="12" customHeight="1">
      <c r="A241" s="25">
        <v>41117</v>
      </c>
      <c r="B241" s="225" t="s">
        <v>1978</v>
      </c>
      <c r="C241" s="219" t="s">
        <v>756</v>
      </c>
      <c r="D241" s="1" t="s">
        <v>1868</v>
      </c>
      <c r="E241" s="196">
        <v>10435</v>
      </c>
      <c r="F241" s="119">
        <v>60</v>
      </c>
      <c r="G241" s="26" t="s">
        <v>690</v>
      </c>
      <c r="H241" s="31">
        <v>15.84</v>
      </c>
      <c r="I241" s="27">
        <f t="shared" si="7"/>
        <v>950.4</v>
      </c>
      <c r="J241" s="28" t="s">
        <v>705</v>
      </c>
      <c r="K241" s="25" t="s">
        <v>5464</v>
      </c>
      <c r="M241" s="25">
        <v>41117</v>
      </c>
      <c r="N241" s="29" t="s">
        <v>697</v>
      </c>
      <c r="O241" s="28" t="s">
        <v>138</v>
      </c>
      <c r="P241" s="32">
        <v>26090.799999999999</v>
      </c>
      <c r="Q241" s="56">
        <v>41148</v>
      </c>
      <c r="S241" s="49"/>
      <c r="T241" s="49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</row>
    <row r="242" spans="1:33" ht="12" customHeight="1">
      <c r="A242" s="25">
        <v>41117</v>
      </c>
      <c r="B242" s="225" t="s">
        <v>1978</v>
      </c>
      <c r="C242" s="219" t="s">
        <v>756</v>
      </c>
      <c r="D242" s="225" t="s">
        <v>1883</v>
      </c>
      <c r="E242" s="196">
        <v>10436</v>
      </c>
      <c r="F242" s="119">
        <v>64</v>
      </c>
      <c r="G242" s="26" t="s">
        <v>690</v>
      </c>
      <c r="H242" s="31">
        <v>17.82</v>
      </c>
      <c r="I242" s="27">
        <f t="shared" si="7"/>
        <v>1140.48</v>
      </c>
      <c r="J242" s="28" t="s">
        <v>705</v>
      </c>
      <c r="K242" s="25" t="s">
        <v>5464</v>
      </c>
      <c r="M242" s="25">
        <v>41117</v>
      </c>
      <c r="N242" s="29" t="s">
        <v>697</v>
      </c>
      <c r="O242" s="28" t="s">
        <v>138</v>
      </c>
      <c r="P242" s="32">
        <v>26090.799999999999</v>
      </c>
      <c r="Q242" s="56">
        <v>41148</v>
      </c>
      <c r="R242" s="49"/>
      <c r="S242" s="49"/>
      <c r="T242" s="49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</row>
    <row r="243" spans="1:33" ht="12" customHeight="1">
      <c r="A243" s="25">
        <v>41120</v>
      </c>
      <c r="B243" s="225" t="s">
        <v>1979</v>
      </c>
      <c r="C243" s="219" t="s">
        <v>756</v>
      </c>
      <c r="D243" s="225" t="s">
        <v>232</v>
      </c>
      <c r="E243" s="196" t="s">
        <v>821</v>
      </c>
      <c r="F243" s="205">
        <v>3000</v>
      </c>
      <c r="G243" s="26" t="s">
        <v>689</v>
      </c>
      <c r="H243" s="31">
        <v>1.7</v>
      </c>
      <c r="I243" s="27">
        <f t="shared" si="7"/>
        <v>5100</v>
      </c>
      <c r="J243" s="28" t="s">
        <v>839</v>
      </c>
      <c r="K243" s="25">
        <v>41120</v>
      </c>
      <c r="M243" s="56">
        <v>41130</v>
      </c>
      <c r="N243" s="29" t="s">
        <v>166</v>
      </c>
      <c r="O243" s="28" t="s">
        <v>14</v>
      </c>
      <c r="P243" s="32">
        <v>9590</v>
      </c>
      <c r="Q243" s="56">
        <v>41130</v>
      </c>
      <c r="R243" s="49"/>
      <c r="S243" s="49"/>
      <c r="T243" s="49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</row>
    <row r="244" spans="1:33" ht="12" customHeight="1">
      <c r="A244" s="25">
        <v>41120</v>
      </c>
      <c r="B244" s="225" t="s">
        <v>1978</v>
      </c>
      <c r="C244" s="219" t="s">
        <v>756</v>
      </c>
      <c r="D244" s="225" t="s">
        <v>273</v>
      </c>
      <c r="E244" s="196" t="s">
        <v>781</v>
      </c>
      <c r="F244" s="119">
        <v>800</v>
      </c>
      <c r="G244" s="26" t="s">
        <v>684</v>
      </c>
      <c r="H244" s="31">
        <v>30</v>
      </c>
      <c r="I244" s="27">
        <f t="shared" ref="I244:I263" si="8">H244*F244</f>
        <v>24000</v>
      </c>
      <c r="J244" s="28" t="s">
        <v>846</v>
      </c>
      <c r="K244" s="25" t="s">
        <v>5464</v>
      </c>
      <c r="M244" s="25">
        <v>41120</v>
      </c>
      <c r="N244" s="29" t="s">
        <v>697</v>
      </c>
      <c r="O244" s="28" t="s">
        <v>138</v>
      </c>
      <c r="P244" s="32">
        <v>26090.799999999999</v>
      </c>
      <c r="Q244" s="56">
        <v>41148</v>
      </c>
      <c r="R244" s="49"/>
      <c r="S244" s="49"/>
      <c r="T244" s="49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</row>
    <row r="245" spans="1:33" ht="12" customHeight="1">
      <c r="A245" s="25">
        <v>41120</v>
      </c>
      <c r="B245" s="225" t="s">
        <v>1980</v>
      </c>
      <c r="C245" s="219" t="s">
        <v>756</v>
      </c>
      <c r="D245" s="342" t="s">
        <v>240</v>
      </c>
      <c r="E245" s="196">
        <v>6200</v>
      </c>
      <c r="F245" s="119">
        <v>120</v>
      </c>
      <c r="G245" s="26" t="s">
        <v>229</v>
      </c>
      <c r="H245" s="31">
        <v>45</v>
      </c>
      <c r="I245" s="27">
        <f t="shared" si="8"/>
        <v>5400</v>
      </c>
      <c r="J245" s="28" t="s">
        <v>822</v>
      </c>
      <c r="K245" s="25">
        <v>41117</v>
      </c>
      <c r="M245" s="25">
        <v>41121</v>
      </c>
      <c r="N245" s="29" t="s">
        <v>697</v>
      </c>
      <c r="O245" s="50" t="s">
        <v>117</v>
      </c>
      <c r="P245" s="32">
        <v>45569.5</v>
      </c>
      <c r="Q245" s="56">
        <v>41121</v>
      </c>
      <c r="R245" s="49"/>
      <c r="S245" s="49"/>
      <c r="T245" s="49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</row>
    <row r="246" spans="1:33" ht="12" customHeight="1">
      <c r="A246" s="25">
        <v>41120</v>
      </c>
      <c r="B246" s="225" t="s">
        <v>1980</v>
      </c>
      <c r="C246" s="219" t="s">
        <v>756</v>
      </c>
      <c r="D246" s="225" t="s">
        <v>273</v>
      </c>
      <c r="E246" s="196" t="s">
        <v>274</v>
      </c>
      <c r="F246" s="119">
        <v>200</v>
      </c>
      <c r="G246" s="26" t="s">
        <v>684</v>
      </c>
      <c r="H246" s="31">
        <v>29.5</v>
      </c>
      <c r="I246" s="27">
        <f t="shared" si="8"/>
        <v>5900</v>
      </c>
      <c r="J246" s="28" t="s">
        <v>822</v>
      </c>
      <c r="K246" s="25">
        <v>41121</v>
      </c>
      <c r="M246" s="25">
        <v>41121</v>
      </c>
      <c r="N246" s="29" t="s">
        <v>697</v>
      </c>
      <c r="O246" s="50" t="s">
        <v>117</v>
      </c>
      <c r="P246" s="32">
        <v>45569.5</v>
      </c>
      <c r="Q246" s="56">
        <v>41121</v>
      </c>
      <c r="R246" s="49"/>
      <c r="S246" s="49"/>
      <c r="T246" s="49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</row>
    <row r="247" spans="1:33" ht="12" customHeight="1">
      <c r="A247" s="25">
        <v>41120</v>
      </c>
      <c r="B247" s="225" t="s">
        <v>1980</v>
      </c>
      <c r="C247" s="219" t="s">
        <v>756</v>
      </c>
      <c r="D247" s="225" t="s">
        <v>844</v>
      </c>
      <c r="E247" s="196" t="s">
        <v>843</v>
      </c>
      <c r="F247" s="119">
        <v>150</v>
      </c>
      <c r="G247" s="26" t="s">
        <v>684</v>
      </c>
      <c r="H247" s="31">
        <v>29.5</v>
      </c>
      <c r="I247" s="27">
        <f t="shared" si="8"/>
        <v>4425</v>
      </c>
      <c r="J247" s="28" t="s">
        <v>822</v>
      </c>
      <c r="K247" s="25">
        <v>41121</v>
      </c>
      <c r="M247" s="25">
        <v>41121</v>
      </c>
      <c r="N247" s="29" t="s">
        <v>697</v>
      </c>
      <c r="O247" s="50" t="s">
        <v>117</v>
      </c>
      <c r="P247" s="32">
        <v>45569.5</v>
      </c>
      <c r="Q247" s="56">
        <v>41121</v>
      </c>
      <c r="R247" s="49"/>
      <c r="S247" s="49"/>
      <c r="T247" s="49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</row>
    <row r="248" spans="1:33" ht="12" customHeight="1">
      <c r="A248" s="25">
        <v>41120</v>
      </c>
      <c r="B248" s="225" t="s">
        <v>1980</v>
      </c>
      <c r="C248" s="219" t="s">
        <v>756</v>
      </c>
      <c r="D248" s="225" t="s">
        <v>232</v>
      </c>
      <c r="E248" s="196" t="s">
        <v>233</v>
      </c>
      <c r="F248" s="119">
        <v>1600</v>
      </c>
      <c r="G248" s="194" t="s">
        <v>231</v>
      </c>
      <c r="H248" s="31">
        <v>5.05</v>
      </c>
      <c r="I248" s="27">
        <f t="shared" si="8"/>
        <v>8080</v>
      </c>
      <c r="J248" s="28" t="s">
        <v>822</v>
      </c>
      <c r="K248" s="25">
        <v>41121</v>
      </c>
      <c r="M248" s="25">
        <v>41121</v>
      </c>
      <c r="N248" s="29" t="s">
        <v>697</v>
      </c>
      <c r="O248" s="50" t="s">
        <v>117</v>
      </c>
      <c r="P248" s="32">
        <v>45569.5</v>
      </c>
      <c r="Q248" s="56">
        <v>41121</v>
      </c>
      <c r="R248" s="49"/>
      <c r="S248" s="49"/>
      <c r="T248" s="49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</row>
    <row r="249" spans="1:33" ht="12" customHeight="1">
      <c r="A249" s="25">
        <v>41120</v>
      </c>
      <c r="B249" s="225" t="s">
        <v>1980</v>
      </c>
      <c r="C249" s="219" t="s">
        <v>756</v>
      </c>
      <c r="D249" s="225" t="s">
        <v>350</v>
      </c>
      <c r="E249" s="196">
        <v>7502</v>
      </c>
      <c r="F249" s="119">
        <v>200</v>
      </c>
      <c r="G249" s="26" t="s">
        <v>684</v>
      </c>
      <c r="H249" s="31">
        <v>105</v>
      </c>
      <c r="I249" s="27">
        <f t="shared" si="8"/>
        <v>21000</v>
      </c>
      <c r="J249" s="28" t="s">
        <v>822</v>
      </c>
      <c r="K249" s="25">
        <v>41121</v>
      </c>
      <c r="M249" s="25">
        <v>41121</v>
      </c>
      <c r="N249" s="29" t="s">
        <v>697</v>
      </c>
      <c r="O249" s="50" t="s">
        <v>117</v>
      </c>
      <c r="P249" s="32">
        <v>45569.5</v>
      </c>
      <c r="Q249" s="56">
        <v>41121</v>
      </c>
      <c r="R249" s="49"/>
      <c r="S249" s="49"/>
      <c r="T249" s="49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</row>
    <row r="250" spans="1:33" ht="12" customHeight="1">
      <c r="A250" s="25">
        <v>41120</v>
      </c>
      <c r="B250" s="225" t="s">
        <v>1980</v>
      </c>
      <c r="C250" s="219" t="s">
        <v>756</v>
      </c>
      <c r="D250" s="225" t="s">
        <v>263</v>
      </c>
      <c r="E250" s="196">
        <v>501</v>
      </c>
      <c r="F250" s="119">
        <v>550</v>
      </c>
      <c r="G250" s="190" t="s">
        <v>684</v>
      </c>
      <c r="H250" s="31">
        <v>1.39</v>
      </c>
      <c r="I250" s="27">
        <f t="shared" si="8"/>
        <v>764.5</v>
      </c>
      <c r="J250" s="28" t="s">
        <v>822</v>
      </c>
      <c r="K250" s="25">
        <v>41121</v>
      </c>
      <c r="M250" s="25">
        <v>41121</v>
      </c>
      <c r="N250" s="29" t="s">
        <v>697</v>
      </c>
      <c r="O250" s="50" t="s">
        <v>117</v>
      </c>
      <c r="P250" s="32">
        <v>45569.5</v>
      </c>
      <c r="Q250" s="56">
        <v>41121</v>
      </c>
      <c r="R250" s="49"/>
      <c r="S250" s="49"/>
      <c r="T250" s="49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</row>
    <row r="251" spans="1:33" ht="12" customHeight="1">
      <c r="A251" s="25">
        <v>41121</v>
      </c>
      <c r="B251" s="225" t="s">
        <v>1975</v>
      </c>
      <c r="C251" s="219" t="s">
        <v>756</v>
      </c>
      <c r="D251" s="225" t="s">
        <v>842</v>
      </c>
      <c r="E251" s="28">
        <v>16618</v>
      </c>
      <c r="F251" s="119">
        <v>200</v>
      </c>
      <c r="G251" s="26" t="s">
        <v>690</v>
      </c>
      <c r="H251" s="31">
        <v>35.75</v>
      </c>
      <c r="I251" s="27">
        <f t="shared" si="8"/>
        <v>7150</v>
      </c>
      <c r="J251" s="28" t="s">
        <v>845</v>
      </c>
      <c r="K251" s="25">
        <v>41121</v>
      </c>
      <c r="M251" s="25">
        <v>41138</v>
      </c>
      <c r="N251" s="29" t="s">
        <v>697</v>
      </c>
      <c r="O251" s="37" t="s">
        <v>141</v>
      </c>
      <c r="P251" s="32">
        <v>13200.78</v>
      </c>
      <c r="Q251" s="56">
        <v>41149</v>
      </c>
      <c r="R251" s="49"/>
      <c r="S251" s="49"/>
      <c r="T251" s="49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</row>
    <row r="252" spans="1:33" ht="12" customHeight="1">
      <c r="A252" s="25">
        <v>41122</v>
      </c>
      <c r="B252" s="225" t="s">
        <v>1975</v>
      </c>
      <c r="C252" s="219" t="s">
        <v>756</v>
      </c>
      <c r="D252" s="1" t="s">
        <v>1213</v>
      </c>
      <c r="E252" s="28" t="s">
        <v>776</v>
      </c>
      <c r="F252" s="119">
        <v>5</v>
      </c>
      <c r="G252" s="26" t="s">
        <v>690</v>
      </c>
      <c r="H252" s="31">
        <v>13</v>
      </c>
      <c r="I252" s="27">
        <f t="shared" si="8"/>
        <v>65</v>
      </c>
      <c r="J252" s="28" t="s">
        <v>848</v>
      </c>
      <c r="K252" s="25">
        <v>41122</v>
      </c>
      <c r="M252" s="25">
        <v>41138</v>
      </c>
      <c r="N252" s="29" t="s">
        <v>697</v>
      </c>
      <c r="O252" s="37" t="s">
        <v>141</v>
      </c>
      <c r="P252" s="32">
        <v>13200.78</v>
      </c>
      <c r="Q252" s="56">
        <v>41149</v>
      </c>
      <c r="R252" s="49"/>
      <c r="S252" s="49"/>
      <c r="T252" s="49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</row>
    <row r="253" spans="1:33" ht="12" customHeight="1">
      <c r="A253" s="25">
        <v>41123</v>
      </c>
      <c r="B253" s="225" t="s">
        <v>1975</v>
      </c>
      <c r="C253" s="219" t="s">
        <v>756</v>
      </c>
      <c r="D253" s="225" t="s">
        <v>307</v>
      </c>
      <c r="E253" s="28">
        <v>1110</v>
      </c>
      <c r="F253" s="119">
        <v>100</v>
      </c>
      <c r="G253" s="26" t="s">
        <v>690</v>
      </c>
      <c r="H253" s="31">
        <v>0.77</v>
      </c>
      <c r="I253" s="27">
        <f t="shared" si="8"/>
        <v>77</v>
      </c>
      <c r="J253" s="28" t="s">
        <v>118</v>
      </c>
      <c r="K253" s="25">
        <v>41123</v>
      </c>
      <c r="M253" s="25">
        <v>41138</v>
      </c>
      <c r="N253" s="29" t="s">
        <v>697</v>
      </c>
      <c r="O253" s="37" t="s">
        <v>141</v>
      </c>
      <c r="P253" s="32">
        <v>13200.78</v>
      </c>
      <c r="Q253" s="56">
        <v>41149</v>
      </c>
      <c r="R253" s="49"/>
      <c r="S253" s="49"/>
      <c r="T253" s="49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</row>
    <row r="254" spans="1:33" ht="12" customHeight="1">
      <c r="A254" s="25">
        <v>41124</v>
      </c>
      <c r="B254" s="225" t="s">
        <v>1975</v>
      </c>
      <c r="C254" s="219" t="s">
        <v>756</v>
      </c>
      <c r="D254" s="225" t="s">
        <v>305</v>
      </c>
      <c r="E254" s="28">
        <v>1270</v>
      </c>
      <c r="F254" s="119">
        <v>100</v>
      </c>
      <c r="G254" s="190" t="s">
        <v>239</v>
      </c>
      <c r="H254" s="31">
        <v>4.1399999999999997</v>
      </c>
      <c r="I254" s="27">
        <f t="shared" si="8"/>
        <v>413.99999999999994</v>
      </c>
      <c r="J254" s="28" t="s">
        <v>119</v>
      </c>
      <c r="K254" s="25">
        <v>41124</v>
      </c>
      <c r="M254" s="25">
        <v>41138</v>
      </c>
      <c r="N254" s="29" t="s">
        <v>688</v>
      </c>
      <c r="O254" s="28" t="s">
        <v>713</v>
      </c>
      <c r="R254" s="49"/>
      <c r="S254" s="49"/>
      <c r="T254" s="49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</row>
    <row r="255" spans="1:33" ht="12" customHeight="1">
      <c r="A255" s="25">
        <v>41124</v>
      </c>
      <c r="B255" s="225" t="s">
        <v>1975</v>
      </c>
      <c r="C255" s="219" t="s">
        <v>756</v>
      </c>
      <c r="D255" s="225" t="s">
        <v>287</v>
      </c>
      <c r="E255" s="28">
        <v>10434</v>
      </c>
      <c r="F255" s="119">
        <v>100</v>
      </c>
      <c r="G255" s="26" t="s">
        <v>690</v>
      </c>
      <c r="H255" s="31">
        <v>14.88</v>
      </c>
      <c r="I255" s="27">
        <f t="shared" si="8"/>
        <v>1488</v>
      </c>
      <c r="J255" s="28" t="s">
        <v>120</v>
      </c>
      <c r="K255" s="25">
        <v>41124</v>
      </c>
      <c r="M255" s="25">
        <v>41138</v>
      </c>
      <c r="N255" s="29" t="s">
        <v>697</v>
      </c>
      <c r="O255" s="37" t="s">
        <v>141</v>
      </c>
      <c r="P255" s="32">
        <v>13200.78</v>
      </c>
      <c r="Q255" s="56">
        <v>41149</v>
      </c>
      <c r="R255" s="49"/>
      <c r="S255" s="49"/>
      <c r="T255" s="49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</row>
    <row r="256" spans="1:33" ht="12" customHeight="1">
      <c r="A256" s="25">
        <v>41124</v>
      </c>
      <c r="B256" s="225" t="s">
        <v>1979</v>
      </c>
      <c r="C256" s="219" t="s">
        <v>756</v>
      </c>
      <c r="D256" s="225" t="s">
        <v>1884</v>
      </c>
      <c r="E256" s="196" t="s">
        <v>110</v>
      </c>
      <c r="F256" s="119">
        <v>1000</v>
      </c>
      <c r="G256" s="26" t="s">
        <v>684</v>
      </c>
      <c r="H256" s="31">
        <v>1.5</v>
      </c>
      <c r="I256" s="27">
        <f t="shared" si="8"/>
        <v>1500</v>
      </c>
      <c r="J256" s="28" t="s">
        <v>121</v>
      </c>
      <c r="K256" s="25">
        <v>41124</v>
      </c>
      <c r="M256" s="56">
        <v>41131</v>
      </c>
      <c r="N256" s="29" t="s">
        <v>688</v>
      </c>
      <c r="O256" s="28" t="s">
        <v>713</v>
      </c>
      <c r="R256" s="49"/>
      <c r="S256" s="49"/>
      <c r="T256" s="49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</row>
    <row r="257" spans="1:33" ht="12" customHeight="1">
      <c r="A257" s="25">
        <v>41123</v>
      </c>
      <c r="B257" s="225" t="s">
        <v>244</v>
      </c>
      <c r="C257" s="220" t="s">
        <v>7</v>
      </c>
      <c r="D257" s="225" t="s">
        <v>1885</v>
      </c>
      <c r="E257" s="196" t="s">
        <v>2</v>
      </c>
      <c r="F257" s="119">
        <v>32</v>
      </c>
      <c r="G257" s="190" t="s">
        <v>827</v>
      </c>
      <c r="H257" s="31">
        <v>108</v>
      </c>
      <c r="I257" s="27">
        <f t="shared" si="8"/>
        <v>3456</v>
      </c>
      <c r="J257" s="28" t="s">
        <v>10</v>
      </c>
      <c r="K257" s="25">
        <v>41127</v>
      </c>
      <c r="M257" s="25">
        <v>41124</v>
      </c>
      <c r="N257" s="29" t="s">
        <v>697</v>
      </c>
      <c r="O257" s="28" t="s">
        <v>1239</v>
      </c>
      <c r="P257" s="32">
        <v>25994.400000000001</v>
      </c>
      <c r="Q257" s="56">
        <v>41222</v>
      </c>
      <c r="R257" s="49"/>
      <c r="S257" s="49"/>
      <c r="T257" s="49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</row>
    <row r="258" spans="1:33" ht="12" customHeight="1">
      <c r="A258" s="25">
        <v>41128</v>
      </c>
      <c r="B258" s="225" t="s">
        <v>244</v>
      </c>
      <c r="C258" s="219" t="s">
        <v>756</v>
      </c>
      <c r="D258" s="225" t="s">
        <v>9</v>
      </c>
      <c r="E258" s="196">
        <v>2096</v>
      </c>
      <c r="F258" s="119">
        <v>150</v>
      </c>
      <c r="G258" s="26" t="s">
        <v>689</v>
      </c>
      <c r="H258" s="31">
        <v>12.65</v>
      </c>
      <c r="I258" s="27">
        <f t="shared" si="8"/>
        <v>1897.5</v>
      </c>
      <c r="J258" s="28" t="s">
        <v>11</v>
      </c>
      <c r="K258" s="25">
        <v>41129</v>
      </c>
      <c r="M258" s="25">
        <v>41129</v>
      </c>
      <c r="N258" s="29" t="s">
        <v>697</v>
      </c>
      <c r="O258" s="28" t="s">
        <v>1239</v>
      </c>
      <c r="P258" s="32">
        <v>25994.400000000001</v>
      </c>
      <c r="Q258" s="56">
        <v>41222</v>
      </c>
      <c r="S258" s="26" t="s">
        <v>726</v>
      </c>
      <c r="T258" s="49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</row>
    <row r="259" spans="1:33" ht="12" customHeight="1">
      <c r="A259" s="25">
        <v>41128</v>
      </c>
      <c r="B259" s="225" t="s">
        <v>244</v>
      </c>
      <c r="C259" s="219" t="s">
        <v>756</v>
      </c>
      <c r="D259" s="225" t="s">
        <v>353</v>
      </c>
      <c r="E259" s="196" t="s">
        <v>259</v>
      </c>
      <c r="F259" s="119">
        <v>2</v>
      </c>
      <c r="G259" s="26" t="s">
        <v>684</v>
      </c>
      <c r="H259" s="31">
        <v>12.74</v>
      </c>
      <c r="I259" s="27">
        <f t="shared" si="8"/>
        <v>25.48</v>
      </c>
      <c r="J259" s="28" t="s">
        <v>8</v>
      </c>
      <c r="K259" s="25">
        <v>41129</v>
      </c>
      <c r="M259" s="25">
        <v>41129</v>
      </c>
      <c r="N259" s="29" t="s">
        <v>697</v>
      </c>
      <c r="O259" s="28" t="s">
        <v>1239</v>
      </c>
      <c r="P259" s="32">
        <v>25994.400000000001</v>
      </c>
      <c r="Q259" s="56">
        <v>41222</v>
      </c>
      <c r="T259" s="49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</row>
    <row r="260" spans="1:33" ht="12" customHeight="1">
      <c r="A260" s="25">
        <v>41128</v>
      </c>
      <c r="B260" s="225" t="s">
        <v>244</v>
      </c>
      <c r="C260" s="219" t="s">
        <v>756</v>
      </c>
      <c r="D260" s="225" t="s">
        <v>1886</v>
      </c>
      <c r="E260" s="196" t="s">
        <v>22</v>
      </c>
      <c r="F260" s="119">
        <v>48</v>
      </c>
      <c r="G260" s="26" t="s">
        <v>684</v>
      </c>
      <c r="H260" s="31">
        <v>12.74</v>
      </c>
      <c r="I260" s="27">
        <f t="shared" si="8"/>
        <v>611.52</v>
      </c>
      <c r="J260" s="28" t="s">
        <v>23</v>
      </c>
      <c r="K260" s="25">
        <v>41134</v>
      </c>
      <c r="M260" s="25">
        <v>41129</v>
      </c>
      <c r="N260" s="29" t="s">
        <v>697</v>
      </c>
      <c r="O260" s="28" t="s">
        <v>1239</v>
      </c>
      <c r="P260" s="32">
        <v>25994.400000000001</v>
      </c>
      <c r="Q260" s="56">
        <v>41222</v>
      </c>
      <c r="S260" s="26" t="s">
        <v>726</v>
      </c>
      <c r="T260" s="49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</row>
    <row r="261" spans="1:33" ht="12" customHeight="1">
      <c r="A261" s="25">
        <v>41128</v>
      </c>
      <c r="B261" s="225" t="s">
        <v>244</v>
      </c>
      <c r="C261" s="219" t="s">
        <v>756</v>
      </c>
      <c r="D261" s="225" t="s">
        <v>1874</v>
      </c>
      <c r="E261" s="196" t="s">
        <v>233</v>
      </c>
      <c r="F261" s="119">
        <v>500</v>
      </c>
      <c r="G261" s="194" t="s">
        <v>231</v>
      </c>
      <c r="H261" s="31">
        <v>4.78</v>
      </c>
      <c r="I261" s="27">
        <f t="shared" si="8"/>
        <v>2390</v>
      </c>
      <c r="J261" s="28" t="s">
        <v>23</v>
      </c>
      <c r="K261" s="25">
        <v>41134</v>
      </c>
      <c r="M261" s="25">
        <v>41129</v>
      </c>
      <c r="N261" s="29" t="s">
        <v>697</v>
      </c>
      <c r="O261" s="28" t="s">
        <v>1239</v>
      </c>
      <c r="P261" s="32">
        <v>25994.400000000001</v>
      </c>
      <c r="Q261" s="56">
        <v>41222</v>
      </c>
      <c r="S261" s="26" t="s">
        <v>726</v>
      </c>
      <c r="T261" s="49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</row>
    <row r="262" spans="1:33" ht="12" customHeight="1">
      <c r="A262" s="25">
        <v>41128</v>
      </c>
      <c r="B262" s="225" t="s">
        <v>244</v>
      </c>
      <c r="C262" s="219" t="s">
        <v>756</v>
      </c>
      <c r="D262" s="225" t="s">
        <v>1887</v>
      </c>
      <c r="E262" s="196">
        <v>1427</v>
      </c>
      <c r="F262" s="119">
        <v>9</v>
      </c>
      <c r="G262" s="190" t="s">
        <v>690</v>
      </c>
      <c r="H262" s="31">
        <v>83</v>
      </c>
      <c r="I262" s="27">
        <f t="shared" si="8"/>
        <v>747</v>
      </c>
      <c r="J262" s="28" t="s">
        <v>23</v>
      </c>
      <c r="K262" s="25">
        <v>41134</v>
      </c>
      <c r="M262" s="25">
        <v>41129</v>
      </c>
      <c r="N262" s="29" t="s">
        <v>697</v>
      </c>
      <c r="O262" s="28" t="s">
        <v>1239</v>
      </c>
      <c r="P262" s="32">
        <v>25994.400000000001</v>
      </c>
      <c r="Q262" s="56">
        <v>41222</v>
      </c>
      <c r="S262" s="26" t="s">
        <v>726</v>
      </c>
      <c r="T262" s="49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</row>
    <row r="263" spans="1:33" ht="12" customHeight="1">
      <c r="A263" s="25">
        <v>41129</v>
      </c>
      <c r="B263" s="225" t="s">
        <v>1975</v>
      </c>
      <c r="C263" s="219" t="s">
        <v>756</v>
      </c>
      <c r="D263" s="225" t="s">
        <v>13</v>
      </c>
      <c r="E263" s="28">
        <v>8822</v>
      </c>
      <c r="F263" s="119">
        <v>90</v>
      </c>
      <c r="G263" s="26" t="s">
        <v>684</v>
      </c>
      <c r="H263" s="31">
        <v>13.38</v>
      </c>
      <c r="I263" s="27">
        <f t="shared" si="8"/>
        <v>1204.2</v>
      </c>
      <c r="J263" s="28" t="s">
        <v>122</v>
      </c>
      <c r="K263" s="25">
        <v>41129</v>
      </c>
      <c r="M263" s="25">
        <v>41138</v>
      </c>
      <c r="N263" s="29" t="s">
        <v>697</v>
      </c>
      <c r="O263" s="37" t="s">
        <v>141</v>
      </c>
      <c r="P263" s="32">
        <v>13200.78</v>
      </c>
      <c r="Q263" s="56">
        <v>41149</v>
      </c>
      <c r="T263" s="49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</row>
    <row r="264" spans="1:33" ht="12" customHeight="1">
      <c r="A264" s="25">
        <v>41134</v>
      </c>
      <c r="B264" s="225" t="s">
        <v>26</v>
      </c>
      <c r="C264" s="219" t="s">
        <v>678</v>
      </c>
      <c r="D264" s="225" t="s">
        <v>1873</v>
      </c>
      <c r="E264" s="196">
        <v>4941</v>
      </c>
      <c r="F264" s="177" t="s">
        <v>1583</v>
      </c>
      <c r="G264" s="26" t="s">
        <v>27</v>
      </c>
      <c r="H264" s="31">
        <v>359</v>
      </c>
      <c r="I264" s="27">
        <f>H264*4*0.8</f>
        <v>1148.8</v>
      </c>
      <c r="K264" s="25" t="s">
        <v>5464</v>
      </c>
      <c r="M264" s="25">
        <v>41134</v>
      </c>
      <c r="N264" s="29" t="s">
        <v>697</v>
      </c>
      <c r="O264" s="28" t="s">
        <v>1011</v>
      </c>
      <c r="P264" s="32">
        <v>1436</v>
      </c>
      <c r="Q264" s="56">
        <v>41199</v>
      </c>
      <c r="T264" s="49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</row>
    <row r="265" spans="1:33" ht="12" customHeight="1">
      <c r="A265" s="25">
        <v>41134</v>
      </c>
      <c r="B265" s="225" t="s">
        <v>1975</v>
      </c>
      <c r="C265" s="219" t="s">
        <v>678</v>
      </c>
      <c r="D265" s="1" t="s">
        <v>1213</v>
      </c>
      <c r="E265" s="28" t="s">
        <v>776</v>
      </c>
      <c r="F265" s="119">
        <v>50</v>
      </c>
      <c r="G265" s="26" t="s">
        <v>690</v>
      </c>
      <c r="H265" s="31">
        <v>13</v>
      </c>
      <c r="I265" s="27">
        <f t="shared" ref="I265:I296" si="9">H265*F265</f>
        <v>650</v>
      </c>
      <c r="J265" s="28" t="s">
        <v>123</v>
      </c>
      <c r="K265" s="25">
        <v>41134</v>
      </c>
      <c r="M265" s="25">
        <v>41138</v>
      </c>
      <c r="N265" s="29" t="s">
        <v>697</v>
      </c>
      <c r="O265" s="37" t="s">
        <v>141</v>
      </c>
      <c r="P265" s="32">
        <v>13200.78</v>
      </c>
      <c r="Q265" s="56">
        <v>41149</v>
      </c>
      <c r="T265" s="49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</row>
    <row r="266" spans="1:33" ht="12" customHeight="1">
      <c r="A266" s="25">
        <v>41134</v>
      </c>
      <c r="B266" s="225" t="s">
        <v>1975</v>
      </c>
      <c r="C266" s="219" t="s">
        <v>678</v>
      </c>
      <c r="D266" s="225" t="s">
        <v>307</v>
      </c>
      <c r="E266" s="28">
        <v>1110</v>
      </c>
      <c r="F266" s="119">
        <v>100</v>
      </c>
      <c r="G266" s="26" t="s">
        <v>690</v>
      </c>
      <c r="H266" s="31">
        <v>0.77</v>
      </c>
      <c r="I266" s="27">
        <f t="shared" si="9"/>
        <v>77</v>
      </c>
      <c r="J266" s="28" t="s">
        <v>123</v>
      </c>
      <c r="K266" s="25">
        <v>41134</v>
      </c>
      <c r="M266" s="25">
        <v>41138</v>
      </c>
      <c r="N266" s="29" t="s">
        <v>697</v>
      </c>
      <c r="O266" s="37" t="s">
        <v>141</v>
      </c>
      <c r="P266" s="32">
        <v>13200.78</v>
      </c>
      <c r="Q266" s="56">
        <v>41149</v>
      </c>
      <c r="T266" s="49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</row>
    <row r="267" spans="1:33" ht="12" customHeight="1">
      <c r="A267" s="25">
        <v>41134</v>
      </c>
      <c r="B267" s="225" t="s">
        <v>1979</v>
      </c>
      <c r="C267" s="219" t="s">
        <v>678</v>
      </c>
      <c r="D267" s="1" t="s">
        <v>1210</v>
      </c>
      <c r="E267" s="196">
        <v>3200</v>
      </c>
      <c r="F267" s="119">
        <v>60</v>
      </c>
      <c r="G267" s="26" t="s">
        <v>684</v>
      </c>
      <c r="H267" s="31">
        <v>26</v>
      </c>
      <c r="I267" s="27">
        <f t="shared" si="9"/>
        <v>1560</v>
      </c>
      <c r="J267" s="28" t="s">
        <v>124</v>
      </c>
      <c r="K267" s="25">
        <v>41134</v>
      </c>
      <c r="M267" s="56">
        <v>41152</v>
      </c>
      <c r="N267" s="29" t="s">
        <v>166</v>
      </c>
      <c r="O267" s="52" t="s">
        <v>161</v>
      </c>
      <c r="P267" s="32">
        <v>15416.4</v>
      </c>
      <c r="Q267" s="56">
        <v>41151</v>
      </c>
      <c r="T267" s="49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</row>
    <row r="268" spans="1:33" ht="12" customHeight="1">
      <c r="A268" s="25">
        <v>41134</v>
      </c>
      <c r="B268" s="225" t="s">
        <v>1979</v>
      </c>
      <c r="C268" s="219" t="s">
        <v>678</v>
      </c>
      <c r="D268" s="225" t="s">
        <v>346</v>
      </c>
      <c r="E268" s="196">
        <v>3700</v>
      </c>
      <c r="F268" s="119">
        <v>50</v>
      </c>
      <c r="G268" s="26" t="s">
        <v>684</v>
      </c>
      <c r="H268" s="31">
        <v>3.3</v>
      </c>
      <c r="I268" s="27">
        <f t="shared" si="9"/>
        <v>165</v>
      </c>
      <c r="J268" s="28" t="s">
        <v>124</v>
      </c>
      <c r="K268" s="25">
        <v>41134</v>
      </c>
      <c r="M268" s="56">
        <v>41152</v>
      </c>
      <c r="N268" s="29" t="s">
        <v>166</v>
      </c>
      <c r="O268" s="52" t="s">
        <v>161</v>
      </c>
      <c r="P268" s="32">
        <v>15416.4</v>
      </c>
      <c r="Q268" s="56">
        <v>41151</v>
      </c>
      <c r="T268" s="49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</row>
    <row r="269" spans="1:33" ht="12" customHeight="1">
      <c r="A269" s="25">
        <v>41134</v>
      </c>
      <c r="B269" s="225" t="s">
        <v>1979</v>
      </c>
      <c r="C269" s="219" t="s">
        <v>678</v>
      </c>
      <c r="D269" s="225" t="s">
        <v>268</v>
      </c>
      <c r="E269" s="196" t="s">
        <v>269</v>
      </c>
      <c r="F269" s="119">
        <v>200</v>
      </c>
      <c r="G269" s="26" t="s">
        <v>689</v>
      </c>
      <c r="H269" s="31">
        <v>1.34</v>
      </c>
      <c r="I269" s="27">
        <f t="shared" si="9"/>
        <v>268</v>
      </c>
      <c r="J269" s="28" t="s">
        <v>124</v>
      </c>
      <c r="K269" s="25">
        <v>41134</v>
      </c>
      <c r="M269" s="56">
        <v>41152</v>
      </c>
      <c r="N269" s="29" t="s">
        <v>688</v>
      </c>
      <c r="O269" s="28" t="s">
        <v>713</v>
      </c>
      <c r="T269" s="49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</row>
    <row r="270" spans="1:33" ht="12" customHeight="1">
      <c r="A270" s="25">
        <v>41134</v>
      </c>
      <c r="B270" s="225" t="s">
        <v>1980</v>
      </c>
      <c r="C270" s="219" t="s">
        <v>678</v>
      </c>
      <c r="D270" s="342" t="s">
        <v>240</v>
      </c>
      <c r="E270" s="196">
        <v>6200</v>
      </c>
      <c r="F270" s="119">
        <v>120</v>
      </c>
      <c r="G270" s="26" t="s">
        <v>229</v>
      </c>
      <c r="H270" s="31">
        <v>45</v>
      </c>
      <c r="I270" s="27">
        <f t="shared" si="9"/>
        <v>5400</v>
      </c>
      <c r="J270" s="28" t="s">
        <v>705</v>
      </c>
      <c r="K270" s="25">
        <v>41134</v>
      </c>
      <c r="M270" s="25">
        <v>41134</v>
      </c>
      <c r="N270" s="29" t="s">
        <v>697</v>
      </c>
      <c r="O270" s="28" t="s">
        <v>125</v>
      </c>
      <c r="P270" s="32">
        <v>25233</v>
      </c>
      <c r="Q270" s="56">
        <v>41134</v>
      </c>
      <c r="T270" s="49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</row>
    <row r="271" spans="1:33" ht="12" customHeight="1">
      <c r="A271" s="25">
        <v>41134</v>
      </c>
      <c r="B271" s="225" t="s">
        <v>1980</v>
      </c>
      <c r="C271" s="219" t="s">
        <v>678</v>
      </c>
      <c r="D271" s="225" t="s">
        <v>273</v>
      </c>
      <c r="E271" s="196" t="s">
        <v>274</v>
      </c>
      <c r="F271" s="119">
        <v>300</v>
      </c>
      <c r="G271" s="26" t="s">
        <v>684</v>
      </c>
      <c r="H271" s="31">
        <v>29.5</v>
      </c>
      <c r="I271" s="27">
        <f t="shared" si="9"/>
        <v>8850</v>
      </c>
      <c r="J271" s="28" t="s">
        <v>705</v>
      </c>
      <c r="K271" s="25">
        <v>41134</v>
      </c>
      <c r="M271" s="25">
        <v>41134</v>
      </c>
      <c r="N271" s="29" t="s">
        <v>697</v>
      </c>
      <c r="O271" s="28" t="s">
        <v>125</v>
      </c>
      <c r="P271" s="32">
        <v>25233</v>
      </c>
      <c r="Q271" s="56">
        <v>41134</v>
      </c>
      <c r="T271" s="49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</row>
    <row r="272" spans="1:33" ht="12" customHeight="1">
      <c r="A272" s="25">
        <v>41134</v>
      </c>
      <c r="B272" s="225" t="s">
        <v>1980</v>
      </c>
      <c r="C272" s="219" t="s">
        <v>678</v>
      </c>
      <c r="D272" s="225" t="s">
        <v>28</v>
      </c>
      <c r="E272" s="196">
        <v>6800</v>
      </c>
      <c r="F272" s="119">
        <v>2</v>
      </c>
      <c r="G272" s="26" t="s">
        <v>684</v>
      </c>
      <c r="H272" s="31">
        <v>425</v>
      </c>
      <c r="I272" s="27">
        <f t="shared" si="9"/>
        <v>850</v>
      </c>
      <c r="J272" s="28" t="s">
        <v>705</v>
      </c>
      <c r="K272" s="25">
        <v>41134</v>
      </c>
      <c r="M272" s="25">
        <v>41134</v>
      </c>
      <c r="N272" s="29" t="s">
        <v>697</v>
      </c>
      <c r="O272" s="28" t="s">
        <v>125</v>
      </c>
      <c r="P272" s="32">
        <v>25233</v>
      </c>
      <c r="Q272" s="56">
        <v>41134</v>
      </c>
      <c r="T272" s="49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</row>
    <row r="273" spans="1:33" ht="12" customHeight="1">
      <c r="A273" s="25">
        <v>41134</v>
      </c>
      <c r="B273" s="225" t="s">
        <v>1980</v>
      </c>
      <c r="C273" s="219" t="s">
        <v>678</v>
      </c>
      <c r="D273" s="225" t="s">
        <v>232</v>
      </c>
      <c r="E273" s="196" t="s">
        <v>126</v>
      </c>
      <c r="F273" s="119">
        <v>2000</v>
      </c>
      <c r="G273" s="194" t="s">
        <v>231</v>
      </c>
      <c r="H273" s="31">
        <v>4.78</v>
      </c>
      <c r="I273" s="27">
        <f t="shared" si="9"/>
        <v>9560</v>
      </c>
      <c r="J273" s="28" t="s">
        <v>705</v>
      </c>
      <c r="K273" s="25">
        <v>41134</v>
      </c>
      <c r="M273" s="25">
        <v>41134</v>
      </c>
      <c r="N273" s="29" t="s">
        <v>697</v>
      </c>
      <c r="O273" s="28" t="s">
        <v>125</v>
      </c>
      <c r="P273" s="32">
        <v>25233</v>
      </c>
      <c r="Q273" s="56">
        <v>41134</v>
      </c>
      <c r="T273" s="49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</row>
    <row r="274" spans="1:33" ht="12" customHeight="1">
      <c r="A274" s="25">
        <v>41134</v>
      </c>
      <c r="B274" s="225" t="s">
        <v>1980</v>
      </c>
      <c r="C274" s="219" t="s">
        <v>678</v>
      </c>
      <c r="D274" s="1" t="s">
        <v>1219</v>
      </c>
      <c r="E274" s="196" t="s">
        <v>379</v>
      </c>
      <c r="F274" s="119">
        <v>100</v>
      </c>
      <c r="G274" s="26" t="s">
        <v>684</v>
      </c>
      <c r="H274" s="31">
        <v>4.0199999999999996</v>
      </c>
      <c r="I274" s="27">
        <f t="shared" si="9"/>
        <v>401.99999999999994</v>
      </c>
      <c r="J274" s="28" t="s">
        <v>705</v>
      </c>
      <c r="K274" s="25">
        <v>41134</v>
      </c>
      <c r="M274" s="25">
        <v>41134</v>
      </c>
      <c r="N274" s="29" t="s">
        <v>697</v>
      </c>
      <c r="O274" s="28" t="s">
        <v>125</v>
      </c>
      <c r="P274" s="32">
        <v>25233</v>
      </c>
      <c r="Q274" s="56">
        <v>41134</v>
      </c>
      <c r="T274" s="49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</row>
    <row r="275" spans="1:33" ht="12" customHeight="1">
      <c r="A275" s="25">
        <v>41134</v>
      </c>
      <c r="B275" s="225" t="s">
        <v>1980</v>
      </c>
      <c r="C275" s="219" t="s">
        <v>678</v>
      </c>
      <c r="D275" s="1" t="s">
        <v>1213</v>
      </c>
      <c r="E275" s="196" t="s">
        <v>127</v>
      </c>
      <c r="F275" s="119">
        <v>10</v>
      </c>
      <c r="G275" s="26" t="s">
        <v>690</v>
      </c>
      <c r="H275" s="31">
        <v>13</v>
      </c>
      <c r="I275" s="27">
        <f t="shared" si="9"/>
        <v>130</v>
      </c>
      <c r="J275" s="28" t="s">
        <v>705</v>
      </c>
      <c r="K275" s="25">
        <v>41134</v>
      </c>
      <c r="M275" s="25">
        <v>41134</v>
      </c>
      <c r="N275" s="29" t="s">
        <v>697</v>
      </c>
      <c r="O275" s="28" t="s">
        <v>125</v>
      </c>
      <c r="P275" s="32">
        <v>25233</v>
      </c>
      <c r="Q275" s="56">
        <v>41134</v>
      </c>
      <c r="T275" s="49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</row>
    <row r="276" spans="1:33" ht="12" customHeight="1">
      <c r="A276" s="25">
        <v>41134</v>
      </c>
      <c r="B276" s="225" t="s">
        <v>1980</v>
      </c>
      <c r="C276" s="219" t="s">
        <v>678</v>
      </c>
      <c r="D276" s="225" t="s">
        <v>305</v>
      </c>
      <c r="E276" s="196">
        <v>1270</v>
      </c>
      <c r="F276" s="119">
        <v>10</v>
      </c>
      <c r="G276" s="190" t="s">
        <v>239</v>
      </c>
      <c r="H276" s="31">
        <v>4.0999999999999996</v>
      </c>
      <c r="I276" s="27">
        <f t="shared" si="9"/>
        <v>41</v>
      </c>
      <c r="J276" s="28" t="s">
        <v>705</v>
      </c>
      <c r="K276" s="25">
        <v>41134</v>
      </c>
      <c r="M276" s="25">
        <v>41134</v>
      </c>
      <c r="N276" s="29" t="s">
        <v>697</v>
      </c>
      <c r="O276" s="28" t="s">
        <v>125</v>
      </c>
      <c r="P276" s="32">
        <v>25233</v>
      </c>
      <c r="Q276" s="56">
        <v>41134</v>
      </c>
      <c r="T276" s="49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</row>
    <row r="277" spans="1:33" ht="12" customHeight="1">
      <c r="A277" s="25">
        <v>41134</v>
      </c>
      <c r="B277" s="225" t="s">
        <v>1982</v>
      </c>
      <c r="C277" s="219" t="s">
        <v>678</v>
      </c>
      <c r="D277" s="225" t="s">
        <v>1888</v>
      </c>
      <c r="E277" s="196" t="s">
        <v>46</v>
      </c>
      <c r="F277" s="119">
        <v>200</v>
      </c>
      <c r="G277" s="26" t="s">
        <v>755</v>
      </c>
      <c r="H277" s="31">
        <v>33.110999999999997</v>
      </c>
      <c r="I277" s="27">
        <f t="shared" si="9"/>
        <v>6622.2</v>
      </c>
      <c r="J277" s="28" t="s">
        <v>54</v>
      </c>
      <c r="K277" s="25">
        <v>41137</v>
      </c>
      <c r="M277" s="25">
        <v>41130</v>
      </c>
      <c r="N277" s="29" t="s">
        <v>697</v>
      </c>
      <c r="O277" s="28" t="s">
        <v>128</v>
      </c>
      <c r="P277" s="32">
        <v>51205.05</v>
      </c>
      <c r="Q277" s="56">
        <v>41135</v>
      </c>
      <c r="S277" s="26" t="s">
        <v>57</v>
      </c>
      <c r="T277" s="49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</row>
    <row r="278" spans="1:33" ht="12" customHeight="1">
      <c r="A278" s="25">
        <v>41134</v>
      </c>
      <c r="B278" s="225" t="s">
        <v>1982</v>
      </c>
      <c r="C278" s="219" t="s">
        <v>678</v>
      </c>
      <c r="D278" s="225" t="s">
        <v>1889</v>
      </c>
      <c r="E278" s="196" t="s">
        <v>47</v>
      </c>
      <c r="F278" s="119">
        <v>50</v>
      </c>
      <c r="G278" s="26" t="s">
        <v>755</v>
      </c>
      <c r="H278" s="31">
        <v>42.939</v>
      </c>
      <c r="I278" s="27">
        <f t="shared" si="9"/>
        <v>2146.9499999999998</v>
      </c>
      <c r="J278" s="28" t="s">
        <v>54</v>
      </c>
      <c r="K278" s="25">
        <v>41137</v>
      </c>
      <c r="M278" s="25">
        <v>41130</v>
      </c>
      <c r="N278" s="29" t="s">
        <v>697</v>
      </c>
      <c r="O278" s="28" t="s">
        <v>128</v>
      </c>
      <c r="P278" s="32">
        <v>51205.05</v>
      </c>
      <c r="Q278" s="56">
        <v>41135</v>
      </c>
      <c r="S278" s="26" t="s">
        <v>58</v>
      </c>
      <c r="T278" s="49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</row>
    <row r="279" spans="1:33" ht="12" customHeight="1">
      <c r="A279" s="25">
        <v>41134</v>
      </c>
      <c r="B279" s="225" t="s">
        <v>1982</v>
      </c>
      <c r="C279" s="219" t="s">
        <v>678</v>
      </c>
      <c r="D279" s="225" t="s">
        <v>1890</v>
      </c>
      <c r="E279" s="415" t="s">
        <v>7125</v>
      </c>
      <c r="F279" s="119">
        <v>10</v>
      </c>
      <c r="G279" s="26" t="s">
        <v>755</v>
      </c>
      <c r="H279" s="31">
        <v>181.35</v>
      </c>
      <c r="I279" s="27">
        <f t="shared" si="9"/>
        <v>1813.5</v>
      </c>
      <c r="J279" s="28" t="s">
        <v>54</v>
      </c>
      <c r="K279" s="25">
        <v>41137</v>
      </c>
      <c r="M279" s="25">
        <v>41130</v>
      </c>
      <c r="N279" s="29" t="s">
        <v>697</v>
      </c>
      <c r="O279" s="28" t="s">
        <v>128</v>
      </c>
      <c r="P279" s="32">
        <v>51205.05</v>
      </c>
      <c r="Q279" s="56">
        <v>41135</v>
      </c>
      <c r="S279" s="26" t="s">
        <v>59</v>
      </c>
      <c r="T279" s="49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</row>
    <row r="280" spans="1:33" ht="12" customHeight="1">
      <c r="A280" s="25">
        <v>41134</v>
      </c>
      <c r="B280" s="225" t="s">
        <v>1982</v>
      </c>
      <c r="C280" s="219" t="s">
        <v>678</v>
      </c>
      <c r="D280" s="225" t="s">
        <v>1891</v>
      </c>
      <c r="E280" s="415" t="s">
        <v>7128</v>
      </c>
      <c r="F280" s="119">
        <v>100</v>
      </c>
      <c r="G280" s="26" t="s">
        <v>755</v>
      </c>
      <c r="H280" s="31">
        <v>107.64</v>
      </c>
      <c r="I280" s="27">
        <f t="shared" si="9"/>
        <v>10764</v>
      </c>
      <c r="J280" s="28" t="s">
        <v>54</v>
      </c>
      <c r="K280" s="25">
        <v>41137</v>
      </c>
      <c r="M280" s="25">
        <v>41130</v>
      </c>
      <c r="N280" s="29" t="s">
        <v>697</v>
      </c>
      <c r="O280" s="28" t="s">
        <v>128</v>
      </c>
      <c r="P280" s="32">
        <v>51205.05</v>
      </c>
      <c r="Q280" s="56">
        <v>41135</v>
      </c>
      <c r="S280" s="26" t="s">
        <v>60</v>
      </c>
      <c r="T280" s="49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</row>
    <row r="281" spans="1:33" ht="12" customHeight="1">
      <c r="A281" s="25">
        <v>41134</v>
      </c>
      <c r="B281" s="225" t="s">
        <v>1982</v>
      </c>
      <c r="C281" s="219" t="s">
        <v>678</v>
      </c>
      <c r="D281" s="225" t="s">
        <v>1892</v>
      </c>
      <c r="E281" s="196">
        <v>9031</v>
      </c>
      <c r="F281" s="119">
        <v>10000</v>
      </c>
      <c r="G281" s="126" t="s">
        <v>176</v>
      </c>
      <c r="H281" s="30">
        <v>1.49292</v>
      </c>
      <c r="I281" s="27">
        <f t="shared" si="9"/>
        <v>14929.2</v>
      </c>
      <c r="J281" s="28" t="s">
        <v>54</v>
      </c>
      <c r="K281" s="25">
        <v>41137</v>
      </c>
      <c r="M281" s="25">
        <v>41130</v>
      </c>
      <c r="N281" s="29" t="s">
        <v>697</v>
      </c>
      <c r="O281" s="28" t="s">
        <v>128</v>
      </c>
      <c r="P281" s="32">
        <v>51205.05</v>
      </c>
      <c r="Q281" s="56">
        <v>41135</v>
      </c>
      <c r="S281" s="26" t="s">
        <v>61</v>
      </c>
      <c r="T281" s="49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</row>
    <row r="282" spans="1:33" ht="12" customHeight="1">
      <c r="A282" s="25">
        <v>41134</v>
      </c>
      <c r="B282" s="225" t="s">
        <v>1982</v>
      </c>
      <c r="C282" s="219" t="s">
        <v>678</v>
      </c>
      <c r="D282" s="225" t="s">
        <v>1893</v>
      </c>
      <c r="E282" s="196">
        <v>9032</v>
      </c>
      <c r="F282" s="119">
        <v>10000</v>
      </c>
      <c r="G282" s="372" t="s">
        <v>170</v>
      </c>
      <c r="H282" s="30">
        <v>1.4928999999999999</v>
      </c>
      <c r="I282" s="27">
        <f t="shared" si="9"/>
        <v>14928.999999999998</v>
      </c>
      <c r="J282" s="28" t="s">
        <v>54</v>
      </c>
      <c r="K282" s="25">
        <v>41137</v>
      </c>
      <c r="M282" s="25">
        <v>41130</v>
      </c>
      <c r="N282" s="29" t="s">
        <v>697</v>
      </c>
      <c r="O282" s="28" t="s">
        <v>128</v>
      </c>
      <c r="P282" s="32">
        <v>51205.05</v>
      </c>
      <c r="Q282" s="56">
        <v>41135</v>
      </c>
      <c r="S282" s="26" t="s">
        <v>62</v>
      </c>
      <c r="T282" s="49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</row>
    <row r="283" spans="1:33" ht="12" customHeight="1">
      <c r="A283" s="25">
        <v>41134</v>
      </c>
      <c r="B283" s="225" t="s">
        <v>1983</v>
      </c>
      <c r="C283" s="219" t="s">
        <v>678</v>
      </c>
      <c r="D283" s="225" t="s">
        <v>681</v>
      </c>
      <c r="E283" s="196" t="s">
        <v>53</v>
      </c>
      <c r="F283" s="119">
        <v>1500</v>
      </c>
      <c r="G283" s="26" t="s">
        <v>690</v>
      </c>
      <c r="H283" s="31">
        <v>3.2136</v>
      </c>
      <c r="I283" s="27">
        <f t="shared" si="9"/>
        <v>4820.3999999999996</v>
      </c>
      <c r="J283" s="28" t="s">
        <v>55</v>
      </c>
      <c r="K283" s="25">
        <v>41137</v>
      </c>
      <c r="M283" s="25">
        <v>41130</v>
      </c>
      <c r="N283" s="29" t="s">
        <v>697</v>
      </c>
      <c r="O283" s="28" t="s">
        <v>129</v>
      </c>
      <c r="P283" s="32">
        <v>4820.3999999999996</v>
      </c>
      <c r="Q283" s="56">
        <v>41135</v>
      </c>
      <c r="S283" s="26" t="s">
        <v>63</v>
      </c>
      <c r="T283" s="49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</row>
    <row r="284" spans="1:33" ht="12" customHeight="1">
      <c r="A284" s="25">
        <v>41134</v>
      </c>
      <c r="B284" s="225" t="s">
        <v>1984</v>
      </c>
      <c r="C284" s="219" t="s">
        <v>678</v>
      </c>
      <c r="D284" s="225" t="s">
        <v>304</v>
      </c>
      <c r="E284" s="196">
        <v>1426</v>
      </c>
      <c r="F284" s="119">
        <v>20</v>
      </c>
      <c r="G284" s="26" t="s">
        <v>690</v>
      </c>
      <c r="H284" s="31">
        <v>19.422000000000001</v>
      </c>
      <c r="I284" s="27">
        <f t="shared" si="9"/>
        <v>388.44</v>
      </c>
      <c r="J284" s="28" t="s">
        <v>64</v>
      </c>
      <c r="K284" s="25">
        <v>41138</v>
      </c>
      <c r="M284" s="25">
        <v>41130</v>
      </c>
      <c r="N284" s="29" t="s">
        <v>697</v>
      </c>
      <c r="O284" s="28" t="s">
        <v>56</v>
      </c>
      <c r="P284" s="32">
        <v>2462.85</v>
      </c>
      <c r="Q284" s="56">
        <v>41138</v>
      </c>
      <c r="T284" s="49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</row>
    <row r="285" spans="1:33" ht="12" customHeight="1">
      <c r="A285" s="25">
        <v>41134</v>
      </c>
      <c r="B285" s="225" t="s">
        <v>1984</v>
      </c>
      <c r="C285" s="219" t="s">
        <v>678</v>
      </c>
      <c r="D285" s="225" t="s">
        <v>1894</v>
      </c>
      <c r="E285" s="196">
        <v>1436</v>
      </c>
      <c r="F285" s="119">
        <v>20</v>
      </c>
      <c r="G285" s="26" t="s">
        <v>690</v>
      </c>
      <c r="H285" s="31">
        <v>29.659500000000001</v>
      </c>
      <c r="I285" s="27">
        <f t="shared" si="9"/>
        <v>593.19000000000005</v>
      </c>
      <c r="J285" s="28" t="s">
        <v>4933</v>
      </c>
      <c r="K285" s="25" t="s">
        <v>4933</v>
      </c>
      <c r="M285" s="25">
        <v>41130</v>
      </c>
      <c r="N285" s="29" t="s">
        <v>697</v>
      </c>
      <c r="O285" s="28" t="s">
        <v>945</v>
      </c>
      <c r="P285" s="32">
        <v>593.19000000000005</v>
      </c>
      <c r="Q285" s="56">
        <v>41180</v>
      </c>
      <c r="T285" s="49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</row>
    <row r="286" spans="1:33" ht="12" customHeight="1">
      <c r="A286" s="25">
        <v>41134</v>
      </c>
      <c r="B286" s="225" t="s">
        <v>1984</v>
      </c>
      <c r="C286" s="219" t="s">
        <v>678</v>
      </c>
      <c r="D286" s="225" t="s">
        <v>287</v>
      </c>
      <c r="E286" s="196">
        <v>10434</v>
      </c>
      <c r="F286" s="119">
        <v>40</v>
      </c>
      <c r="G286" s="26" t="s">
        <v>690</v>
      </c>
      <c r="H286" s="31">
        <v>15.6195</v>
      </c>
      <c r="I286" s="27">
        <f t="shared" si="9"/>
        <v>624.78</v>
      </c>
      <c r="J286" s="28" t="s">
        <v>64</v>
      </c>
      <c r="K286" s="25">
        <v>41138</v>
      </c>
      <c r="M286" s="25">
        <v>41130</v>
      </c>
      <c r="N286" s="29" t="s">
        <v>697</v>
      </c>
      <c r="O286" s="28" t="s">
        <v>56</v>
      </c>
      <c r="P286" s="32">
        <v>2462.85</v>
      </c>
      <c r="Q286" s="56">
        <v>41138</v>
      </c>
      <c r="T286" s="49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</row>
    <row r="287" spans="1:33" ht="12" customHeight="1">
      <c r="A287" s="25">
        <v>41134</v>
      </c>
      <c r="B287" s="225" t="s">
        <v>1984</v>
      </c>
      <c r="C287" s="219" t="s">
        <v>678</v>
      </c>
      <c r="D287" s="225" t="s">
        <v>266</v>
      </c>
      <c r="E287" s="196">
        <v>12308</v>
      </c>
      <c r="F287" s="119">
        <v>20</v>
      </c>
      <c r="G287" s="26" t="s">
        <v>690</v>
      </c>
      <c r="H287" s="31">
        <v>18.778500000000001</v>
      </c>
      <c r="I287" s="27">
        <f t="shared" si="9"/>
        <v>375.57000000000005</v>
      </c>
      <c r="J287" s="28" t="s">
        <v>64</v>
      </c>
      <c r="K287" s="25">
        <v>41138</v>
      </c>
      <c r="M287" s="25">
        <v>41130</v>
      </c>
      <c r="N287" s="29" t="s">
        <v>697</v>
      </c>
      <c r="O287" s="28" t="s">
        <v>56</v>
      </c>
      <c r="P287" s="32">
        <v>2462.85</v>
      </c>
      <c r="Q287" s="56">
        <v>41138</v>
      </c>
      <c r="T287" s="49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</row>
    <row r="288" spans="1:33" ht="12" customHeight="1">
      <c r="A288" s="25">
        <v>41134</v>
      </c>
      <c r="B288" s="225" t="s">
        <v>1984</v>
      </c>
      <c r="C288" s="219" t="s">
        <v>678</v>
      </c>
      <c r="D288" s="5" t="s">
        <v>2009</v>
      </c>
      <c r="E288" s="196" t="s">
        <v>262</v>
      </c>
      <c r="F288" s="119">
        <v>10</v>
      </c>
      <c r="G288" s="26" t="s">
        <v>690</v>
      </c>
      <c r="H288" s="31">
        <v>29.25</v>
      </c>
      <c r="I288" s="27">
        <f t="shared" si="9"/>
        <v>292.5</v>
      </c>
      <c r="J288" s="28" t="s">
        <v>64</v>
      </c>
      <c r="K288" s="25">
        <v>41138</v>
      </c>
      <c r="M288" s="25">
        <v>41130</v>
      </c>
      <c r="N288" s="29" t="s">
        <v>697</v>
      </c>
      <c r="O288" s="28" t="s">
        <v>56</v>
      </c>
      <c r="P288" s="32">
        <v>2462.85</v>
      </c>
      <c r="Q288" s="56">
        <v>41138</v>
      </c>
      <c r="T288" s="49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</row>
    <row r="289" spans="1:33" ht="12" customHeight="1">
      <c r="A289" s="25">
        <v>41134</v>
      </c>
      <c r="B289" s="225" t="s">
        <v>1984</v>
      </c>
      <c r="C289" s="219" t="s">
        <v>678</v>
      </c>
      <c r="D289" s="225" t="s">
        <v>1895</v>
      </c>
      <c r="E289" s="196">
        <v>10197</v>
      </c>
      <c r="F289" s="119">
        <v>20</v>
      </c>
      <c r="G289" s="26" t="s">
        <v>690</v>
      </c>
      <c r="H289" s="31">
        <v>39.078000000000003</v>
      </c>
      <c r="I289" s="27">
        <f t="shared" si="9"/>
        <v>781.56000000000006</v>
      </c>
      <c r="J289" s="28" t="s">
        <v>64</v>
      </c>
      <c r="K289" s="25">
        <v>41138</v>
      </c>
      <c r="M289" s="25">
        <v>41130</v>
      </c>
      <c r="N289" s="29" t="s">
        <v>697</v>
      </c>
      <c r="O289" s="28" t="s">
        <v>56</v>
      </c>
      <c r="P289" s="32">
        <v>2462.85</v>
      </c>
      <c r="Q289" s="56">
        <v>41138</v>
      </c>
      <c r="T289" s="49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</row>
    <row r="290" spans="1:33" ht="12" customHeight="1">
      <c r="A290" s="25">
        <v>41135</v>
      </c>
      <c r="B290" s="225" t="s">
        <v>1975</v>
      </c>
      <c r="C290" s="219" t="s">
        <v>678</v>
      </c>
      <c r="D290" s="225" t="s">
        <v>29</v>
      </c>
      <c r="E290" s="28" t="s">
        <v>30</v>
      </c>
      <c r="F290" s="119">
        <v>1</v>
      </c>
      <c r="G290" s="26" t="s">
        <v>684</v>
      </c>
      <c r="H290" s="31">
        <v>1469.58</v>
      </c>
      <c r="I290" s="27">
        <f t="shared" si="9"/>
        <v>1469.58</v>
      </c>
      <c r="J290" s="28" t="s">
        <v>31</v>
      </c>
      <c r="K290" s="25">
        <v>41135</v>
      </c>
      <c r="M290" s="25">
        <v>41138</v>
      </c>
      <c r="N290" s="29" t="s">
        <v>697</v>
      </c>
      <c r="O290" s="37" t="s">
        <v>141</v>
      </c>
      <c r="P290" s="32">
        <v>13200.78</v>
      </c>
      <c r="Q290" s="56">
        <v>41149</v>
      </c>
      <c r="T290" s="49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</row>
    <row r="291" spans="1:33" ht="12" customHeight="1">
      <c r="A291" s="25">
        <v>41135</v>
      </c>
      <c r="B291" s="225" t="s">
        <v>1975</v>
      </c>
      <c r="C291" s="219" t="s">
        <v>678</v>
      </c>
      <c r="D291" s="225" t="s">
        <v>287</v>
      </c>
      <c r="E291" s="28">
        <v>10434</v>
      </c>
      <c r="F291" s="119">
        <v>20</v>
      </c>
      <c r="G291" s="26" t="s">
        <v>690</v>
      </c>
      <c r="H291" s="31">
        <v>14.28</v>
      </c>
      <c r="I291" s="27">
        <f t="shared" si="9"/>
        <v>285.59999999999997</v>
      </c>
      <c r="J291" s="28" t="s">
        <v>42</v>
      </c>
      <c r="K291" s="25">
        <v>41135</v>
      </c>
      <c r="M291" s="25">
        <v>41138</v>
      </c>
      <c r="N291" s="29" t="s">
        <v>688</v>
      </c>
      <c r="O291" s="28" t="s">
        <v>713</v>
      </c>
      <c r="T291" s="49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</row>
    <row r="292" spans="1:33" ht="12" customHeight="1">
      <c r="A292" s="25">
        <v>41135</v>
      </c>
      <c r="B292" s="225" t="s">
        <v>1979</v>
      </c>
      <c r="C292" s="219" t="s">
        <v>678</v>
      </c>
      <c r="D292" s="225" t="s">
        <v>1896</v>
      </c>
      <c r="E292" s="196" t="s">
        <v>36</v>
      </c>
      <c r="F292" s="119">
        <v>2</v>
      </c>
      <c r="G292" s="26" t="s">
        <v>696</v>
      </c>
      <c r="H292" s="31">
        <v>52</v>
      </c>
      <c r="I292" s="27">
        <f t="shared" si="9"/>
        <v>104</v>
      </c>
      <c r="J292" s="28" t="s">
        <v>4933</v>
      </c>
      <c r="K292" s="25">
        <v>41135</v>
      </c>
      <c r="M292" s="56">
        <v>41152</v>
      </c>
      <c r="N292" s="29" t="s">
        <v>688</v>
      </c>
      <c r="O292" s="28" t="s">
        <v>713</v>
      </c>
      <c r="T292" s="49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</row>
    <row r="293" spans="1:33" ht="12" customHeight="1">
      <c r="A293" s="25">
        <v>41135</v>
      </c>
      <c r="B293" s="225" t="s">
        <v>1980</v>
      </c>
      <c r="C293" s="219" t="s">
        <v>678</v>
      </c>
      <c r="D293" s="225" t="s">
        <v>1870</v>
      </c>
      <c r="E293" s="196">
        <v>8210</v>
      </c>
      <c r="F293" s="119">
        <v>19200</v>
      </c>
      <c r="G293" s="26" t="s">
        <v>231</v>
      </c>
      <c r="H293" s="31">
        <v>3.63</v>
      </c>
      <c r="I293" s="27">
        <f t="shared" si="9"/>
        <v>69696</v>
      </c>
      <c r="K293" s="25">
        <v>41136</v>
      </c>
      <c r="M293" s="25">
        <v>41136</v>
      </c>
      <c r="N293" s="29" t="s">
        <v>697</v>
      </c>
      <c r="O293" s="38" t="s">
        <v>142</v>
      </c>
      <c r="P293" s="32">
        <v>72146</v>
      </c>
      <c r="Q293" s="56">
        <v>41149</v>
      </c>
      <c r="T293" s="49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</row>
    <row r="294" spans="1:33" ht="12" customHeight="1">
      <c r="A294" s="25">
        <v>41136</v>
      </c>
      <c r="B294" s="225" t="s">
        <v>1979</v>
      </c>
      <c r="C294" s="219" t="s">
        <v>678</v>
      </c>
      <c r="D294" s="225" t="s">
        <v>263</v>
      </c>
      <c r="E294" s="196" t="s">
        <v>281</v>
      </c>
      <c r="F294" s="119">
        <v>50</v>
      </c>
      <c r="G294" s="26" t="s">
        <v>684</v>
      </c>
      <c r="H294" s="31">
        <v>1.92</v>
      </c>
      <c r="I294" s="27">
        <f t="shared" si="9"/>
        <v>96</v>
      </c>
      <c r="J294" s="28" t="s">
        <v>130</v>
      </c>
      <c r="K294" s="25">
        <v>41136</v>
      </c>
      <c r="M294" s="56">
        <v>41152</v>
      </c>
      <c r="N294" s="29" t="s">
        <v>166</v>
      </c>
      <c r="O294" s="52" t="s">
        <v>161</v>
      </c>
      <c r="P294" s="32">
        <v>15416.4</v>
      </c>
      <c r="Q294" s="56">
        <v>41151</v>
      </c>
      <c r="T294" s="49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</row>
    <row r="295" spans="1:33" ht="12" customHeight="1">
      <c r="A295" s="25">
        <v>41136</v>
      </c>
      <c r="B295" s="225" t="s">
        <v>1979</v>
      </c>
      <c r="C295" s="219" t="s">
        <v>678</v>
      </c>
      <c r="D295" s="225" t="s">
        <v>353</v>
      </c>
      <c r="E295" s="196" t="s">
        <v>259</v>
      </c>
      <c r="F295" s="119">
        <v>120</v>
      </c>
      <c r="G295" s="26" t="s">
        <v>684</v>
      </c>
      <c r="H295" s="31">
        <v>12.74</v>
      </c>
      <c r="I295" s="27">
        <f t="shared" si="9"/>
        <v>1528.8</v>
      </c>
      <c r="J295" s="28" t="s">
        <v>130</v>
      </c>
      <c r="K295" s="25">
        <v>41136</v>
      </c>
      <c r="M295" s="56">
        <v>41152</v>
      </c>
      <c r="N295" s="29" t="s">
        <v>166</v>
      </c>
      <c r="O295" s="52" t="s">
        <v>161</v>
      </c>
      <c r="P295" s="32">
        <v>15416.4</v>
      </c>
      <c r="Q295" s="56">
        <v>41151</v>
      </c>
      <c r="T295" s="49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</row>
    <row r="296" spans="1:33" ht="12" customHeight="1">
      <c r="A296" s="25">
        <v>41136</v>
      </c>
      <c r="B296" s="225" t="s">
        <v>1979</v>
      </c>
      <c r="C296" s="219" t="s">
        <v>678</v>
      </c>
      <c r="D296" s="225" t="s">
        <v>268</v>
      </c>
      <c r="E296" s="196" t="s">
        <v>269</v>
      </c>
      <c r="F296" s="119">
        <v>200</v>
      </c>
      <c r="G296" s="26" t="s">
        <v>231</v>
      </c>
      <c r="H296" s="31">
        <v>1.43</v>
      </c>
      <c r="I296" s="27">
        <f t="shared" si="9"/>
        <v>286</v>
      </c>
      <c r="J296" s="28" t="s">
        <v>130</v>
      </c>
      <c r="K296" s="25">
        <v>41136</v>
      </c>
      <c r="M296" s="56">
        <v>41152</v>
      </c>
      <c r="N296" s="29" t="s">
        <v>166</v>
      </c>
      <c r="O296" s="52" t="s">
        <v>161</v>
      </c>
      <c r="P296" s="32">
        <v>15416.4</v>
      </c>
      <c r="Q296" s="56">
        <v>41151</v>
      </c>
      <c r="T296" s="49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</row>
    <row r="297" spans="1:33" ht="12" customHeight="1">
      <c r="A297" s="25">
        <v>41137</v>
      </c>
      <c r="B297" s="225" t="s">
        <v>1985</v>
      </c>
      <c r="C297" s="219" t="s">
        <v>678</v>
      </c>
      <c r="D297" s="342" t="s">
        <v>240</v>
      </c>
      <c r="E297" s="196">
        <v>6200</v>
      </c>
      <c r="F297" s="119">
        <v>100</v>
      </c>
      <c r="G297" s="26" t="s">
        <v>229</v>
      </c>
      <c r="H297" s="31">
        <v>45</v>
      </c>
      <c r="I297" s="27">
        <f t="shared" ref="I297:I328" si="10">H297*F297</f>
        <v>4500</v>
      </c>
      <c r="J297" s="28" t="s">
        <v>43</v>
      </c>
      <c r="K297" s="25">
        <v>41143</v>
      </c>
      <c r="M297" s="25">
        <v>41138</v>
      </c>
      <c r="N297" s="29" t="s">
        <v>697</v>
      </c>
      <c r="O297" s="28" t="s">
        <v>1239</v>
      </c>
      <c r="P297" s="32">
        <v>25994.400000000001</v>
      </c>
      <c r="Q297" s="56">
        <v>41222</v>
      </c>
      <c r="S297" s="26" t="s">
        <v>77</v>
      </c>
      <c r="T297" s="49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</row>
    <row r="298" spans="1:33" ht="12" customHeight="1">
      <c r="A298" s="25">
        <v>41137</v>
      </c>
      <c r="B298" s="225" t="s">
        <v>1985</v>
      </c>
      <c r="C298" s="219" t="s">
        <v>678</v>
      </c>
      <c r="D298" s="225" t="s">
        <v>1874</v>
      </c>
      <c r="E298" s="225" t="s">
        <v>1862</v>
      </c>
      <c r="F298" s="119">
        <v>600</v>
      </c>
      <c r="G298" s="26" t="s">
        <v>689</v>
      </c>
      <c r="H298" s="31">
        <v>8.8000000000000007</v>
      </c>
      <c r="I298" s="27">
        <f t="shared" si="10"/>
        <v>5280</v>
      </c>
      <c r="J298" s="28" t="s">
        <v>43</v>
      </c>
      <c r="K298" s="25">
        <v>41143</v>
      </c>
      <c r="M298" s="25">
        <v>41138</v>
      </c>
      <c r="N298" s="29" t="s">
        <v>697</v>
      </c>
      <c r="O298" s="28" t="s">
        <v>1239</v>
      </c>
      <c r="P298" s="32">
        <v>25994.400000000001</v>
      </c>
      <c r="Q298" s="56">
        <v>41222</v>
      </c>
      <c r="S298" s="26" t="s">
        <v>77</v>
      </c>
      <c r="T298" s="49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</row>
    <row r="299" spans="1:33" ht="12" customHeight="1">
      <c r="A299" s="25">
        <v>41138</v>
      </c>
      <c r="B299" s="225" t="s">
        <v>1975</v>
      </c>
      <c r="C299" s="219" t="s">
        <v>678</v>
      </c>
      <c r="D299" s="225" t="s">
        <v>305</v>
      </c>
      <c r="E299" s="28">
        <v>1270</v>
      </c>
      <c r="F299" s="119">
        <v>100</v>
      </c>
      <c r="G299" s="190" t="s">
        <v>239</v>
      </c>
      <c r="H299" s="31">
        <v>4.1399999999999997</v>
      </c>
      <c r="I299" s="27">
        <f t="shared" si="10"/>
        <v>413.99999999999994</v>
      </c>
      <c r="J299" s="28" t="s">
        <v>131</v>
      </c>
      <c r="K299" s="25">
        <v>41138</v>
      </c>
      <c r="M299" s="25">
        <v>41138</v>
      </c>
      <c r="N299" s="29" t="s">
        <v>688</v>
      </c>
      <c r="O299" s="28" t="s">
        <v>713</v>
      </c>
      <c r="T299" s="49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</row>
    <row r="300" spans="1:33" ht="12" customHeight="1">
      <c r="A300" s="25">
        <v>41138</v>
      </c>
      <c r="B300" s="225" t="s">
        <v>1985</v>
      </c>
      <c r="C300" s="219" t="s">
        <v>678</v>
      </c>
      <c r="D300" s="225" t="s">
        <v>825</v>
      </c>
      <c r="E300" s="196" t="s">
        <v>325</v>
      </c>
      <c r="F300" s="119">
        <v>300</v>
      </c>
      <c r="G300" s="26" t="s">
        <v>689</v>
      </c>
      <c r="H300" s="31">
        <v>5</v>
      </c>
      <c r="I300" s="27">
        <f t="shared" si="10"/>
        <v>1500</v>
      </c>
      <c r="J300" s="28" t="s">
        <v>132</v>
      </c>
      <c r="K300" s="25">
        <v>41141</v>
      </c>
      <c r="M300" s="25">
        <v>41141</v>
      </c>
      <c r="N300" s="29" t="s">
        <v>688</v>
      </c>
      <c r="O300" s="28" t="s">
        <v>713</v>
      </c>
      <c r="T300" s="49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</row>
    <row r="301" spans="1:33" ht="12" customHeight="1">
      <c r="A301" s="25">
        <v>41141</v>
      </c>
      <c r="B301" s="225" t="s">
        <v>228</v>
      </c>
      <c r="C301" s="219" t="s">
        <v>756</v>
      </c>
      <c r="D301" s="225" t="s">
        <v>66</v>
      </c>
      <c r="E301" s="28" t="s">
        <v>65</v>
      </c>
      <c r="F301" s="119">
        <v>5</v>
      </c>
      <c r="G301" s="26" t="s">
        <v>689</v>
      </c>
      <c r="H301" s="31">
        <v>6.05</v>
      </c>
      <c r="I301" s="27">
        <f t="shared" si="10"/>
        <v>30.25</v>
      </c>
      <c r="J301" s="28" t="s">
        <v>133</v>
      </c>
      <c r="K301" s="25">
        <v>41141</v>
      </c>
      <c r="M301" s="56">
        <v>41166</v>
      </c>
      <c r="N301" s="29" t="s">
        <v>876</v>
      </c>
      <c r="O301" s="28" t="s">
        <v>713</v>
      </c>
      <c r="T301" s="49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</row>
    <row r="302" spans="1:33" ht="12" customHeight="1">
      <c r="A302" s="25">
        <v>41141</v>
      </c>
      <c r="B302" s="225" t="s">
        <v>228</v>
      </c>
      <c r="C302" s="219" t="s">
        <v>756</v>
      </c>
      <c r="D302" s="225" t="s">
        <v>305</v>
      </c>
      <c r="E302" s="28">
        <v>1270</v>
      </c>
      <c r="F302" s="119">
        <v>100</v>
      </c>
      <c r="G302" s="190" t="s">
        <v>239</v>
      </c>
      <c r="H302" s="31">
        <v>4.1399999999999997</v>
      </c>
      <c r="I302" s="27">
        <f t="shared" si="10"/>
        <v>413.99999999999994</v>
      </c>
      <c r="J302" s="28" t="s">
        <v>133</v>
      </c>
      <c r="K302" s="25">
        <v>41141</v>
      </c>
      <c r="M302" s="56">
        <v>41166</v>
      </c>
      <c r="N302" s="29" t="s">
        <v>876</v>
      </c>
      <c r="O302" s="28" t="s">
        <v>713</v>
      </c>
      <c r="T302" s="49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</row>
    <row r="303" spans="1:33" ht="12" customHeight="1">
      <c r="A303" s="25">
        <v>41141</v>
      </c>
      <c r="B303" s="225" t="s">
        <v>228</v>
      </c>
      <c r="C303" s="219" t="s">
        <v>756</v>
      </c>
      <c r="D303" s="1" t="s">
        <v>1220</v>
      </c>
      <c r="E303" s="28">
        <v>6005</v>
      </c>
      <c r="F303" s="119">
        <v>8</v>
      </c>
      <c r="G303" s="26" t="s">
        <v>684</v>
      </c>
      <c r="H303" s="31">
        <v>40.369999999999997</v>
      </c>
      <c r="I303" s="27">
        <f t="shared" si="10"/>
        <v>322.95999999999998</v>
      </c>
      <c r="J303" s="28" t="s">
        <v>133</v>
      </c>
      <c r="K303" s="25">
        <v>41141</v>
      </c>
      <c r="M303" s="56">
        <v>41166</v>
      </c>
      <c r="N303" s="29" t="s">
        <v>876</v>
      </c>
      <c r="O303" s="28" t="s">
        <v>944</v>
      </c>
      <c r="P303" s="32">
        <v>37976.959999999999</v>
      </c>
      <c r="Q303" s="56">
        <v>41180</v>
      </c>
      <c r="T303" s="49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</row>
    <row r="304" spans="1:33" ht="12" customHeight="1">
      <c r="A304" s="25">
        <v>41142</v>
      </c>
      <c r="B304" s="225" t="s">
        <v>1979</v>
      </c>
      <c r="C304" s="219" t="s">
        <v>756</v>
      </c>
      <c r="D304" s="225" t="s">
        <v>232</v>
      </c>
      <c r="E304" s="196" t="s">
        <v>71</v>
      </c>
      <c r="F304" s="205">
        <v>2200</v>
      </c>
      <c r="G304" s="26" t="s">
        <v>689</v>
      </c>
      <c r="H304" s="27">
        <v>1.7</v>
      </c>
      <c r="I304" s="27">
        <f t="shared" si="10"/>
        <v>3740</v>
      </c>
      <c r="J304" s="28" t="s">
        <v>73</v>
      </c>
      <c r="K304" s="25">
        <v>41142</v>
      </c>
      <c r="M304" s="56">
        <v>41152</v>
      </c>
      <c r="N304" s="29" t="s">
        <v>166</v>
      </c>
      <c r="O304" s="52" t="s">
        <v>161</v>
      </c>
      <c r="P304" s="32">
        <v>15416.4</v>
      </c>
      <c r="Q304" s="56">
        <v>41151</v>
      </c>
      <c r="T304" s="49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</row>
    <row r="305" spans="1:33" ht="12" customHeight="1">
      <c r="A305" s="25">
        <v>41142</v>
      </c>
      <c r="B305" s="225" t="s">
        <v>1979</v>
      </c>
      <c r="C305" s="219" t="s">
        <v>756</v>
      </c>
      <c r="D305" s="1" t="s">
        <v>1210</v>
      </c>
      <c r="E305" s="196">
        <v>3200</v>
      </c>
      <c r="F305" s="119">
        <v>200</v>
      </c>
      <c r="G305" s="26" t="s">
        <v>684</v>
      </c>
      <c r="H305" s="27">
        <v>26</v>
      </c>
      <c r="I305" s="27">
        <f t="shared" si="10"/>
        <v>5200</v>
      </c>
      <c r="J305" s="28" t="s">
        <v>73</v>
      </c>
      <c r="K305" s="25">
        <v>41142</v>
      </c>
      <c r="M305" s="56">
        <v>41152</v>
      </c>
      <c r="N305" s="29" t="s">
        <v>166</v>
      </c>
      <c r="O305" s="52" t="s">
        <v>161</v>
      </c>
      <c r="P305" s="32">
        <v>15416.4</v>
      </c>
      <c r="Q305" s="56">
        <v>41151</v>
      </c>
      <c r="T305" s="49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</row>
    <row r="306" spans="1:33" ht="12" customHeight="1">
      <c r="A306" s="25">
        <v>41142</v>
      </c>
      <c r="B306" s="225" t="s">
        <v>1979</v>
      </c>
      <c r="C306" s="219" t="s">
        <v>756</v>
      </c>
      <c r="D306" s="225" t="s">
        <v>346</v>
      </c>
      <c r="E306" s="196">
        <v>3700</v>
      </c>
      <c r="F306" s="119">
        <v>200</v>
      </c>
      <c r="G306" s="26" t="s">
        <v>684</v>
      </c>
      <c r="H306" s="27">
        <v>3.3</v>
      </c>
      <c r="I306" s="27">
        <f t="shared" si="10"/>
        <v>660</v>
      </c>
      <c r="J306" s="28" t="s">
        <v>73</v>
      </c>
      <c r="K306" s="25">
        <v>41142</v>
      </c>
      <c r="M306" s="66">
        <v>41152</v>
      </c>
      <c r="N306" s="29" t="s">
        <v>166</v>
      </c>
      <c r="O306" s="53" t="s">
        <v>161</v>
      </c>
      <c r="P306" s="54">
        <v>15416.4</v>
      </c>
      <c r="Q306" s="57">
        <v>41151</v>
      </c>
      <c r="R306" s="49"/>
      <c r="S306" s="49"/>
      <c r="T306" s="49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</row>
    <row r="307" spans="1:33" ht="12" customHeight="1">
      <c r="A307" s="25">
        <v>41143</v>
      </c>
      <c r="B307" s="225" t="s">
        <v>228</v>
      </c>
      <c r="C307" s="219" t="s">
        <v>756</v>
      </c>
      <c r="D307" s="225" t="s">
        <v>307</v>
      </c>
      <c r="E307" s="28">
        <v>1110</v>
      </c>
      <c r="F307" s="119">
        <v>600</v>
      </c>
      <c r="G307" s="26" t="s">
        <v>690</v>
      </c>
      <c r="H307" s="31">
        <v>0.77</v>
      </c>
      <c r="I307" s="27">
        <f t="shared" si="10"/>
        <v>462</v>
      </c>
      <c r="J307" s="28" t="s">
        <v>134</v>
      </c>
      <c r="K307" s="25">
        <v>41143</v>
      </c>
      <c r="M307" s="57">
        <v>41166</v>
      </c>
      <c r="N307" s="49" t="s">
        <v>876</v>
      </c>
      <c r="O307" s="49" t="s">
        <v>944</v>
      </c>
      <c r="P307" s="49">
        <v>37976.959999999999</v>
      </c>
      <c r="Q307" s="57">
        <v>41180</v>
      </c>
      <c r="R307" s="49"/>
      <c r="S307" s="49"/>
      <c r="T307" s="49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</row>
    <row r="308" spans="1:33" ht="12" customHeight="1">
      <c r="A308" s="25">
        <v>41144</v>
      </c>
      <c r="B308" s="225" t="s">
        <v>228</v>
      </c>
      <c r="C308" s="219" t="s">
        <v>756</v>
      </c>
      <c r="D308" s="225" t="s">
        <v>287</v>
      </c>
      <c r="E308" s="28">
        <v>10434</v>
      </c>
      <c r="F308" s="119">
        <v>15</v>
      </c>
      <c r="G308" s="26" t="s">
        <v>690</v>
      </c>
      <c r="H308" s="31">
        <v>14.88</v>
      </c>
      <c r="I308" s="27">
        <f t="shared" si="10"/>
        <v>223.20000000000002</v>
      </c>
      <c r="J308" s="28" t="s">
        <v>135</v>
      </c>
      <c r="K308" s="25">
        <v>41144</v>
      </c>
      <c r="M308" s="56">
        <v>41166</v>
      </c>
      <c r="N308" s="29" t="s">
        <v>876</v>
      </c>
      <c r="O308" s="28" t="s">
        <v>944</v>
      </c>
      <c r="P308" s="32">
        <v>37976.959999999999</v>
      </c>
      <c r="Q308" s="56">
        <v>41180</v>
      </c>
    </row>
    <row r="309" spans="1:33" ht="12" customHeight="1">
      <c r="A309" s="25">
        <v>41144</v>
      </c>
      <c r="B309" s="225" t="s">
        <v>228</v>
      </c>
      <c r="C309" s="219" t="s">
        <v>756</v>
      </c>
      <c r="D309" s="5" t="s">
        <v>1897</v>
      </c>
      <c r="E309" s="28" t="s">
        <v>87</v>
      </c>
      <c r="F309" s="119">
        <v>180</v>
      </c>
      <c r="G309" s="26" t="s">
        <v>690</v>
      </c>
      <c r="H309" s="31">
        <v>3.97</v>
      </c>
      <c r="I309" s="27">
        <f t="shared" si="10"/>
        <v>714.6</v>
      </c>
      <c r="J309" s="28" t="s">
        <v>135</v>
      </c>
      <c r="K309" s="25">
        <v>41144</v>
      </c>
      <c r="M309" s="56">
        <v>41166</v>
      </c>
      <c r="N309" s="29" t="s">
        <v>876</v>
      </c>
      <c r="O309" s="28" t="s">
        <v>944</v>
      </c>
      <c r="P309" s="32">
        <v>37976.959999999999</v>
      </c>
      <c r="Q309" s="56">
        <v>41180</v>
      </c>
    </row>
    <row r="310" spans="1:33" ht="12" customHeight="1">
      <c r="A310" s="25">
        <v>41145</v>
      </c>
      <c r="B310" s="225" t="s">
        <v>1980</v>
      </c>
      <c r="C310" s="219" t="s">
        <v>756</v>
      </c>
      <c r="D310" s="5" t="s">
        <v>2012</v>
      </c>
      <c r="E310" s="196" t="s">
        <v>89</v>
      </c>
      <c r="F310" s="119">
        <v>2500</v>
      </c>
      <c r="G310" s="198" t="s">
        <v>229</v>
      </c>
      <c r="H310" s="31">
        <v>1.46</v>
      </c>
      <c r="I310" s="27">
        <f t="shared" si="10"/>
        <v>3650</v>
      </c>
      <c r="K310" s="25">
        <v>41145</v>
      </c>
      <c r="M310" s="25">
        <v>41145</v>
      </c>
      <c r="N310" s="29" t="s">
        <v>697</v>
      </c>
      <c r="O310" s="36" t="s">
        <v>137</v>
      </c>
      <c r="P310" s="32">
        <v>18407</v>
      </c>
      <c r="Q310" s="56">
        <v>41145</v>
      </c>
    </row>
    <row r="311" spans="1:33" ht="12" customHeight="1">
      <c r="A311" s="25">
        <v>41145</v>
      </c>
      <c r="B311" s="225" t="s">
        <v>1980</v>
      </c>
      <c r="C311" s="219" t="s">
        <v>756</v>
      </c>
      <c r="D311" s="225" t="s">
        <v>232</v>
      </c>
      <c r="E311" s="196" t="s">
        <v>88</v>
      </c>
      <c r="F311" s="119">
        <v>3000</v>
      </c>
      <c r="G311" s="194" t="s">
        <v>231</v>
      </c>
      <c r="H311" s="31">
        <v>4.78</v>
      </c>
      <c r="I311" s="27">
        <f t="shared" si="10"/>
        <v>14340</v>
      </c>
      <c r="K311" s="25">
        <v>41145</v>
      </c>
      <c r="M311" s="25">
        <v>41145</v>
      </c>
      <c r="N311" s="29" t="s">
        <v>697</v>
      </c>
      <c r="O311" s="36" t="s">
        <v>137</v>
      </c>
      <c r="P311" s="32">
        <v>18407</v>
      </c>
      <c r="Q311" s="56">
        <v>41145</v>
      </c>
    </row>
    <row r="312" spans="1:33" ht="12" customHeight="1">
      <c r="A312" s="25">
        <v>41145</v>
      </c>
      <c r="B312" s="225" t="s">
        <v>1980</v>
      </c>
      <c r="C312" s="219" t="s">
        <v>756</v>
      </c>
      <c r="D312" s="225" t="s">
        <v>263</v>
      </c>
      <c r="E312" s="196">
        <v>501</v>
      </c>
      <c r="F312" s="119">
        <v>300</v>
      </c>
      <c r="G312" s="190" t="s">
        <v>684</v>
      </c>
      <c r="H312" s="31">
        <v>1.39</v>
      </c>
      <c r="I312" s="27">
        <f t="shared" si="10"/>
        <v>416.99999999999994</v>
      </c>
      <c r="K312" s="25">
        <v>41145</v>
      </c>
      <c r="M312" s="25">
        <v>41145</v>
      </c>
      <c r="N312" s="29" t="s">
        <v>697</v>
      </c>
      <c r="O312" s="36" t="s">
        <v>137</v>
      </c>
      <c r="P312" s="32">
        <v>18407</v>
      </c>
      <c r="Q312" s="56">
        <v>41145</v>
      </c>
    </row>
    <row r="313" spans="1:33" ht="12" customHeight="1">
      <c r="A313" s="25">
        <v>41145</v>
      </c>
      <c r="B313" s="225" t="s">
        <v>1975</v>
      </c>
      <c r="C313" s="219" t="s">
        <v>756</v>
      </c>
      <c r="D313" s="225" t="s">
        <v>287</v>
      </c>
      <c r="E313" s="28">
        <v>10434</v>
      </c>
      <c r="F313" s="119">
        <v>20</v>
      </c>
      <c r="G313" s="26" t="s">
        <v>90</v>
      </c>
      <c r="H313" s="31">
        <v>14.88</v>
      </c>
      <c r="I313" s="27">
        <f t="shared" si="10"/>
        <v>297.60000000000002</v>
      </c>
      <c r="J313" s="28" t="s">
        <v>136</v>
      </c>
      <c r="K313" s="25">
        <v>41145</v>
      </c>
      <c r="M313" s="56">
        <v>41166</v>
      </c>
      <c r="N313" s="29" t="s">
        <v>876</v>
      </c>
      <c r="O313" s="28" t="s">
        <v>944</v>
      </c>
      <c r="P313" s="32">
        <v>37976.959999999999</v>
      </c>
      <c r="Q313" s="56">
        <v>41180</v>
      </c>
    </row>
    <row r="314" spans="1:33" ht="12" customHeight="1">
      <c r="A314" s="25">
        <v>41150</v>
      </c>
      <c r="B314" s="225" t="s">
        <v>253</v>
      </c>
      <c r="C314" s="219" t="s">
        <v>756</v>
      </c>
      <c r="D314" s="225" t="s">
        <v>273</v>
      </c>
      <c r="E314" s="196" t="s">
        <v>781</v>
      </c>
      <c r="F314" s="119">
        <v>600</v>
      </c>
      <c r="G314" s="26" t="s">
        <v>684</v>
      </c>
      <c r="H314" s="31">
        <v>29</v>
      </c>
      <c r="I314" s="27">
        <f t="shared" si="10"/>
        <v>17400</v>
      </c>
      <c r="K314" s="25">
        <v>41150</v>
      </c>
      <c r="M314" s="25">
        <v>41150</v>
      </c>
      <c r="N314" s="29" t="s">
        <v>698</v>
      </c>
      <c r="O314" s="80" t="s">
        <v>914</v>
      </c>
      <c r="P314" s="81">
        <v>21015</v>
      </c>
      <c r="Q314" s="56">
        <v>41167</v>
      </c>
    </row>
    <row r="315" spans="1:33" ht="12" customHeight="1">
      <c r="A315" s="25">
        <v>41150</v>
      </c>
      <c r="B315" s="225" t="s">
        <v>253</v>
      </c>
      <c r="C315" s="219" t="s">
        <v>756</v>
      </c>
      <c r="D315" s="225" t="s">
        <v>353</v>
      </c>
      <c r="E315" s="196" t="s">
        <v>145</v>
      </c>
      <c r="F315" s="119">
        <v>120</v>
      </c>
      <c r="G315" s="26" t="s">
        <v>684</v>
      </c>
      <c r="H315" s="31">
        <v>17</v>
      </c>
      <c r="I315" s="27">
        <f t="shared" si="10"/>
        <v>2040</v>
      </c>
      <c r="K315" s="25">
        <v>41150</v>
      </c>
      <c r="M315" s="25">
        <v>41150</v>
      </c>
      <c r="N315" s="29" t="s">
        <v>698</v>
      </c>
      <c r="O315" s="80" t="s">
        <v>914</v>
      </c>
      <c r="P315" s="81">
        <v>21015</v>
      </c>
      <c r="Q315" s="56">
        <v>41167</v>
      </c>
    </row>
    <row r="316" spans="1:33" ht="12" customHeight="1">
      <c r="A316" s="25">
        <v>41150</v>
      </c>
      <c r="B316" s="225" t="s">
        <v>1980</v>
      </c>
      <c r="C316" s="219" t="s">
        <v>756</v>
      </c>
      <c r="D316" s="5" t="s">
        <v>2012</v>
      </c>
      <c r="E316" s="51" t="s">
        <v>154</v>
      </c>
      <c r="F316" s="119">
        <v>3000</v>
      </c>
      <c r="G316" s="198" t="s">
        <v>229</v>
      </c>
      <c r="H316" s="31">
        <v>1.46</v>
      </c>
      <c r="I316" s="27">
        <f t="shared" si="10"/>
        <v>4380</v>
      </c>
      <c r="J316" s="52" t="s">
        <v>157</v>
      </c>
      <c r="K316" s="25">
        <v>41150</v>
      </c>
      <c r="M316" s="25">
        <v>41150</v>
      </c>
      <c r="N316" s="29" t="s">
        <v>697</v>
      </c>
      <c r="O316" s="52" t="s">
        <v>158</v>
      </c>
      <c r="P316" s="32">
        <v>34144.199999999997</v>
      </c>
      <c r="Q316" s="56">
        <v>41150</v>
      </c>
    </row>
    <row r="317" spans="1:33" ht="12" customHeight="1">
      <c r="A317" s="25">
        <v>41150</v>
      </c>
      <c r="B317" s="225" t="s">
        <v>1980</v>
      </c>
      <c r="C317" s="219" t="s">
        <v>756</v>
      </c>
      <c r="D317" s="225" t="s">
        <v>1870</v>
      </c>
      <c r="E317" s="196">
        <v>8210</v>
      </c>
      <c r="F317" s="119">
        <v>2240</v>
      </c>
      <c r="G317" s="26" t="s">
        <v>684</v>
      </c>
      <c r="H317" s="31">
        <v>3.63</v>
      </c>
      <c r="I317" s="27">
        <f t="shared" si="10"/>
        <v>8131.2</v>
      </c>
      <c r="J317" s="52" t="s">
        <v>157</v>
      </c>
      <c r="K317" s="25">
        <v>41150</v>
      </c>
      <c r="M317" s="25">
        <v>41150</v>
      </c>
      <c r="N317" s="29" t="s">
        <v>697</v>
      </c>
      <c r="O317" s="52" t="s">
        <v>158</v>
      </c>
      <c r="P317" s="32">
        <v>34144.199999999997</v>
      </c>
      <c r="Q317" s="56">
        <v>41150</v>
      </c>
    </row>
    <row r="318" spans="1:33" ht="12" customHeight="1">
      <c r="A318" s="25">
        <v>41150</v>
      </c>
      <c r="B318" s="225" t="s">
        <v>1980</v>
      </c>
      <c r="C318" s="219" t="s">
        <v>756</v>
      </c>
      <c r="D318" s="225" t="s">
        <v>1898</v>
      </c>
      <c r="E318" s="51" t="s">
        <v>155</v>
      </c>
      <c r="F318" s="119">
        <v>40</v>
      </c>
      <c r="G318" s="26" t="s">
        <v>684</v>
      </c>
      <c r="H318" s="31">
        <v>29.5</v>
      </c>
      <c r="I318" s="27">
        <f t="shared" si="10"/>
        <v>1180</v>
      </c>
      <c r="J318" s="52" t="s">
        <v>157</v>
      </c>
      <c r="K318" s="25">
        <v>41150</v>
      </c>
      <c r="M318" s="25">
        <v>41150</v>
      </c>
      <c r="N318" s="29" t="s">
        <v>697</v>
      </c>
      <c r="O318" s="52" t="s">
        <v>158</v>
      </c>
      <c r="P318" s="32">
        <v>34144.199999999997</v>
      </c>
      <c r="Q318" s="56">
        <v>41150</v>
      </c>
    </row>
    <row r="319" spans="1:33" ht="12" customHeight="1">
      <c r="A319" s="25">
        <v>41150</v>
      </c>
      <c r="B319" s="225" t="s">
        <v>1980</v>
      </c>
      <c r="C319" s="219" t="s">
        <v>756</v>
      </c>
      <c r="D319" s="225" t="s">
        <v>1916</v>
      </c>
      <c r="E319" s="196">
        <v>6800</v>
      </c>
      <c r="F319" s="119">
        <v>5</v>
      </c>
      <c r="G319" s="26" t="s">
        <v>684</v>
      </c>
      <c r="H319" s="31">
        <v>420</v>
      </c>
      <c r="I319" s="27">
        <f t="shared" si="10"/>
        <v>2100</v>
      </c>
      <c r="J319" s="52" t="s">
        <v>157</v>
      </c>
      <c r="K319" s="25">
        <v>41150</v>
      </c>
      <c r="M319" s="25">
        <v>41150</v>
      </c>
      <c r="N319" s="29" t="s">
        <v>697</v>
      </c>
      <c r="O319" s="52" t="s">
        <v>158</v>
      </c>
      <c r="P319" s="32">
        <v>34144.199999999997</v>
      </c>
      <c r="Q319" s="56">
        <v>41150</v>
      </c>
    </row>
    <row r="320" spans="1:33" ht="12" customHeight="1">
      <c r="A320" s="25">
        <v>41150</v>
      </c>
      <c r="B320" s="225" t="s">
        <v>1980</v>
      </c>
      <c r="C320" s="219" t="s">
        <v>756</v>
      </c>
      <c r="D320" s="5" t="s">
        <v>1221</v>
      </c>
      <c r="E320" s="51" t="s">
        <v>146</v>
      </c>
      <c r="F320" s="119">
        <v>100</v>
      </c>
      <c r="G320" s="26" t="s">
        <v>684</v>
      </c>
      <c r="H320" s="31">
        <v>36</v>
      </c>
      <c r="I320" s="27">
        <f t="shared" si="10"/>
        <v>3600</v>
      </c>
      <c r="J320" s="52" t="s">
        <v>157</v>
      </c>
      <c r="K320" s="25">
        <v>41150</v>
      </c>
      <c r="M320" s="25">
        <v>41150</v>
      </c>
      <c r="N320" s="29" t="s">
        <v>697</v>
      </c>
      <c r="O320" s="52" t="s">
        <v>158</v>
      </c>
      <c r="P320" s="32">
        <v>34144.199999999997</v>
      </c>
      <c r="Q320" s="56">
        <v>41150</v>
      </c>
    </row>
    <row r="321" spans="1:17" ht="12" customHeight="1">
      <c r="A321" s="25">
        <v>41150</v>
      </c>
      <c r="B321" s="225" t="s">
        <v>1980</v>
      </c>
      <c r="C321" s="219" t="s">
        <v>756</v>
      </c>
      <c r="D321" s="225" t="s">
        <v>263</v>
      </c>
      <c r="E321" s="196" t="s">
        <v>898</v>
      </c>
      <c r="F321" s="119">
        <v>100</v>
      </c>
      <c r="G321" s="26" t="s">
        <v>684</v>
      </c>
      <c r="H321" s="31">
        <v>1.88</v>
      </c>
      <c r="I321" s="27">
        <f t="shared" si="10"/>
        <v>188</v>
      </c>
      <c r="J321" s="52" t="s">
        <v>157</v>
      </c>
      <c r="K321" s="25">
        <v>41150</v>
      </c>
      <c r="M321" s="25">
        <v>41150</v>
      </c>
      <c r="N321" s="29" t="s">
        <v>697</v>
      </c>
      <c r="O321" s="52" t="s">
        <v>158</v>
      </c>
      <c r="P321" s="32">
        <v>34144.199999999997</v>
      </c>
      <c r="Q321" s="56">
        <v>41150</v>
      </c>
    </row>
    <row r="322" spans="1:17" ht="12" customHeight="1">
      <c r="A322" s="25">
        <v>41150</v>
      </c>
      <c r="B322" s="225" t="s">
        <v>1980</v>
      </c>
      <c r="C322" s="219" t="s">
        <v>756</v>
      </c>
      <c r="D322" s="225" t="s">
        <v>268</v>
      </c>
      <c r="E322" s="51" t="s">
        <v>774</v>
      </c>
      <c r="F322" s="119">
        <v>100</v>
      </c>
      <c r="G322" s="118" t="s">
        <v>171</v>
      </c>
      <c r="H322" s="31">
        <v>1.4</v>
      </c>
      <c r="I322" s="27">
        <f t="shared" si="10"/>
        <v>140</v>
      </c>
      <c r="J322" s="52" t="s">
        <v>157</v>
      </c>
      <c r="K322" s="25">
        <v>41150</v>
      </c>
      <c r="M322" s="25">
        <v>41150</v>
      </c>
      <c r="N322" s="29" t="s">
        <v>697</v>
      </c>
      <c r="O322" s="52" t="s">
        <v>158</v>
      </c>
      <c r="P322" s="32">
        <v>34144.199999999997</v>
      </c>
      <c r="Q322" s="56">
        <v>41150</v>
      </c>
    </row>
    <row r="323" spans="1:17" ht="12" customHeight="1">
      <c r="A323" s="25">
        <v>41150</v>
      </c>
      <c r="B323" s="225" t="s">
        <v>1980</v>
      </c>
      <c r="C323" s="219" t="s">
        <v>756</v>
      </c>
      <c r="D323" s="225" t="s">
        <v>263</v>
      </c>
      <c r="E323" s="196">
        <v>501</v>
      </c>
      <c r="F323" s="119">
        <v>500</v>
      </c>
      <c r="G323" s="190" t="s">
        <v>684</v>
      </c>
      <c r="H323" s="31">
        <v>1.39</v>
      </c>
      <c r="I323" s="27">
        <f t="shared" si="10"/>
        <v>695</v>
      </c>
      <c r="J323" s="52" t="s">
        <v>157</v>
      </c>
      <c r="K323" s="25">
        <v>41150</v>
      </c>
      <c r="M323" s="25">
        <v>41150</v>
      </c>
      <c r="N323" s="29" t="s">
        <v>697</v>
      </c>
      <c r="O323" s="52" t="s">
        <v>158</v>
      </c>
      <c r="P323" s="32">
        <v>34144.199999999997</v>
      </c>
      <c r="Q323" s="56">
        <v>41150</v>
      </c>
    </row>
    <row r="324" spans="1:17" ht="12" customHeight="1">
      <c r="A324" s="25">
        <v>41150</v>
      </c>
      <c r="B324" s="225" t="s">
        <v>1980</v>
      </c>
      <c r="C324" s="219" t="s">
        <v>756</v>
      </c>
      <c r="D324" s="225" t="s">
        <v>1874</v>
      </c>
      <c r="E324" s="51" t="s">
        <v>153</v>
      </c>
      <c r="F324" s="119">
        <v>1000</v>
      </c>
      <c r="G324" s="194" t="s">
        <v>231</v>
      </c>
      <c r="H324" s="31">
        <v>4.88</v>
      </c>
      <c r="I324" s="27">
        <f t="shared" si="10"/>
        <v>4880</v>
      </c>
      <c r="J324" s="52" t="s">
        <v>157</v>
      </c>
      <c r="K324" s="25">
        <v>41150</v>
      </c>
      <c r="M324" s="25">
        <v>41150</v>
      </c>
      <c r="N324" s="29" t="s">
        <v>697</v>
      </c>
      <c r="O324" s="52" t="s">
        <v>158</v>
      </c>
      <c r="P324" s="32">
        <v>34144.199999999997</v>
      </c>
      <c r="Q324" s="56">
        <v>41150</v>
      </c>
    </row>
    <row r="325" spans="1:17" ht="12" customHeight="1">
      <c r="A325" s="25">
        <v>41150</v>
      </c>
      <c r="B325" s="225" t="s">
        <v>1980</v>
      </c>
      <c r="C325" s="219" t="s">
        <v>756</v>
      </c>
      <c r="D325" s="225" t="s">
        <v>273</v>
      </c>
      <c r="E325" s="51" t="s">
        <v>156</v>
      </c>
      <c r="F325" s="119">
        <v>300</v>
      </c>
      <c r="G325" s="51" t="s">
        <v>684</v>
      </c>
      <c r="H325" s="31">
        <v>29.5</v>
      </c>
      <c r="I325" s="27">
        <f t="shared" si="10"/>
        <v>8850</v>
      </c>
      <c r="J325" s="52" t="s">
        <v>157</v>
      </c>
      <c r="K325" s="25">
        <v>41150</v>
      </c>
      <c r="M325" s="25">
        <v>41150</v>
      </c>
      <c r="N325" s="29" t="s">
        <v>697</v>
      </c>
      <c r="O325" s="52" t="s">
        <v>158</v>
      </c>
      <c r="P325" s="32">
        <v>34144.199999999997</v>
      </c>
      <c r="Q325" s="56">
        <v>41150</v>
      </c>
    </row>
    <row r="326" spans="1:17" ht="12" customHeight="1">
      <c r="A326" s="25">
        <v>41151</v>
      </c>
      <c r="B326" s="225" t="s">
        <v>228</v>
      </c>
      <c r="C326" s="219" t="s">
        <v>756</v>
      </c>
      <c r="D326" s="225" t="s">
        <v>263</v>
      </c>
      <c r="E326" s="28">
        <v>501</v>
      </c>
      <c r="F326" s="119">
        <v>100</v>
      </c>
      <c r="G326" s="51" t="s">
        <v>684</v>
      </c>
      <c r="H326" s="31">
        <v>1.4</v>
      </c>
      <c r="I326" s="27">
        <f t="shared" si="10"/>
        <v>140</v>
      </c>
      <c r="J326" s="52" t="s">
        <v>152</v>
      </c>
      <c r="K326" s="25">
        <v>41150</v>
      </c>
      <c r="M326" s="56">
        <v>41166</v>
      </c>
      <c r="N326" s="29" t="s">
        <v>876</v>
      </c>
      <c r="O326" s="28" t="s">
        <v>944</v>
      </c>
      <c r="P326" s="32">
        <v>37976.959999999999</v>
      </c>
      <c r="Q326" s="56">
        <v>41180</v>
      </c>
    </row>
    <row r="327" spans="1:17" ht="12" customHeight="1">
      <c r="A327" s="25">
        <v>41151</v>
      </c>
      <c r="B327" s="225" t="s">
        <v>1979</v>
      </c>
      <c r="C327" s="219" t="s">
        <v>756</v>
      </c>
      <c r="D327" s="1" t="s">
        <v>1210</v>
      </c>
      <c r="E327" s="196">
        <v>3200</v>
      </c>
      <c r="F327" s="121">
        <v>100</v>
      </c>
      <c r="G327" s="51" t="s">
        <v>684</v>
      </c>
      <c r="H327" s="31">
        <v>24.5</v>
      </c>
      <c r="I327" s="27">
        <f t="shared" si="10"/>
        <v>2450</v>
      </c>
      <c r="J327" s="52" t="s">
        <v>160</v>
      </c>
      <c r="K327" s="25">
        <v>41151</v>
      </c>
      <c r="M327" s="56">
        <v>41152</v>
      </c>
      <c r="N327" s="29" t="s">
        <v>688</v>
      </c>
      <c r="O327" s="28" t="s">
        <v>713</v>
      </c>
    </row>
    <row r="328" spans="1:17" ht="12" customHeight="1">
      <c r="A328" s="25">
        <v>41151</v>
      </c>
      <c r="B328" s="225" t="s">
        <v>1979</v>
      </c>
      <c r="C328" s="219" t="s">
        <v>756</v>
      </c>
      <c r="D328" s="225" t="s">
        <v>346</v>
      </c>
      <c r="E328" s="196">
        <v>3700</v>
      </c>
      <c r="F328" s="119">
        <v>100</v>
      </c>
      <c r="G328" s="51" t="s">
        <v>684</v>
      </c>
      <c r="H328" s="31">
        <v>3.1</v>
      </c>
      <c r="I328" s="27">
        <f t="shared" si="10"/>
        <v>310</v>
      </c>
      <c r="J328" s="52" t="s">
        <v>160</v>
      </c>
      <c r="K328" s="25">
        <v>41151</v>
      </c>
      <c r="M328" s="56">
        <v>41152</v>
      </c>
      <c r="N328" s="29" t="s">
        <v>688</v>
      </c>
      <c r="O328" s="28" t="s">
        <v>713</v>
      </c>
    </row>
    <row r="329" spans="1:17" ht="12" customHeight="1">
      <c r="A329" s="25">
        <v>41151</v>
      </c>
      <c r="B329" s="225" t="s">
        <v>1979</v>
      </c>
      <c r="C329" s="219" t="s">
        <v>756</v>
      </c>
      <c r="D329" s="225" t="s">
        <v>232</v>
      </c>
      <c r="E329" s="51" t="s">
        <v>159</v>
      </c>
      <c r="F329" s="205">
        <v>500</v>
      </c>
      <c r="G329" s="51" t="s">
        <v>689</v>
      </c>
      <c r="H329" s="31">
        <v>1.6</v>
      </c>
      <c r="I329" s="27">
        <f t="shared" ref="I329:I360" si="11">H329*F329</f>
        <v>800</v>
      </c>
      <c r="J329" s="52" t="s">
        <v>160</v>
      </c>
      <c r="K329" s="25">
        <v>41151</v>
      </c>
      <c r="M329" s="56">
        <v>41152</v>
      </c>
      <c r="N329" s="29" t="s">
        <v>688</v>
      </c>
      <c r="O329" s="28" t="s">
        <v>713</v>
      </c>
    </row>
    <row r="330" spans="1:17" ht="12" customHeight="1">
      <c r="A330" s="25">
        <v>41151</v>
      </c>
      <c r="B330" s="225" t="s">
        <v>1980</v>
      </c>
      <c r="C330" s="219" t="s">
        <v>756</v>
      </c>
      <c r="D330" s="342" t="s">
        <v>240</v>
      </c>
      <c r="E330" s="196">
        <v>6200</v>
      </c>
      <c r="F330" s="119">
        <v>10</v>
      </c>
      <c r="G330" s="51" t="s">
        <v>684</v>
      </c>
      <c r="H330" s="31">
        <v>41.85</v>
      </c>
      <c r="I330" s="27">
        <f t="shared" si="11"/>
        <v>418.5</v>
      </c>
      <c r="J330" s="28" t="s">
        <v>1855</v>
      </c>
      <c r="K330" s="25">
        <v>41152</v>
      </c>
      <c r="M330" s="25">
        <v>41152</v>
      </c>
      <c r="N330" s="29" t="s">
        <v>165</v>
      </c>
      <c r="O330" s="28" t="s">
        <v>713</v>
      </c>
    </row>
    <row r="331" spans="1:17" ht="12" customHeight="1">
      <c r="A331" s="25">
        <v>41153</v>
      </c>
      <c r="B331" s="225" t="s">
        <v>1980</v>
      </c>
      <c r="C331" s="219" t="s">
        <v>756</v>
      </c>
      <c r="D331" s="225" t="s">
        <v>1870</v>
      </c>
      <c r="E331" s="196">
        <v>8210</v>
      </c>
      <c r="F331" s="119">
        <v>12800</v>
      </c>
      <c r="G331" s="26" t="s">
        <v>684</v>
      </c>
      <c r="H331" s="31">
        <v>3.63</v>
      </c>
      <c r="I331" s="27">
        <f t="shared" si="11"/>
        <v>46464</v>
      </c>
      <c r="J331" s="28" t="s">
        <v>1855</v>
      </c>
      <c r="K331" s="25">
        <v>41153</v>
      </c>
      <c r="M331" s="25">
        <v>41153</v>
      </c>
      <c r="N331" s="29" t="s">
        <v>166</v>
      </c>
      <c r="O331" s="28" t="s">
        <v>939</v>
      </c>
      <c r="P331" s="32">
        <v>534761</v>
      </c>
      <c r="Q331" s="56">
        <v>41179</v>
      </c>
    </row>
    <row r="332" spans="1:17" ht="12" customHeight="1">
      <c r="A332" s="25">
        <v>41156</v>
      </c>
      <c r="B332" s="225" t="s">
        <v>1975</v>
      </c>
      <c r="C332" s="219" t="s">
        <v>756</v>
      </c>
      <c r="D332" s="225" t="s">
        <v>307</v>
      </c>
      <c r="E332" s="28">
        <v>1110</v>
      </c>
      <c r="F332" s="119">
        <v>100</v>
      </c>
      <c r="G332" s="26" t="s">
        <v>690</v>
      </c>
      <c r="H332" s="31">
        <v>0.77</v>
      </c>
      <c r="I332" s="27">
        <f t="shared" si="11"/>
        <v>77</v>
      </c>
      <c r="J332" s="28" t="s">
        <v>211</v>
      </c>
      <c r="K332" s="25">
        <v>41156</v>
      </c>
      <c r="M332" s="56">
        <v>41166</v>
      </c>
      <c r="N332" s="29" t="s">
        <v>876</v>
      </c>
      <c r="O332" s="28" t="s">
        <v>944</v>
      </c>
      <c r="P332" s="32">
        <v>37976.959999999999</v>
      </c>
      <c r="Q332" s="56">
        <v>41180</v>
      </c>
    </row>
    <row r="333" spans="1:17" ht="12" customHeight="1">
      <c r="A333" s="25">
        <v>41158</v>
      </c>
      <c r="B333" s="225" t="s">
        <v>1980</v>
      </c>
      <c r="C333" s="219" t="s">
        <v>756</v>
      </c>
      <c r="D333" s="5" t="s">
        <v>2012</v>
      </c>
      <c r="E333" s="68" t="s">
        <v>214</v>
      </c>
      <c r="F333" s="119">
        <v>5000</v>
      </c>
      <c r="G333" s="198" t="s">
        <v>229</v>
      </c>
      <c r="H333" s="31">
        <v>1.46</v>
      </c>
      <c r="I333" s="27">
        <f t="shared" si="11"/>
        <v>7300</v>
      </c>
      <c r="J333" s="28" t="s">
        <v>1855</v>
      </c>
      <c r="K333" s="25">
        <v>41158</v>
      </c>
      <c r="M333" s="56">
        <v>41157</v>
      </c>
      <c r="N333" s="69" t="s">
        <v>697</v>
      </c>
      <c r="O333" s="28" t="s">
        <v>939</v>
      </c>
      <c r="P333" s="32">
        <v>534761</v>
      </c>
      <c r="Q333" s="87">
        <v>41179</v>
      </c>
    </row>
    <row r="334" spans="1:17" ht="12" customHeight="1">
      <c r="A334" s="25">
        <v>41159</v>
      </c>
      <c r="B334" s="225" t="s">
        <v>1975</v>
      </c>
      <c r="C334" s="219" t="s">
        <v>162</v>
      </c>
      <c r="D334" s="225" t="s">
        <v>850</v>
      </c>
      <c r="E334" s="28" t="s">
        <v>849</v>
      </c>
      <c r="F334" s="119">
        <v>4</v>
      </c>
      <c r="G334" s="26" t="s">
        <v>172</v>
      </c>
      <c r="H334" s="31">
        <v>46.9</v>
      </c>
      <c r="I334" s="27">
        <f t="shared" si="11"/>
        <v>187.6</v>
      </c>
      <c r="J334" s="28" t="s">
        <v>851</v>
      </c>
      <c r="K334" s="25">
        <v>41159</v>
      </c>
      <c r="M334" s="56">
        <v>41166</v>
      </c>
      <c r="N334" s="29" t="s">
        <v>876</v>
      </c>
      <c r="O334" s="28" t="s">
        <v>944</v>
      </c>
      <c r="P334" s="32">
        <v>37976.959999999999</v>
      </c>
      <c r="Q334" s="56">
        <v>41180</v>
      </c>
    </row>
    <row r="335" spans="1:17" ht="12" customHeight="1">
      <c r="A335" s="25">
        <v>41159</v>
      </c>
      <c r="B335" s="225" t="s">
        <v>1975</v>
      </c>
      <c r="C335" s="219" t="s">
        <v>162</v>
      </c>
      <c r="D335" s="225" t="s">
        <v>670</v>
      </c>
      <c r="E335" s="28" t="s">
        <v>1083</v>
      </c>
      <c r="F335" s="119">
        <v>25</v>
      </c>
      <c r="G335" s="328" t="s">
        <v>170</v>
      </c>
      <c r="H335" s="31">
        <v>4.08</v>
      </c>
      <c r="I335" s="27">
        <f t="shared" si="11"/>
        <v>102</v>
      </c>
      <c r="J335" s="28" t="s">
        <v>851</v>
      </c>
      <c r="K335" s="25">
        <v>41159</v>
      </c>
      <c r="M335" s="56">
        <v>41166</v>
      </c>
      <c r="N335" s="29" t="s">
        <v>876</v>
      </c>
      <c r="O335" s="28" t="s">
        <v>944</v>
      </c>
      <c r="P335" s="32">
        <v>37976.959999999999</v>
      </c>
      <c r="Q335" s="56">
        <v>41180</v>
      </c>
    </row>
    <row r="336" spans="1:17" ht="12" customHeight="1">
      <c r="A336" s="25">
        <v>41159</v>
      </c>
      <c r="B336" s="225" t="s">
        <v>1975</v>
      </c>
      <c r="C336" s="219" t="s">
        <v>162</v>
      </c>
      <c r="D336" s="1" t="s">
        <v>1213</v>
      </c>
      <c r="E336" s="28" t="s">
        <v>178</v>
      </c>
      <c r="F336" s="119">
        <v>100</v>
      </c>
      <c r="G336" s="26" t="s">
        <v>172</v>
      </c>
      <c r="H336" s="31">
        <v>13</v>
      </c>
      <c r="I336" s="27">
        <f t="shared" si="11"/>
        <v>1300</v>
      </c>
      <c r="J336" s="28" t="s">
        <v>851</v>
      </c>
      <c r="K336" s="25">
        <v>41159</v>
      </c>
      <c r="M336" s="56">
        <v>41166</v>
      </c>
      <c r="N336" s="29" t="s">
        <v>876</v>
      </c>
      <c r="O336" s="28" t="s">
        <v>944</v>
      </c>
      <c r="P336" s="32">
        <v>37976.959999999999</v>
      </c>
      <c r="Q336" s="56">
        <v>41180</v>
      </c>
    </row>
    <row r="337" spans="1:33" ht="12" customHeight="1">
      <c r="A337" s="25">
        <v>41159</v>
      </c>
      <c r="B337" s="225" t="s">
        <v>1975</v>
      </c>
      <c r="C337" s="219" t="s">
        <v>162</v>
      </c>
      <c r="D337" s="225" t="s">
        <v>809</v>
      </c>
      <c r="E337" s="28">
        <v>4690</v>
      </c>
      <c r="F337" s="119">
        <v>1</v>
      </c>
      <c r="G337" s="26" t="s">
        <v>174</v>
      </c>
      <c r="H337" s="31">
        <v>204</v>
      </c>
      <c r="I337" s="27">
        <f t="shared" si="11"/>
        <v>204</v>
      </c>
      <c r="J337" s="28" t="s">
        <v>852</v>
      </c>
      <c r="K337" s="25">
        <v>41159</v>
      </c>
      <c r="M337" s="56">
        <v>41166</v>
      </c>
      <c r="N337" s="29" t="s">
        <v>876</v>
      </c>
      <c r="O337" s="28" t="s">
        <v>875</v>
      </c>
    </row>
    <row r="338" spans="1:33" ht="12" customHeight="1">
      <c r="A338" s="25">
        <v>41162</v>
      </c>
      <c r="B338" s="225" t="s">
        <v>253</v>
      </c>
      <c r="C338" s="219" t="s">
        <v>162</v>
      </c>
      <c r="D338" s="225" t="s">
        <v>350</v>
      </c>
      <c r="E338" s="196">
        <v>7502</v>
      </c>
      <c r="F338" s="119">
        <v>15</v>
      </c>
      <c r="G338" s="26" t="s">
        <v>170</v>
      </c>
      <c r="H338" s="31">
        <v>105</v>
      </c>
      <c r="I338" s="27">
        <f t="shared" si="11"/>
        <v>1575</v>
      </c>
      <c r="J338" s="28" t="s">
        <v>856</v>
      </c>
      <c r="K338" s="25">
        <v>41162</v>
      </c>
      <c r="M338" s="56">
        <v>41162</v>
      </c>
      <c r="N338" s="29" t="s">
        <v>166</v>
      </c>
      <c r="O338" s="80" t="s">
        <v>914</v>
      </c>
      <c r="P338" s="81">
        <v>21015</v>
      </c>
      <c r="Q338" s="56">
        <v>41167</v>
      </c>
    </row>
    <row r="339" spans="1:33" ht="12" customHeight="1">
      <c r="A339" s="25">
        <v>41163</v>
      </c>
      <c r="B339" s="225" t="s">
        <v>1975</v>
      </c>
      <c r="C339" s="220" t="s">
        <v>7</v>
      </c>
      <c r="D339" s="303" t="s">
        <v>5011</v>
      </c>
      <c r="E339" s="28" t="s">
        <v>857</v>
      </c>
      <c r="F339" s="119">
        <v>12</v>
      </c>
      <c r="G339" s="190" t="s">
        <v>827</v>
      </c>
      <c r="H339" s="31">
        <v>9.8000000000000007</v>
      </c>
      <c r="I339" s="27">
        <f t="shared" si="11"/>
        <v>117.60000000000001</v>
      </c>
      <c r="J339" s="28" t="s">
        <v>858</v>
      </c>
      <c r="K339" s="25">
        <v>41163</v>
      </c>
      <c r="M339" s="56">
        <v>41166</v>
      </c>
      <c r="N339" s="29" t="s">
        <v>876</v>
      </c>
      <c r="O339" s="28" t="s">
        <v>944</v>
      </c>
      <c r="P339" s="32">
        <v>37976.959999999999</v>
      </c>
      <c r="Q339" s="56">
        <v>41180</v>
      </c>
    </row>
    <row r="340" spans="1:33" ht="12" customHeight="1">
      <c r="A340" s="25">
        <v>41163</v>
      </c>
      <c r="B340" s="225" t="s">
        <v>1975</v>
      </c>
      <c r="C340" s="219" t="s">
        <v>861</v>
      </c>
      <c r="D340" s="225" t="s">
        <v>1900</v>
      </c>
      <c r="E340" s="389" t="s">
        <v>860</v>
      </c>
      <c r="F340" s="119">
        <v>1</v>
      </c>
      <c r="G340" s="26" t="s">
        <v>192</v>
      </c>
      <c r="H340" s="31">
        <v>97</v>
      </c>
      <c r="I340" s="27">
        <f t="shared" si="11"/>
        <v>97</v>
      </c>
      <c r="J340" s="28" t="s">
        <v>862</v>
      </c>
      <c r="K340" s="25">
        <v>41163</v>
      </c>
      <c r="M340" s="56">
        <v>41166</v>
      </c>
      <c r="N340" s="29" t="s">
        <v>876</v>
      </c>
      <c r="O340" s="28" t="s">
        <v>944</v>
      </c>
      <c r="P340" s="32">
        <v>37976.959999999999</v>
      </c>
      <c r="Q340" s="56">
        <v>41180</v>
      </c>
    </row>
    <row r="341" spans="1:33" ht="12" customHeight="1">
      <c r="A341" s="25">
        <v>41163</v>
      </c>
      <c r="B341" s="225" t="s">
        <v>1985</v>
      </c>
      <c r="C341" s="219" t="s">
        <v>162</v>
      </c>
      <c r="D341" s="225" t="s">
        <v>825</v>
      </c>
      <c r="E341" s="65" t="s">
        <v>867</v>
      </c>
      <c r="F341" s="119">
        <v>600</v>
      </c>
      <c r="G341" s="305" t="s">
        <v>171</v>
      </c>
      <c r="H341" s="31">
        <v>5</v>
      </c>
      <c r="I341" s="27">
        <f t="shared" si="11"/>
        <v>3000</v>
      </c>
      <c r="J341" s="28" t="s">
        <v>868</v>
      </c>
      <c r="K341" s="25">
        <v>41163</v>
      </c>
      <c r="M341" s="56">
        <v>41164</v>
      </c>
      <c r="N341" s="29" t="s">
        <v>688</v>
      </c>
      <c r="O341" s="96" t="s">
        <v>1036</v>
      </c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  <c r="AF341" s="72"/>
      <c r="AG341" s="72"/>
    </row>
    <row r="342" spans="1:33" ht="12" customHeight="1">
      <c r="A342" s="25">
        <v>41164</v>
      </c>
      <c r="B342" s="225" t="s">
        <v>1979</v>
      </c>
      <c r="C342" s="219" t="s">
        <v>162</v>
      </c>
      <c r="D342" s="1" t="s">
        <v>1210</v>
      </c>
      <c r="E342" s="196">
        <v>3200</v>
      </c>
      <c r="F342" s="131">
        <v>40</v>
      </c>
      <c r="G342" s="71" t="s">
        <v>863</v>
      </c>
      <c r="H342" s="31">
        <v>26</v>
      </c>
      <c r="I342" s="27">
        <f t="shared" si="11"/>
        <v>1040</v>
      </c>
      <c r="J342" s="28" t="s">
        <v>864</v>
      </c>
      <c r="K342" s="25">
        <v>41164</v>
      </c>
      <c r="M342" s="56">
        <v>41193</v>
      </c>
      <c r="N342" s="29" t="s">
        <v>977</v>
      </c>
      <c r="O342" s="28" t="s">
        <v>1377</v>
      </c>
      <c r="P342" s="32">
        <v>16292.64</v>
      </c>
      <c r="Q342" s="56">
        <v>41241</v>
      </c>
    </row>
    <row r="343" spans="1:33" ht="12" customHeight="1">
      <c r="A343" s="25">
        <v>41164</v>
      </c>
      <c r="B343" s="225" t="s">
        <v>1979</v>
      </c>
      <c r="C343" s="219" t="s">
        <v>162</v>
      </c>
      <c r="D343" s="225" t="s">
        <v>353</v>
      </c>
      <c r="E343" s="196" t="s">
        <v>926</v>
      </c>
      <c r="F343" s="131">
        <v>10</v>
      </c>
      <c r="G343" s="71" t="s">
        <v>863</v>
      </c>
      <c r="H343" s="31">
        <v>12.55</v>
      </c>
      <c r="I343" s="27">
        <f t="shared" si="11"/>
        <v>125.5</v>
      </c>
      <c r="J343" s="28" t="s">
        <v>864</v>
      </c>
      <c r="K343" s="25">
        <v>41164</v>
      </c>
      <c r="M343" s="56">
        <v>41193</v>
      </c>
      <c r="N343" s="29" t="s">
        <v>977</v>
      </c>
      <c r="O343" s="28" t="s">
        <v>1377</v>
      </c>
      <c r="P343" s="32">
        <v>16292.64</v>
      </c>
      <c r="Q343" s="56">
        <v>41241</v>
      </c>
    </row>
    <row r="344" spans="1:33" ht="12" customHeight="1">
      <c r="A344" s="25">
        <v>41165</v>
      </c>
      <c r="B344" s="225" t="s">
        <v>1980</v>
      </c>
      <c r="C344" s="219" t="s">
        <v>162</v>
      </c>
      <c r="D344" s="225" t="s">
        <v>1870</v>
      </c>
      <c r="E344" s="196">
        <v>8210</v>
      </c>
      <c r="F344" s="119">
        <v>6560</v>
      </c>
      <c r="G344" s="73" t="s">
        <v>869</v>
      </c>
      <c r="H344" s="31">
        <v>3.63</v>
      </c>
      <c r="I344" s="27">
        <f t="shared" si="11"/>
        <v>23812.799999999999</v>
      </c>
      <c r="J344" s="28" t="s">
        <v>870</v>
      </c>
      <c r="K344" s="25">
        <v>41165</v>
      </c>
      <c r="M344" s="56">
        <v>41164</v>
      </c>
      <c r="N344" s="29" t="s">
        <v>166</v>
      </c>
      <c r="O344" s="28" t="s">
        <v>871</v>
      </c>
      <c r="P344" s="32">
        <v>23812.799999999999</v>
      </c>
      <c r="Q344" s="56">
        <v>41165</v>
      </c>
    </row>
    <row r="345" spans="1:33" ht="12" customHeight="1">
      <c r="A345" s="25">
        <v>41165</v>
      </c>
      <c r="B345" s="225" t="s">
        <v>1975</v>
      </c>
      <c r="C345" s="220" t="s">
        <v>7</v>
      </c>
      <c r="D345" s="303" t="s">
        <v>5011</v>
      </c>
      <c r="E345" s="28" t="s">
        <v>872</v>
      </c>
      <c r="F345" s="119">
        <v>25</v>
      </c>
      <c r="G345" s="190" t="s">
        <v>827</v>
      </c>
      <c r="H345" s="31">
        <v>9.8000000000000007</v>
      </c>
      <c r="I345" s="27">
        <f t="shared" si="11"/>
        <v>245.00000000000003</v>
      </c>
      <c r="J345" s="28" t="s">
        <v>873</v>
      </c>
      <c r="K345" s="25">
        <v>41165</v>
      </c>
      <c r="M345" s="56">
        <v>41166</v>
      </c>
      <c r="N345" s="29" t="s">
        <v>876</v>
      </c>
      <c r="O345" s="28" t="s">
        <v>944</v>
      </c>
      <c r="P345" s="32">
        <v>37976.959999999999</v>
      </c>
      <c r="Q345" s="56">
        <v>41180</v>
      </c>
    </row>
    <row r="346" spans="1:33" ht="12" customHeight="1">
      <c r="A346" s="25">
        <v>41166</v>
      </c>
      <c r="B346" s="225" t="s">
        <v>1975</v>
      </c>
      <c r="C346" s="219" t="s">
        <v>162</v>
      </c>
      <c r="D346" s="1" t="s">
        <v>1213</v>
      </c>
      <c r="E346" s="28" t="s">
        <v>877</v>
      </c>
      <c r="F346" s="119">
        <v>50</v>
      </c>
      <c r="G346" s="74" t="s">
        <v>878</v>
      </c>
      <c r="H346" s="31">
        <v>13</v>
      </c>
      <c r="I346" s="27">
        <f t="shared" si="11"/>
        <v>650</v>
      </c>
      <c r="J346" s="28" t="s">
        <v>879</v>
      </c>
      <c r="K346" s="25">
        <v>41166</v>
      </c>
      <c r="M346" s="56">
        <v>41180</v>
      </c>
      <c r="N346" s="29" t="s">
        <v>943</v>
      </c>
      <c r="O346" s="28" t="s">
        <v>944</v>
      </c>
      <c r="P346" s="32">
        <v>37976.959999999999</v>
      </c>
      <c r="Q346" s="56">
        <v>41180</v>
      </c>
    </row>
    <row r="347" spans="1:33" ht="12" customHeight="1">
      <c r="A347" s="25">
        <v>41166</v>
      </c>
      <c r="B347" s="225" t="s">
        <v>253</v>
      </c>
      <c r="C347" s="219" t="s">
        <v>162</v>
      </c>
      <c r="D347" s="225" t="s">
        <v>9</v>
      </c>
      <c r="E347" s="196">
        <v>2096</v>
      </c>
      <c r="F347" s="119">
        <v>34</v>
      </c>
      <c r="G347" s="190" t="s">
        <v>689</v>
      </c>
      <c r="H347" s="31">
        <v>13</v>
      </c>
      <c r="I347" s="27">
        <f t="shared" si="11"/>
        <v>442</v>
      </c>
      <c r="J347" s="28" t="s">
        <v>880</v>
      </c>
      <c r="K347" s="25">
        <v>41166</v>
      </c>
      <c r="M347" s="56">
        <v>41166</v>
      </c>
      <c r="N347" s="29" t="s">
        <v>876</v>
      </c>
      <c r="O347" s="28" t="s">
        <v>1079</v>
      </c>
      <c r="P347" s="32">
        <v>13346</v>
      </c>
      <c r="Q347" s="56">
        <v>41211</v>
      </c>
    </row>
    <row r="348" spans="1:33" ht="12" customHeight="1">
      <c r="A348" s="25">
        <v>41166</v>
      </c>
      <c r="B348" s="225" t="s">
        <v>1980</v>
      </c>
      <c r="C348" s="219" t="s">
        <v>164</v>
      </c>
      <c r="D348" s="5" t="s">
        <v>1221</v>
      </c>
      <c r="E348" s="196" t="s">
        <v>146</v>
      </c>
      <c r="F348" s="119">
        <v>30</v>
      </c>
      <c r="G348" s="75" t="s">
        <v>881</v>
      </c>
      <c r="H348" s="31">
        <v>36</v>
      </c>
      <c r="I348" s="27">
        <f t="shared" si="11"/>
        <v>1080</v>
      </c>
      <c r="J348" s="28" t="s">
        <v>882</v>
      </c>
      <c r="K348" s="25">
        <v>41166</v>
      </c>
      <c r="M348" s="56">
        <v>41169</v>
      </c>
      <c r="N348" s="29" t="s">
        <v>166</v>
      </c>
      <c r="O348" s="28" t="s">
        <v>899</v>
      </c>
      <c r="P348" s="32">
        <v>4172</v>
      </c>
      <c r="Q348" s="56">
        <v>41169</v>
      </c>
    </row>
    <row r="349" spans="1:33" ht="12" customHeight="1">
      <c r="A349" s="25">
        <v>41166</v>
      </c>
      <c r="B349" s="225" t="s">
        <v>895</v>
      </c>
      <c r="C349" s="219" t="s">
        <v>162</v>
      </c>
      <c r="D349" s="225" t="s">
        <v>1901</v>
      </c>
      <c r="E349" s="196" t="s">
        <v>896</v>
      </c>
      <c r="F349" s="119">
        <v>2</v>
      </c>
      <c r="G349" s="76" t="s">
        <v>894</v>
      </c>
      <c r="H349" s="31">
        <v>938</v>
      </c>
      <c r="I349" s="27">
        <f t="shared" si="11"/>
        <v>1876</v>
      </c>
      <c r="J349" s="28" t="s">
        <v>893</v>
      </c>
      <c r="K349" s="25">
        <v>41169</v>
      </c>
      <c r="M349" s="56">
        <v>41166</v>
      </c>
      <c r="N349" s="29" t="s">
        <v>166</v>
      </c>
      <c r="O349" s="28" t="s">
        <v>897</v>
      </c>
      <c r="P349" s="32">
        <v>1876</v>
      </c>
      <c r="Q349" s="56">
        <v>41169</v>
      </c>
    </row>
    <row r="350" spans="1:33" ht="12" customHeight="1">
      <c r="A350" s="25">
        <v>41169</v>
      </c>
      <c r="B350" s="225" t="s">
        <v>1980</v>
      </c>
      <c r="C350" s="219" t="s">
        <v>162</v>
      </c>
      <c r="D350" s="225" t="s">
        <v>263</v>
      </c>
      <c r="E350" s="196" t="s">
        <v>898</v>
      </c>
      <c r="F350" s="119">
        <v>100</v>
      </c>
      <c r="G350" s="76" t="s">
        <v>892</v>
      </c>
      <c r="H350" s="31">
        <v>1.88</v>
      </c>
      <c r="I350" s="27">
        <f t="shared" si="11"/>
        <v>188</v>
      </c>
      <c r="J350" s="28" t="s">
        <v>893</v>
      </c>
      <c r="K350" s="25">
        <v>41169</v>
      </c>
      <c r="M350" s="56">
        <v>41169</v>
      </c>
      <c r="N350" s="29" t="s">
        <v>166</v>
      </c>
      <c r="O350" s="28" t="s">
        <v>899</v>
      </c>
      <c r="P350" s="32">
        <v>4172</v>
      </c>
      <c r="Q350" s="56">
        <v>41169</v>
      </c>
    </row>
    <row r="351" spans="1:33" ht="12" customHeight="1">
      <c r="A351" s="25">
        <v>41169</v>
      </c>
      <c r="B351" s="225" t="s">
        <v>1980</v>
      </c>
      <c r="C351" s="219" t="s">
        <v>162</v>
      </c>
      <c r="D351" s="225" t="s">
        <v>1870</v>
      </c>
      <c r="E351" s="196">
        <v>8210</v>
      </c>
      <c r="F351" s="119">
        <v>800</v>
      </c>
      <c r="G351" s="76" t="s">
        <v>892</v>
      </c>
      <c r="H351" s="31">
        <v>3.63</v>
      </c>
      <c r="I351" s="27">
        <f t="shared" si="11"/>
        <v>2904</v>
      </c>
      <c r="J351" s="28" t="s">
        <v>893</v>
      </c>
      <c r="K351" s="25">
        <v>41169</v>
      </c>
      <c r="M351" s="56">
        <v>41169</v>
      </c>
      <c r="N351" s="29" t="s">
        <v>166</v>
      </c>
      <c r="O351" s="28" t="s">
        <v>899</v>
      </c>
      <c r="P351" s="32">
        <v>4172</v>
      </c>
      <c r="Q351" s="56">
        <v>41169</v>
      </c>
    </row>
    <row r="352" spans="1:33" ht="12" customHeight="1">
      <c r="A352" s="25">
        <v>41171</v>
      </c>
      <c r="B352" s="225" t="s">
        <v>1975</v>
      </c>
      <c r="C352" s="219" t="s">
        <v>162</v>
      </c>
      <c r="D352" s="1" t="s">
        <v>1219</v>
      </c>
      <c r="E352" s="28" t="s">
        <v>910</v>
      </c>
      <c r="F352" s="119">
        <v>12</v>
      </c>
      <c r="G352" s="78" t="s">
        <v>908</v>
      </c>
      <c r="H352" s="31">
        <v>3.86</v>
      </c>
      <c r="I352" s="27">
        <f t="shared" si="11"/>
        <v>46.32</v>
      </c>
      <c r="J352" s="28" t="s">
        <v>912</v>
      </c>
      <c r="K352" s="25">
        <v>41170</v>
      </c>
      <c r="M352" s="56">
        <v>41179</v>
      </c>
      <c r="N352" s="29" t="s">
        <v>165</v>
      </c>
      <c r="O352" s="28" t="s">
        <v>175</v>
      </c>
    </row>
    <row r="353" spans="1:33" ht="12" customHeight="1">
      <c r="A353" s="25">
        <v>41171</v>
      </c>
      <c r="B353" s="225" t="s">
        <v>1975</v>
      </c>
      <c r="C353" s="219" t="s">
        <v>162</v>
      </c>
      <c r="D353" s="1" t="s">
        <v>1213</v>
      </c>
      <c r="E353" s="28" t="s">
        <v>911</v>
      </c>
      <c r="F353" s="119">
        <v>10</v>
      </c>
      <c r="G353" s="78" t="s">
        <v>909</v>
      </c>
      <c r="H353" s="31">
        <v>13</v>
      </c>
      <c r="I353" s="27">
        <f t="shared" si="11"/>
        <v>130</v>
      </c>
      <c r="J353" s="28" t="s">
        <v>912</v>
      </c>
      <c r="K353" s="25">
        <v>41170</v>
      </c>
      <c r="M353" s="56">
        <v>41180</v>
      </c>
      <c r="N353" s="29" t="s">
        <v>943</v>
      </c>
      <c r="O353" s="28" t="s">
        <v>944</v>
      </c>
      <c r="P353" s="32">
        <v>37976.959999999999</v>
      </c>
      <c r="Q353" s="56">
        <v>41180</v>
      </c>
    </row>
    <row r="354" spans="1:33" ht="12" customHeight="1">
      <c r="A354" s="25">
        <v>41171</v>
      </c>
      <c r="B354" s="225" t="s">
        <v>1975</v>
      </c>
      <c r="C354" s="219" t="s">
        <v>162</v>
      </c>
      <c r="D354" s="1" t="s">
        <v>1219</v>
      </c>
      <c r="E354" s="28" t="s">
        <v>910</v>
      </c>
      <c r="F354" s="119">
        <v>19</v>
      </c>
      <c r="G354" s="78" t="s">
        <v>908</v>
      </c>
      <c r="H354" s="31">
        <v>3.86</v>
      </c>
      <c r="I354" s="27">
        <f t="shared" si="11"/>
        <v>73.34</v>
      </c>
      <c r="J354" s="28" t="s">
        <v>913</v>
      </c>
      <c r="K354" s="25">
        <v>41170</v>
      </c>
      <c r="M354" s="56">
        <v>41179</v>
      </c>
      <c r="N354" s="29" t="s">
        <v>165</v>
      </c>
      <c r="O354" s="28" t="s">
        <v>175</v>
      </c>
    </row>
    <row r="355" spans="1:33" ht="12" customHeight="1">
      <c r="A355" s="25">
        <v>41172</v>
      </c>
      <c r="B355" s="225" t="s">
        <v>1975</v>
      </c>
      <c r="C355" s="219" t="s">
        <v>162</v>
      </c>
      <c r="D355" s="225" t="s">
        <v>1902</v>
      </c>
      <c r="E355" s="28">
        <v>1270</v>
      </c>
      <c r="F355" s="119">
        <v>100</v>
      </c>
      <c r="G355" s="190" t="s">
        <v>239</v>
      </c>
      <c r="H355" s="31">
        <v>4.1399999999999997</v>
      </c>
      <c r="I355" s="27">
        <f t="shared" si="11"/>
        <v>413.99999999999994</v>
      </c>
      <c r="J355" s="28" t="s">
        <v>915</v>
      </c>
      <c r="K355" s="25">
        <v>41172</v>
      </c>
      <c r="M355" s="56">
        <v>41179</v>
      </c>
      <c r="N355" s="29" t="s">
        <v>165</v>
      </c>
      <c r="O355" s="28" t="s">
        <v>175</v>
      </c>
    </row>
    <row r="356" spans="1:33" ht="12" customHeight="1">
      <c r="A356" s="25">
        <v>41172</v>
      </c>
      <c r="B356" s="225" t="s">
        <v>253</v>
      </c>
      <c r="C356" s="219" t="s">
        <v>162</v>
      </c>
      <c r="D356" s="342" t="s">
        <v>240</v>
      </c>
      <c r="E356" s="196">
        <v>6200</v>
      </c>
      <c r="F356" s="119">
        <v>30</v>
      </c>
      <c r="G356" s="79" t="s">
        <v>917</v>
      </c>
      <c r="H356" s="31">
        <v>42.82</v>
      </c>
      <c r="I356" s="27">
        <f t="shared" si="11"/>
        <v>1284.5999999999999</v>
      </c>
      <c r="J356" s="28" t="s">
        <v>918</v>
      </c>
      <c r="K356" s="25">
        <v>41172</v>
      </c>
      <c r="M356" s="56">
        <v>41172</v>
      </c>
      <c r="N356" s="29" t="s">
        <v>169</v>
      </c>
      <c r="O356" s="28" t="s">
        <v>1079</v>
      </c>
      <c r="P356" s="32">
        <v>13346</v>
      </c>
      <c r="Q356" s="56">
        <v>41211</v>
      </c>
    </row>
    <row r="357" spans="1:33" ht="12" customHeight="1">
      <c r="A357" s="25">
        <v>41173</v>
      </c>
      <c r="B357" s="225" t="s">
        <v>1975</v>
      </c>
      <c r="C357" s="219" t="s">
        <v>162</v>
      </c>
      <c r="D357" s="1" t="s">
        <v>1210</v>
      </c>
      <c r="E357" s="28">
        <v>3200</v>
      </c>
      <c r="F357" s="121">
        <v>1000</v>
      </c>
      <c r="G357" s="83" t="s">
        <v>919</v>
      </c>
      <c r="H357" s="31">
        <v>23.94</v>
      </c>
      <c r="I357" s="27">
        <f t="shared" si="11"/>
        <v>23940</v>
      </c>
      <c r="J357" s="28" t="s">
        <v>922</v>
      </c>
      <c r="K357" s="25">
        <v>41173</v>
      </c>
      <c r="M357" s="56">
        <v>41173</v>
      </c>
      <c r="N357" s="29" t="s">
        <v>935</v>
      </c>
      <c r="O357" s="28" t="s">
        <v>944</v>
      </c>
      <c r="P357" s="32">
        <v>37976.959999999999</v>
      </c>
      <c r="Q357" s="56">
        <v>41180</v>
      </c>
    </row>
    <row r="358" spans="1:33" ht="12" customHeight="1">
      <c r="A358" s="25">
        <v>41173</v>
      </c>
      <c r="B358" s="225" t="s">
        <v>1975</v>
      </c>
      <c r="C358" s="219" t="s">
        <v>162</v>
      </c>
      <c r="D358" s="225" t="s">
        <v>346</v>
      </c>
      <c r="E358" s="28">
        <v>3700</v>
      </c>
      <c r="F358" s="119">
        <v>1000</v>
      </c>
      <c r="G358" s="83" t="s">
        <v>919</v>
      </c>
      <c r="H358" s="31">
        <v>3.09</v>
      </c>
      <c r="I358" s="27">
        <f t="shared" si="11"/>
        <v>3090</v>
      </c>
      <c r="J358" s="28" t="s">
        <v>922</v>
      </c>
      <c r="K358" s="25">
        <v>41173</v>
      </c>
      <c r="M358" s="56">
        <v>41173</v>
      </c>
      <c r="N358" s="29" t="s">
        <v>935</v>
      </c>
      <c r="O358" s="28" t="s">
        <v>944</v>
      </c>
      <c r="P358" s="32">
        <v>37976.959999999999</v>
      </c>
      <c r="Q358" s="56">
        <v>41180</v>
      </c>
    </row>
    <row r="359" spans="1:33" ht="12" customHeight="1">
      <c r="A359" s="25">
        <v>41173</v>
      </c>
      <c r="B359" s="225" t="s">
        <v>1975</v>
      </c>
      <c r="C359" s="219" t="s">
        <v>162</v>
      </c>
      <c r="D359" s="225" t="s">
        <v>232</v>
      </c>
      <c r="E359" s="28" t="s">
        <v>921</v>
      </c>
      <c r="F359" s="205">
        <v>1000</v>
      </c>
      <c r="G359" s="83" t="s">
        <v>920</v>
      </c>
      <c r="H359" s="31">
        <v>1.54</v>
      </c>
      <c r="I359" s="27">
        <f t="shared" si="11"/>
        <v>1540</v>
      </c>
      <c r="J359" s="28" t="s">
        <v>922</v>
      </c>
      <c r="K359" s="25">
        <v>41173</v>
      </c>
      <c r="M359" s="56">
        <v>41173</v>
      </c>
      <c r="N359" s="29" t="s">
        <v>935</v>
      </c>
      <c r="O359" s="28" t="s">
        <v>944</v>
      </c>
      <c r="P359" s="32">
        <v>37976.959999999999</v>
      </c>
      <c r="Q359" s="56">
        <v>41180</v>
      </c>
    </row>
    <row r="360" spans="1:33" ht="12" customHeight="1">
      <c r="A360" s="25">
        <v>41176</v>
      </c>
      <c r="B360" s="225" t="s">
        <v>1977</v>
      </c>
      <c r="C360" s="219" t="s">
        <v>162</v>
      </c>
      <c r="D360" s="225" t="s">
        <v>353</v>
      </c>
      <c r="E360" s="196" t="s">
        <v>924</v>
      </c>
      <c r="F360" s="119">
        <v>120</v>
      </c>
      <c r="G360" s="84" t="s">
        <v>923</v>
      </c>
      <c r="H360" s="31">
        <v>17.5</v>
      </c>
      <c r="I360" s="27">
        <f t="shared" si="11"/>
        <v>2100</v>
      </c>
      <c r="J360" s="28" t="s">
        <v>925</v>
      </c>
      <c r="K360" s="25">
        <v>41176</v>
      </c>
      <c r="M360" s="56">
        <v>41178</v>
      </c>
      <c r="N360" s="29" t="s">
        <v>992</v>
      </c>
      <c r="O360" s="28" t="s">
        <v>1079</v>
      </c>
      <c r="P360" s="32">
        <v>13346</v>
      </c>
      <c r="Q360" s="56">
        <v>41211</v>
      </c>
    </row>
    <row r="361" spans="1:33" ht="12" customHeight="1">
      <c r="A361" s="25">
        <v>41176</v>
      </c>
      <c r="B361" s="225" t="s">
        <v>1975</v>
      </c>
      <c r="C361" s="219" t="s">
        <v>162</v>
      </c>
      <c r="D361" s="1" t="s">
        <v>1210</v>
      </c>
      <c r="E361" s="28">
        <v>3200</v>
      </c>
      <c r="F361" s="119">
        <v>30</v>
      </c>
      <c r="G361" s="86" t="s">
        <v>933</v>
      </c>
      <c r="H361" s="31">
        <v>23.94</v>
      </c>
      <c r="I361" s="27">
        <f t="shared" ref="I361:I392" si="12">H361*F361</f>
        <v>718.2</v>
      </c>
      <c r="J361" s="28" t="s">
        <v>936</v>
      </c>
      <c r="K361" s="25">
        <v>41176</v>
      </c>
      <c r="M361" s="56">
        <v>41180</v>
      </c>
      <c r="N361" s="29" t="s">
        <v>943</v>
      </c>
      <c r="O361" s="28" t="s">
        <v>944</v>
      </c>
      <c r="P361" s="32">
        <v>37976.959999999999</v>
      </c>
      <c r="Q361" s="56">
        <v>41180</v>
      </c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86"/>
      <c r="AD361" s="86"/>
      <c r="AE361" s="86"/>
      <c r="AF361" s="86"/>
      <c r="AG361" s="86"/>
    </row>
    <row r="362" spans="1:33" ht="12" customHeight="1">
      <c r="A362" s="25">
        <v>41178</v>
      </c>
      <c r="B362" s="225" t="s">
        <v>1975</v>
      </c>
      <c r="C362" s="219" t="s">
        <v>162</v>
      </c>
      <c r="D362" s="225" t="s">
        <v>353</v>
      </c>
      <c r="E362" s="28" t="s">
        <v>928</v>
      </c>
      <c r="F362" s="119">
        <v>60</v>
      </c>
      <c r="G362" s="85" t="s">
        <v>929</v>
      </c>
      <c r="H362" s="31">
        <v>10.94</v>
      </c>
      <c r="I362" s="27">
        <f t="shared" si="12"/>
        <v>656.4</v>
      </c>
      <c r="J362" s="28" t="s">
        <v>930</v>
      </c>
      <c r="K362" s="25">
        <v>41178</v>
      </c>
      <c r="M362" s="56">
        <v>41180</v>
      </c>
      <c r="N362" s="29" t="s">
        <v>943</v>
      </c>
      <c r="O362" s="28" t="s">
        <v>944</v>
      </c>
      <c r="P362" s="32">
        <v>37976.959999999999</v>
      </c>
      <c r="Q362" s="56">
        <v>41180</v>
      </c>
    </row>
    <row r="363" spans="1:33" ht="12" customHeight="1">
      <c r="A363" s="25">
        <v>41178</v>
      </c>
      <c r="B363" s="225" t="s">
        <v>1975</v>
      </c>
      <c r="C363" s="219" t="s">
        <v>162</v>
      </c>
      <c r="D363" s="225" t="s">
        <v>268</v>
      </c>
      <c r="E363" s="28" t="s">
        <v>927</v>
      </c>
      <c r="F363" s="119">
        <v>500</v>
      </c>
      <c r="G363" s="118" t="s">
        <v>231</v>
      </c>
      <c r="H363" s="31">
        <v>1.17</v>
      </c>
      <c r="I363" s="27">
        <f t="shared" si="12"/>
        <v>585</v>
      </c>
      <c r="J363" s="28" t="s">
        <v>930</v>
      </c>
      <c r="K363" s="25">
        <v>41178</v>
      </c>
      <c r="M363" s="56">
        <v>41180</v>
      </c>
      <c r="N363" s="29" t="s">
        <v>943</v>
      </c>
      <c r="O363" s="28" t="s">
        <v>944</v>
      </c>
      <c r="P363" s="32">
        <v>37976.959999999999</v>
      </c>
      <c r="Q363" s="56">
        <v>41180</v>
      </c>
    </row>
    <row r="364" spans="1:33" ht="12" customHeight="1">
      <c r="A364" s="25">
        <v>41178</v>
      </c>
      <c r="B364" s="225" t="s">
        <v>1975</v>
      </c>
      <c r="C364" s="219" t="s">
        <v>162</v>
      </c>
      <c r="D364" s="225" t="s">
        <v>287</v>
      </c>
      <c r="E364" s="28">
        <v>10434</v>
      </c>
      <c r="F364" s="119">
        <v>150</v>
      </c>
      <c r="G364" s="106" t="s">
        <v>90</v>
      </c>
      <c r="H364" s="31">
        <v>14.88</v>
      </c>
      <c r="I364" s="27">
        <f t="shared" si="12"/>
        <v>2232</v>
      </c>
      <c r="J364" s="28" t="s">
        <v>930</v>
      </c>
      <c r="K364" s="25">
        <v>41178</v>
      </c>
      <c r="M364" s="56">
        <v>41180</v>
      </c>
      <c r="N364" s="29" t="s">
        <v>943</v>
      </c>
      <c r="O364" s="28" t="s">
        <v>944</v>
      </c>
      <c r="P364" s="32">
        <v>37976.959999999999</v>
      </c>
      <c r="Q364" s="56">
        <v>41180</v>
      </c>
    </row>
    <row r="365" spans="1:33" s="100" customFormat="1" ht="12" customHeight="1">
      <c r="A365" s="94">
        <v>41178</v>
      </c>
      <c r="B365" s="95" t="s">
        <v>1986</v>
      </c>
      <c r="C365" s="221" t="s">
        <v>931</v>
      </c>
      <c r="D365" s="225" t="s">
        <v>981</v>
      </c>
      <c r="E365" s="95">
        <v>205515</v>
      </c>
      <c r="F365" s="95">
        <v>6</v>
      </c>
      <c r="G365" s="190" t="s">
        <v>827</v>
      </c>
      <c r="H365" s="101">
        <v>14.52</v>
      </c>
      <c r="I365" s="102">
        <f t="shared" si="12"/>
        <v>87.12</v>
      </c>
      <c r="J365" s="96" t="s">
        <v>167</v>
      </c>
      <c r="K365" s="94">
        <v>41178</v>
      </c>
      <c r="L365" s="412"/>
      <c r="M365" s="97">
        <v>41178</v>
      </c>
      <c r="N365" s="98" t="s">
        <v>166</v>
      </c>
      <c r="O365" s="96"/>
      <c r="P365" s="99"/>
      <c r="Q365" s="97"/>
      <c r="R365" s="95"/>
      <c r="S365" s="95"/>
      <c r="T365" s="95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</row>
    <row r="366" spans="1:33" ht="12" customHeight="1">
      <c r="A366" s="25">
        <v>41179</v>
      </c>
      <c r="B366" s="225" t="s">
        <v>1975</v>
      </c>
      <c r="C366" s="219" t="s">
        <v>162</v>
      </c>
      <c r="D366" s="225" t="s">
        <v>287</v>
      </c>
      <c r="E366" s="28">
        <v>10434</v>
      </c>
      <c r="F366" s="119">
        <v>10</v>
      </c>
      <c r="G366" s="106" t="s">
        <v>90</v>
      </c>
      <c r="H366" s="31">
        <v>14.88</v>
      </c>
      <c r="I366" s="27">
        <f t="shared" si="12"/>
        <v>148.80000000000001</v>
      </c>
      <c r="J366" s="28" t="s">
        <v>932</v>
      </c>
      <c r="K366" s="25">
        <v>41179</v>
      </c>
      <c r="M366" s="56">
        <v>41180</v>
      </c>
      <c r="N366" s="29" t="s">
        <v>943</v>
      </c>
      <c r="O366" s="28" t="s">
        <v>944</v>
      </c>
      <c r="P366" s="32">
        <v>37976.959999999999</v>
      </c>
      <c r="Q366" s="56">
        <v>41180</v>
      </c>
    </row>
    <row r="367" spans="1:33" ht="12" customHeight="1">
      <c r="A367" s="25">
        <v>41179</v>
      </c>
      <c r="B367" s="225" t="s">
        <v>1987</v>
      </c>
      <c r="C367" s="219" t="s">
        <v>162</v>
      </c>
      <c r="D367" s="225" t="s">
        <v>1901</v>
      </c>
      <c r="E367" s="196" t="s">
        <v>982</v>
      </c>
      <c r="F367" s="119">
        <v>10</v>
      </c>
      <c r="G367" s="93" t="s">
        <v>170</v>
      </c>
      <c r="H367" s="31">
        <v>938</v>
      </c>
      <c r="I367" s="27">
        <f t="shared" si="12"/>
        <v>9380</v>
      </c>
      <c r="J367" s="28" t="s">
        <v>934</v>
      </c>
      <c r="K367" s="25">
        <v>41179</v>
      </c>
      <c r="M367" s="56">
        <v>41178</v>
      </c>
      <c r="N367" s="65" t="s">
        <v>166</v>
      </c>
      <c r="O367" s="28" t="s">
        <v>1000</v>
      </c>
      <c r="P367" s="32">
        <v>9380</v>
      </c>
      <c r="Q367" s="56">
        <v>41198</v>
      </c>
    </row>
    <row r="368" spans="1:33" ht="12" customHeight="1">
      <c r="A368" s="25">
        <v>41179</v>
      </c>
      <c r="B368" s="225" t="s">
        <v>1980</v>
      </c>
      <c r="C368" s="219" t="s">
        <v>162</v>
      </c>
      <c r="D368" s="5" t="s">
        <v>2012</v>
      </c>
      <c r="E368" s="196" t="s">
        <v>180</v>
      </c>
      <c r="F368" s="119">
        <v>5000</v>
      </c>
      <c r="G368" s="198" t="s">
        <v>229</v>
      </c>
      <c r="H368" s="31">
        <v>1.1623931620000001</v>
      </c>
      <c r="I368" s="27">
        <f t="shared" si="12"/>
        <v>5811.9658100000006</v>
      </c>
      <c r="J368" s="28" t="s">
        <v>937</v>
      </c>
      <c r="K368" s="25">
        <v>41179</v>
      </c>
      <c r="M368" s="56">
        <v>41179</v>
      </c>
      <c r="N368" s="29" t="s">
        <v>935</v>
      </c>
      <c r="O368" s="28" t="s">
        <v>175</v>
      </c>
    </row>
    <row r="369" spans="1:33" ht="12" customHeight="1">
      <c r="A369" s="25">
        <v>41179</v>
      </c>
      <c r="B369" s="225" t="s">
        <v>1980</v>
      </c>
      <c r="C369" s="219" t="s">
        <v>162</v>
      </c>
      <c r="D369" s="225" t="s">
        <v>983</v>
      </c>
      <c r="E369" s="196">
        <v>6800</v>
      </c>
      <c r="F369" s="119">
        <v>10</v>
      </c>
      <c r="G369" s="93" t="s">
        <v>170</v>
      </c>
      <c r="H369" s="31">
        <v>420</v>
      </c>
      <c r="I369" s="27">
        <f t="shared" si="12"/>
        <v>4200</v>
      </c>
      <c r="J369" s="28" t="s">
        <v>937</v>
      </c>
      <c r="K369" s="25">
        <v>41179</v>
      </c>
      <c r="M369" s="56">
        <v>41179</v>
      </c>
      <c r="N369" s="29" t="s">
        <v>940</v>
      </c>
      <c r="O369" s="28" t="s">
        <v>938</v>
      </c>
      <c r="P369" s="32">
        <v>4200</v>
      </c>
      <c r="Q369" s="87">
        <v>41179</v>
      </c>
    </row>
    <row r="370" spans="1:33" ht="12" customHeight="1">
      <c r="A370" s="25">
        <v>41180</v>
      </c>
      <c r="B370" s="225" t="s">
        <v>1975</v>
      </c>
      <c r="C370" s="219" t="s">
        <v>162</v>
      </c>
      <c r="D370" s="225" t="s">
        <v>307</v>
      </c>
      <c r="E370" s="28">
        <v>1110</v>
      </c>
      <c r="F370" s="119">
        <v>200</v>
      </c>
      <c r="G370" s="93" t="s">
        <v>172</v>
      </c>
      <c r="H370" s="31">
        <v>0.77</v>
      </c>
      <c r="I370" s="27">
        <f t="shared" si="12"/>
        <v>154</v>
      </c>
      <c r="J370" s="28" t="s">
        <v>941</v>
      </c>
      <c r="K370" s="25">
        <v>41180</v>
      </c>
      <c r="M370" s="56">
        <v>41207</v>
      </c>
      <c r="N370" s="29" t="s">
        <v>1047</v>
      </c>
      <c r="O370" s="28" t="s">
        <v>1057</v>
      </c>
      <c r="P370" s="32">
        <v>17101.12</v>
      </c>
      <c r="Q370" s="56">
        <v>41208</v>
      </c>
    </row>
    <row r="371" spans="1:33" ht="12" customHeight="1">
      <c r="A371" s="25">
        <v>41180</v>
      </c>
      <c r="B371" s="225" t="s">
        <v>1975</v>
      </c>
      <c r="C371" s="219" t="s">
        <v>162</v>
      </c>
      <c r="D371" s="1" t="s">
        <v>1213</v>
      </c>
      <c r="E371" s="28" t="s">
        <v>178</v>
      </c>
      <c r="F371" s="119">
        <v>200</v>
      </c>
      <c r="G371" s="114" t="s">
        <v>1097</v>
      </c>
      <c r="H371" s="31">
        <v>13</v>
      </c>
      <c r="I371" s="27">
        <f t="shared" si="12"/>
        <v>2600</v>
      </c>
      <c r="J371" s="28" t="s">
        <v>942</v>
      </c>
      <c r="K371" s="25">
        <v>41180</v>
      </c>
      <c r="M371" s="56">
        <v>41207</v>
      </c>
      <c r="N371" s="29" t="s">
        <v>1047</v>
      </c>
      <c r="O371" s="28" t="s">
        <v>1057</v>
      </c>
      <c r="P371" s="32">
        <v>17101.12</v>
      </c>
      <c r="Q371" s="56">
        <v>41208</v>
      </c>
    </row>
    <row r="372" spans="1:33" ht="12" customHeight="1">
      <c r="A372" s="25">
        <v>41190</v>
      </c>
      <c r="B372" s="225" t="s">
        <v>1975</v>
      </c>
      <c r="C372" s="219" t="s">
        <v>162</v>
      </c>
      <c r="D372" s="225" t="s">
        <v>1902</v>
      </c>
      <c r="E372" s="28">
        <v>1270</v>
      </c>
      <c r="F372" s="119">
        <v>300</v>
      </c>
      <c r="G372" s="190" t="s">
        <v>239</v>
      </c>
      <c r="H372" s="31">
        <v>4.3099999999999996</v>
      </c>
      <c r="I372" s="27">
        <f t="shared" si="12"/>
        <v>1292.9999999999998</v>
      </c>
      <c r="J372" s="28" t="s">
        <v>946</v>
      </c>
      <c r="K372" s="25">
        <v>41190</v>
      </c>
      <c r="M372" s="56">
        <v>41207</v>
      </c>
      <c r="N372" s="29" t="s">
        <v>1047</v>
      </c>
      <c r="O372" s="28" t="s">
        <v>1057</v>
      </c>
      <c r="P372" s="32">
        <v>17101.12</v>
      </c>
      <c r="Q372" s="56">
        <v>41208</v>
      </c>
    </row>
    <row r="373" spans="1:33" ht="12" customHeight="1">
      <c r="A373" s="25">
        <v>41190</v>
      </c>
      <c r="B373" s="225" t="s">
        <v>1975</v>
      </c>
      <c r="C373" s="219" t="s">
        <v>162</v>
      </c>
      <c r="D373" s="1" t="s">
        <v>1210</v>
      </c>
      <c r="E373" s="28">
        <v>3200</v>
      </c>
      <c r="F373" s="119">
        <v>20</v>
      </c>
      <c r="G373" s="93" t="s">
        <v>170</v>
      </c>
      <c r="H373" s="31">
        <v>23.94</v>
      </c>
      <c r="I373" s="27">
        <f t="shared" si="12"/>
        <v>478.8</v>
      </c>
      <c r="J373" s="28" t="s">
        <v>953</v>
      </c>
      <c r="K373" s="25">
        <v>41190</v>
      </c>
      <c r="M373" s="56">
        <v>41207</v>
      </c>
      <c r="N373" s="29" t="s">
        <v>1047</v>
      </c>
      <c r="O373" s="28" t="s">
        <v>1057</v>
      </c>
      <c r="P373" s="32">
        <v>17101.12</v>
      </c>
      <c r="Q373" s="56">
        <v>41208</v>
      </c>
    </row>
    <row r="374" spans="1:33" ht="12" customHeight="1">
      <c r="A374" s="25">
        <v>41190</v>
      </c>
      <c r="B374" s="225" t="s">
        <v>1975</v>
      </c>
      <c r="C374" s="219" t="s">
        <v>162</v>
      </c>
      <c r="D374" s="225" t="s">
        <v>307</v>
      </c>
      <c r="E374" s="28">
        <v>1110</v>
      </c>
      <c r="F374" s="119">
        <v>105</v>
      </c>
      <c r="G374" s="93" t="s">
        <v>172</v>
      </c>
      <c r="H374" s="31">
        <v>0.77</v>
      </c>
      <c r="I374" s="27">
        <f t="shared" si="12"/>
        <v>80.850000000000009</v>
      </c>
      <c r="J374" s="28" t="s">
        <v>953</v>
      </c>
      <c r="K374" s="25">
        <v>41190</v>
      </c>
      <c r="M374" s="56">
        <v>41207</v>
      </c>
      <c r="N374" s="29" t="s">
        <v>1047</v>
      </c>
      <c r="O374" s="28" t="s">
        <v>1057</v>
      </c>
      <c r="P374" s="32">
        <v>17101.12</v>
      </c>
      <c r="Q374" s="56">
        <v>41208</v>
      </c>
    </row>
    <row r="375" spans="1:33" ht="12" customHeight="1">
      <c r="A375" s="25">
        <v>41191</v>
      </c>
      <c r="B375" s="225" t="s">
        <v>1980</v>
      </c>
      <c r="C375" s="219" t="s">
        <v>162</v>
      </c>
      <c r="D375" s="5" t="s">
        <v>1221</v>
      </c>
      <c r="E375" s="196" t="s">
        <v>146</v>
      </c>
      <c r="F375" s="119">
        <v>10</v>
      </c>
      <c r="G375" s="93" t="s">
        <v>170</v>
      </c>
      <c r="H375" s="31">
        <v>36</v>
      </c>
      <c r="I375" s="27">
        <f t="shared" si="12"/>
        <v>360</v>
      </c>
      <c r="J375" s="28" t="s">
        <v>959</v>
      </c>
      <c r="K375" s="288">
        <v>41191</v>
      </c>
      <c r="L375" s="413"/>
      <c r="M375" s="288">
        <v>41191</v>
      </c>
      <c r="N375" s="289" t="s">
        <v>956</v>
      </c>
      <c r="O375" s="290" t="s">
        <v>964</v>
      </c>
      <c r="P375" s="291">
        <v>1800</v>
      </c>
      <c r="Q375" s="56">
        <v>41191</v>
      </c>
    </row>
    <row r="376" spans="1:33" s="100" customFormat="1" ht="12" customHeight="1">
      <c r="A376" s="94">
        <v>41191</v>
      </c>
      <c r="B376" s="95" t="s">
        <v>1980</v>
      </c>
      <c r="C376" s="220" t="s">
        <v>7</v>
      </c>
      <c r="D376" s="95" t="s">
        <v>5008</v>
      </c>
      <c r="E376" s="95" t="s">
        <v>855</v>
      </c>
      <c r="F376" s="95">
        <v>144</v>
      </c>
      <c r="G376" s="190" t="s">
        <v>827</v>
      </c>
      <c r="H376" s="101">
        <v>10</v>
      </c>
      <c r="I376" s="102">
        <f t="shared" si="12"/>
        <v>1440</v>
      </c>
      <c r="J376" s="96" t="s">
        <v>167</v>
      </c>
      <c r="K376" s="292">
        <v>41191</v>
      </c>
      <c r="L376" s="413"/>
      <c r="M376" s="292">
        <v>41191</v>
      </c>
      <c r="N376" s="293" t="s">
        <v>166</v>
      </c>
      <c r="O376" s="294" t="s">
        <v>964</v>
      </c>
      <c r="P376" s="295">
        <v>1800</v>
      </c>
      <c r="Q376" s="97">
        <v>41191</v>
      </c>
      <c r="R376" s="95"/>
      <c r="S376" s="95"/>
      <c r="T376" s="95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</row>
    <row r="377" spans="1:33" ht="12" customHeight="1">
      <c r="A377" s="25">
        <v>41191</v>
      </c>
      <c r="B377" s="225" t="s">
        <v>1980</v>
      </c>
      <c r="C377" s="219" t="s">
        <v>162</v>
      </c>
      <c r="D377" s="225" t="s">
        <v>307</v>
      </c>
      <c r="E377" s="196">
        <v>1110</v>
      </c>
      <c r="F377" s="119">
        <v>500</v>
      </c>
      <c r="G377" s="93" t="s">
        <v>172</v>
      </c>
      <c r="H377" s="31">
        <v>0.73</v>
      </c>
      <c r="I377" s="27">
        <f t="shared" si="12"/>
        <v>365</v>
      </c>
      <c r="J377" s="28" t="s">
        <v>959</v>
      </c>
      <c r="K377" s="25">
        <v>41191</v>
      </c>
      <c r="M377" s="25">
        <v>41191</v>
      </c>
      <c r="N377" s="29" t="s">
        <v>967</v>
      </c>
      <c r="O377" s="28" t="s">
        <v>960</v>
      </c>
    </row>
    <row r="378" spans="1:33" ht="12" customHeight="1">
      <c r="A378" s="25">
        <v>41191</v>
      </c>
      <c r="B378" s="225" t="s">
        <v>1975</v>
      </c>
      <c r="C378" s="219" t="s">
        <v>162</v>
      </c>
      <c r="D378" s="1" t="s">
        <v>1213</v>
      </c>
      <c r="E378" s="28" t="s">
        <v>178</v>
      </c>
      <c r="F378" s="119">
        <v>20</v>
      </c>
      <c r="G378" s="114" t="s">
        <v>1097</v>
      </c>
      <c r="H378" s="31">
        <v>13</v>
      </c>
      <c r="I378" s="27">
        <f t="shared" si="12"/>
        <v>260</v>
      </c>
      <c r="J378" s="28" t="s">
        <v>963</v>
      </c>
      <c r="K378" s="25">
        <v>41191</v>
      </c>
      <c r="M378" s="56">
        <v>41207</v>
      </c>
      <c r="N378" s="29" t="s">
        <v>1047</v>
      </c>
      <c r="O378" s="28" t="s">
        <v>1057</v>
      </c>
      <c r="P378" s="32">
        <v>17101.12</v>
      </c>
      <c r="Q378" s="56">
        <v>41208</v>
      </c>
    </row>
    <row r="379" spans="1:33" ht="12" customHeight="1">
      <c r="A379" s="25">
        <v>41191</v>
      </c>
      <c r="B379" s="225" t="s">
        <v>1975</v>
      </c>
      <c r="C379" s="219" t="s">
        <v>162</v>
      </c>
      <c r="D379" s="1" t="s">
        <v>1210</v>
      </c>
      <c r="E379" s="28">
        <v>3200</v>
      </c>
      <c r="F379" s="119">
        <v>20</v>
      </c>
      <c r="G379" s="93" t="s">
        <v>170</v>
      </c>
      <c r="H379" s="31">
        <v>23.94</v>
      </c>
      <c r="I379" s="27">
        <f t="shared" si="12"/>
        <v>478.8</v>
      </c>
      <c r="J379" s="28" t="s">
        <v>963</v>
      </c>
      <c r="K379" s="25">
        <v>41191</v>
      </c>
      <c r="M379" s="56">
        <v>41207</v>
      </c>
      <c r="N379" s="29" t="s">
        <v>1047</v>
      </c>
      <c r="O379" s="28" t="s">
        <v>1057</v>
      </c>
      <c r="P379" s="32">
        <v>17101.12</v>
      </c>
      <c r="Q379" s="56">
        <v>41208</v>
      </c>
    </row>
    <row r="380" spans="1:33" ht="12" customHeight="1">
      <c r="A380" s="25">
        <v>41191</v>
      </c>
      <c r="B380" s="225" t="s">
        <v>1975</v>
      </c>
      <c r="C380" s="219" t="s">
        <v>162</v>
      </c>
      <c r="D380" s="225" t="s">
        <v>287</v>
      </c>
      <c r="E380" s="28">
        <v>10434</v>
      </c>
      <c r="F380" s="119">
        <v>10</v>
      </c>
      <c r="G380" s="106" t="s">
        <v>90</v>
      </c>
      <c r="H380" s="31">
        <v>14.88</v>
      </c>
      <c r="I380" s="27">
        <f t="shared" si="12"/>
        <v>148.80000000000001</v>
      </c>
      <c r="J380" s="28" t="s">
        <v>963</v>
      </c>
      <c r="K380" s="25">
        <v>41191</v>
      </c>
      <c r="M380" s="56">
        <v>41207</v>
      </c>
      <c r="N380" s="29" t="s">
        <v>1047</v>
      </c>
      <c r="O380" s="28" t="s">
        <v>1057</v>
      </c>
      <c r="P380" s="32">
        <v>17101.12</v>
      </c>
      <c r="Q380" s="56">
        <v>41208</v>
      </c>
    </row>
    <row r="381" spans="1:33" ht="12" customHeight="1">
      <c r="A381" s="25">
        <v>41191</v>
      </c>
      <c r="B381" s="225" t="s">
        <v>1975</v>
      </c>
      <c r="C381" s="219" t="s">
        <v>162</v>
      </c>
      <c r="D381" s="1" t="s">
        <v>1213</v>
      </c>
      <c r="E381" s="28" t="s">
        <v>178</v>
      </c>
      <c r="F381" s="119">
        <v>200</v>
      </c>
      <c r="G381" s="114" t="s">
        <v>1097</v>
      </c>
      <c r="H381" s="31">
        <v>13</v>
      </c>
      <c r="I381" s="27">
        <f t="shared" si="12"/>
        <v>2600</v>
      </c>
      <c r="J381" s="28" t="s">
        <v>966</v>
      </c>
      <c r="K381" s="25">
        <v>41191</v>
      </c>
      <c r="M381" s="56">
        <v>41207</v>
      </c>
      <c r="N381" s="29" t="s">
        <v>1047</v>
      </c>
      <c r="O381" s="28" t="s">
        <v>1057</v>
      </c>
      <c r="P381" s="32">
        <v>17101.12</v>
      </c>
      <c r="Q381" s="56">
        <v>41208</v>
      </c>
    </row>
    <row r="382" spans="1:33" ht="12" customHeight="1">
      <c r="A382" s="25">
        <v>41191</v>
      </c>
      <c r="B382" s="225" t="s">
        <v>1988</v>
      </c>
      <c r="C382" s="219" t="s">
        <v>968</v>
      </c>
      <c r="D382" s="225" t="s">
        <v>984</v>
      </c>
      <c r="E382" s="196" t="s">
        <v>959</v>
      </c>
      <c r="F382" s="119">
        <v>10</v>
      </c>
      <c r="G382" s="93" t="s">
        <v>170</v>
      </c>
      <c r="H382" s="31">
        <v>13</v>
      </c>
      <c r="I382" s="27">
        <f t="shared" si="12"/>
        <v>130</v>
      </c>
      <c r="J382" s="28" t="s">
        <v>969</v>
      </c>
      <c r="K382" s="25">
        <v>41191</v>
      </c>
      <c r="M382" s="56">
        <v>41191</v>
      </c>
      <c r="N382" s="29" t="s">
        <v>970</v>
      </c>
      <c r="O382" s="28" t="s">
        <v>960</v>
      </c>
    </row>
    <row r="383" spans="1:33" ht="12" customHeight="1">
      <c r="A383" s="25">
        <v>41192</v>
      </c>
      <c r="B383" s="225" t="s">
        <v>1975</v>
      </c>
      <c r="C383" s="219" t="s">
        <v>162</v>
      </c>
      <c r="D383" s="1" t="s">
        <v>1210</v>
      </c>
      <c r="E383" s="28">
        <v>3200</v>
      </c>
      <c r="F383" s="119">
        <v>40</v>
      </c>
      <c r="G383" s="93" t="s">
        <v>170</v>
      </c>
      <c r="H383" s="31">
        <v>23.94</v>
      </c>
      <c r="I383" s="27">
        <f t="shared" si="12"/>
        <v>957.6</v>
      </c>
      <c r="J383" s="28" t="s">
        <v>974</v>
      </c>
      <c r="K383" s="25">
        <v>41192</v>
      </c>
      <c r="M383" s="56">
        <v>41207</v>
      </c>
      <c r="N383" s="29" t="s">
        <v>1047</v>
      </c>
      <c r="O383" s="28" t="s">
        <v>1057</v>
      </c>
      <c r="P383" s="32">
        <v>17101.12</v>
      </c>
      <c r="Q383" s="56">
        <v>41208</v>
      </c>
    </row>
    <row r="384" spans="1:33" ht="12" customHeight="1">
      <c r="A384" s="25">
        <v>41192</v>
      </c>
      <c r="B384" s="225" t="s">
        <v>1975</v>
      </c>
      <c r="C384" s="219" t="s">
        <v>162</v>
      </c>
      <c r="D384" s="225" t="s">
        <v>346</v>
      </c>
      <c r="E384" s="28">
        <v>3700</v>
      </c>
      <c r="F384" s="119">
        <v>100</v>
      </c>
      <c r="G384" s="93" t="s">
        <v>170</v>
      </c>
      <c r="H384" s="31">
        <v>3.09</v>
      </c>
      <c r="I384" s="27">
        <f t="shared" si="12"/>
        <v>309</v>
      </c>
      <c r="J384" s="28" t="s">
        <v>974</v>
      </c>
      <c r="K384" s="25">
        <v>41192</v>
      </c>
      <c r="M384" s="56">
        <v>41207</v>
      </c>
      <c r="N384" s="29" t="s">
        <v>1047</v>
      </c>
      <c r="O384" s="28" t="s">
        <v>1057</v>
      </c>
      <c r="P384" s="32">
        <v>17101.12</v>
      </c>
      <c r="Q384" s="56">
        <v>41208</v>
      </c>
    </row>
    <row r="385" spans="1:33" s="100" customFormat="1" ht="12" customHeight="1">
      <c r="A385" s="94">
        <v>41192</v>
      </c>
      <c r="B385" s="95" t="s">
        <v>1975</v>
      </c>
      <c r="C385" s="221" t="s">
        <v>162</v>
      </c>
      <c r="D385" s="342" t="s">
        <v>1872</v>
      </c>
      <c r="E385" s="96" t="s">
        <v>173</v>
      </c>
      <c r="F385" s="95">
        <v>113</v>
      </c>
      <c r="G385" s="95" t="s">
        <v>170</v>
      </c>
      <c r="H385" s="101">
        <v>14.49</v>
      </c>
      <c r="I385" s="102">
        <f t="shared" si="12"/>
        <v>1637.3700000000001</v>
      </c>
      <c r="J385" s="96" t="s">
        <v>974</v>
      </c>
      <c r="K385" s="94">
        <v>41192</v>
      </c>
      <c r="L385" s="412"/>
      <c r="M385" s="97">
        <v>41207</v>
      </c>
      <c r="N385" s="98" t="s">
        <v>1047</v>
      </c>
      <c r="O385" s="96" t="s">
        <v>1057</v>
      </c>
      <c r="P385" s="99">
        <v>17101.12</v>
      </c>
      <c r="Q385" s="97">
        <v>41208</v>
      </c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</row>
    <row r="386" spans="1:33" s="100" customFormat="1" ht="12" customHeight="1">
      <c r="A386" s="94">
        <v>41192</v>
      </c>
      <c r="B386" s="95" t="s">
        <v>244</v>
      </c>
      <c r="C386" s="221" t="s">
        <v>162</v>
      </c>
      <c r="D386" s="225" t="s">
        <v>730</v>
      </c>
      <c r="E386" s="95">
        <v>8515</v>
      </c>
      <c r="F386" s="95">
        <v>20</v>
      </c>
      <c r="G386" s="376" t="s">
        <v>170</v>
      </c>
      <c r="H386" s="101">
        <v>17.559999999999999</v>
      </c>
      <c r="I386" s="27">
        <f t="shared" si="12"/>
        <v>351.2</v>
      </c>
      <c r="J386" s="96" t="s">
        <v>989</v>
      </c>
      <c r="K386" s="94">
        <v>41197</v>
      </c>
      <c r="L386" s="412"/>
      <c r="M386" s="97">
        <v>41192</v>
      </c>
      <c r="N386" s="98" t="s">
        <v>165</v>
      </c>
      <c r="O386" s="96" t="s">
        <v>1036</v>
      </c>
      <c r="P386" s="99"/>
      <c r="Q386" s="97"/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</row>
    <row r="387" spans="1:33" s="100" customFormat="1" ht="12" customHeight="1">
      <c r="A387" s="94">
        <v>41192</v>
      </c>
      <c r="B387" s="95" t="s">
        <v>244</v>
      </c>
      <c r="C387" s="221" t="s">
        <v>162</v>
      </c>
      <c r="D387" s="225" t="s">
        <v>1903</v>
      </c>
      <c r="E387" s="95">
        <v>82501</v>
      </c>
      <c r="F387" s="95">
        <v>10</v>
      </c>
      <c r="G387" s="95" t="s">
        <v>170</v>
      </c>
      <c r="H387" s="101">
        <v>115.9</v>
      </c>
      <c r="I387" s="102">
        <f t="shared" si="12"/>
        <v>1159</v>
      </c>
      <c r="J387" s="96" t="s">
        <v>975</v>
      </c>
      <c r="K387" s="94">
        <v>41197</v>
      </c>
      <c r="L387" s="412"/>
      <c r="M387" s="97">
        <v>41192</v>
      </c>
      <c r="N387" s="98" t="s">
        <v>166</v>
      </c>
      <c r="O387" s="28" t="s">
        <v>1239</v>
      </c>
      <c r="P387" s="32">
        <v>25994.400000000001</v>
      </c>
      <c r="Q387" s="56">
        <v>41222</v>
      </c>
      <c r="R387" s="95"/>
      <c r="S387" s="95"/>
      <c r="T387" s="95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</row>
    <row r="388" spans="1:33" s="100" customFormat="1" ht="12" customHeight="1">
      <c r="A388" s="94">
        <v>41192</v>
      </c>
      <c r="B388" s="95" t="s">
        <v>244</v>
      </c>
      <c r="C388" s="221" t="s">
        <v>162</v>
      </c>
      <c r="D388" s="225" t="s">
        <v>1904</v>
      </c>
      <c r="E388" s="95">
        <v>82700</v>
      </c>
      <c r="F388" s="95">
        <v>10</v>
      </c>
      <c r="G388" s="95" t="s">
        <v>170</v>
      </c>
      <c r="H388" s="101">
        <v>52.4</v>
      </c>
      <c r="I388" s="102">
        <f t="shared" si="12"/>
        <v>524</v>
      </c>
      <c r="J388" s="96" t="s">
        <v>975</v>
      </c>
      <c r="K388" s="94">
        <v>41197</v>
      </c>
      <c r="L388" s="412"/>
      <c r="M388" s="97">
        <v>41192</v>
      </c>
      <c r="N388" s="98" t="s">
        <v>166</v>
      </c>
      <c r="O388" s="28" t="s">
        <v>1239</v>
      </c>
      <c r="P388" s="32">
        <v>25994.400000000001</v>
      </c>
      <c r="Q388" s="56">
        <v>41222</v>
      </c>
      <c r="R388" s="95"/>
      <c r="S388" s="95"/>
      <c r="T388" s="95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</row>
    <row r="389" spans="1:33" s="100" customFormat="1" ht="12" customHeight="1">
      <c r="A389" s="94">
        <v>41193</v>
      </c>
      <c r="B389" s="95" t="s">
        <v>1975</v>
      </c>
      <c r="C389" s="221" t="s">
        <v>162</v>
      </c>
      <c r="D389" s="1" t="s">
        <v>1210</v>
      </c>
      <c r="E389" s="96">
        <v>3200</v>
      </c>
      <c r="F389" s="95">
        <v>60</v>
      </c>
      <c r="G389" s="95" t="s">
        <v>170</v>
      </c>
      <c r="H389" s="101">
        <v>23.94</v>
      </c>
      <c r="I389" s="102">
        <f t="shared" si="12"/>
        <v>1436.4</v>
      </c>
      <c r="J389" s="96" t="s">
        <v>978</v>
      </c>
      <c r="K389" s="94">
        <v>41193</v>
      </c>
      <c r="L389" s="412"/>
      <c r="M389" s="97">
        <v>41207</v>
      </c>
      <c r="N389" s="98" t="s">
        <v>1047</v>
      </c>
      <c r="O389" s="96" t="s">
        <v>1057</v>
      </c>
      <c r="P389" s="99">
        <v>17101.12</v>
      </c>
      <c r="Q389" s="97">
        <v>41208</v>
      </c>
      <c r="R389" s="95"/>
      <c r="S389" s="95"/>
      <c r="T389" s="95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</row>
    <row r="390" spans="1:33" s="100" customFormat="1" ht="12" customHeight="1">
      <c r="A390" s="94">
        <v>41193</v>
      </c>
      <c r="B390" s="95" t="s">
        <v>1975</v>
      </c>
      <c r="C390" s="221" t="s">
        <v>162</v>
      </c>
      <c r="D390" s="225" t="s">
        <v>353</v>
      </c>
      <c r="E390" s="96" t="s">
        <v>22</v>
      </c>
      <c r="F390" s="95">
        <v>150</v>
      </c>
      <c r="G390" s="95" t="s">
        <v>170</v>
      </c>
      <c r="H390" s="101">
        <v>10.94</v>
      </c>
      <c r="I390" s="102">
        <f t="shared" si="12"/>
        <v>1641</v>
      </c>
      <c r="J390" s="96" t="s">
        <v>978</v>
      </c>
      <c r="K390" s="94">
        <v>41193</v>
      </c>
      <c r="L390" s="412"/>
      <c r="M390" s="97">
        <v>41207</v>
      </c>
      <c r="N390" s="98" t="s">
        <v>1047</v>
      </c>
      <c r="O390" s="96" t="s">
        <v>1057</v>
      </c>
      <c r="P390" s="99">
        <v>17101.12</v>
      </c>
      <c r="Q390" s="97">
        <v>41208</v>
      </c>
      <c r="R390" s="95"/>
      <c r="S390" s="95"/>
      <c r="T390" s="95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</row>
    <row r="391" spans="1:33" s="100" customFormat="1" ht="12" customHeight="1">
      <c r="A391" s="94">
        <v>41193</v>
      </c>
      <c r="B391" s="95" t="s">
        <v>1975</v>
      </c>
      <c r="C391" s="221" t="s">
        <v>162</v>
      </c>
      <c r="D391" s="225" t="s">
        <v>307</v>
      </c>
      <c r="E391" s="96">
        <v>1110</v>
      </c>
      <c r="F391" s="95">
        <v>100</v>
      </c>
      <c r="G391" s="95" t="s">
        <v>172</v>
      </c>
      <c r="H391" s="101">
        <v>0.77</v>
      </c>
      <c r="I391" s="102">
        <f t="shared" si="12"/>
        <v>77</v>
      </c>
      <c r="J391" s="96" t="s">
        <v>979</v>
      </c>
      <c r="K391" s="94">
        <v>41194</v>
      </c>
      <c r="L391" s="412"/>
      <c r="M391" s="97">
        <v>41207</v>
      </c>
      <c r="N391" s="98" t="s">
        <v>1047</v>
      </c>
      <c r="O391" s="96" t="s">
        <v>1057</v>
      </c>
      <c r="P391" s="99">
        <v>17101.12</v>
      </c>
      <c r="Q391" s="97">
        <v>41208</v>
      </c>
      <c r="R391" s="95"/>
      <c r="S391" s="95"/>
      <c r="T391" s="95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</row>
    <row r="392" spans="1:33" s="100" customFormat="1" ht="12" customHeight="1">
      <c r="A392" s="94">
        <v>41194</v>
      </c>
      <c r="B392" s="95" t="s">
        <v>1975</v>
      </c>
      <c r="C392" s="221" t="s">
        <v>162</v>
      </c>
      <c r="D392" s="225" t="s">
        <v>353</v>
      </c>
      <c r="E392" s="96" t="s">
        <v>22</v>
      </c>
      <c r="F392" s="95">
        <v>30</v>
      </c>
      <c r="G392" s="95" t="s">
        <v>170</v>
      </c>
      <c r="H392" s="101">
        <v>10.94</v>
      </c>
      <c r="I392" s="102">
        <f t="shared" si="12"/>
        <v>328.2</v>
      </c>
      <c r="J392" s="96" t="s">
        <v>980</v>
      </c>
      <c r="K392" s="94">
        <v>41194</v>
      </c>
      <c r="L392" s="412"/>
      <c r="M392" s="97">
        <v>41207</v>
      </c>
      <c r="N392" s="98" t="s">
        <v>1047</v>
      </c>
      <c r="O392" s="96" t="s">
        <v>1057</v>
      </c>
      <c r="P392" s="99">
        <v>17101.12</v>
      </c>
      <c r="Q392" s="97">
        <v>41208</v>
      </c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</row>
    <row r="393" spans="1:33" s="100" customFormat="1" ht="12" customHeight="1">
      <c r="A393" s="94">
        <v>41197</v>
      </c>
      <c r="B393" s="95" t="s">
        <v>1975</v>
      </c>
      <c r="C393" s="221" t="s">
        <v>1004</v>
      </c>
      <c r="D393" s="225" t="s">
        <v>263</v>
      </c>
      <c r="E393" s="96" t="s">
        <v>1008</v>
      </c>
      <c r="F393" s="95">
        <v>100</v>
      </c>
      <c r="G393" s="95" t="s">
        <v>1009</v>
      </c>
      <c r="H393" s="101">
        <v>1.58</v>
      </c>
      <c r="I393" s="102">
        <f t="shared" ref="I393:I424" si="13">H393*F393</f>
        <v>158</v>
      </c>
      <c r="J393" s="96" t="s">
        <v>1010</v>
      </c>
      <c r="K393" s="94">
        <v>41197</v>
      </c>
      <c r="L393" s="412"/>
      <c r="M393" s="97">
        <v>41207</v>
      </c>
      <c r="N393" s="98" t="s">
        <v>1047</v>
      </c>
      <c r="O393" s="96" t="s">
        <v>1057</v>
      </c>
      <c r="P393" s="99">
        <v>17101.12</v>
      </c>
      <c r="Q393" s="97">
        <v>41208</v>
      </c>
      <c r="R393" s="95"/>
      <c r="S393" s="95"/>
      <c r="T393" s="95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</row>
    <row r="394" spans="1:33" ht="12" customHeight="1">
      <c r="A394" s="25">
        <v>41197</v>
      </c>
      <c r="B394" s="225" t="s">
        <v>1989</v>
      </c>
      <c r="C394" s="221" t="s">
        <v>162</v>
      </c>
      <c r="D394" s="225" t="s">
        <v>1905</v>
      </c>
      <c r="E394" s="196" t="s">
        <v>987</v>
      </c>
      <c r="F394" s="119">
        <v>3</v>
      </c>
      <c r="G394" s="95" t="s">
        <v>170</v>
      </c>
      <c r="H394" s="31">
        <v>290</v>
      </c>
      <c r="I394" s="27">
        <f t="shared" si="13"/>
        <v>870</v>
      </c>
      <c r="J394" s="28" t="s">
        <v>988</v>
      </c>
      <c r="K394" s="25" t="s">
        <v>1059</v>
      </c>
      <c r="M394" s="25">
        <v>41197</v>
      </c>
      <c r="N394" s="29" t="s">
        <v>990</v>
      </c>
      <c r="O394" s="28" t="s">
        <v>1423</v>
      </c>
      <c r="P394" s="32">
        <v>870</v>
      </c>
      <c r="Q394" s="56">
        <v>41248</v>
      </c>
    </row>
    <row r="395" spans="1:33" ht="12" customHeight="1">
      <c r="A395" s="25">
        <v>41198</v>
      </c>
      <c r="B395" s="95" t="s">
        <v>244</v>
      </c>
      <c r="C395" s="221" t="s">
        <v>162</v>
      </c>
      <c r="D395" s="227" t="s">
        <v>1917</v>
      </c>
      <c r="E395" s="196" t="s">
        <v>993</v>
      </c>
      <c r="F395" s="119">
        <v>5000</v>
      </c>
      <c r="G395" s="103" t="s">
        <v>991</v>
      </c>
      <c r="H395" s="31">
        <v>0.52</v>
      </c>
      <c r="I395" s="27">
        <f t="shared" si="13"/>
        <v>2600</v>
      </c>
      <c r="J395" s="28" t="s">
        <v>994</v>
      </c>
      <c r="K395" s="25" t="s">
        <v>1059</v>
      </c>
      <c r="M395" s="56">
        <v>41198</v>
      </c>
      <c r="N395" s="29" t="s">
        <v>992</v>
      </c>
      <c r="O395" s="28" t="s">
        <v>1239</v>
      </c>
      <c r="P395" s="32">
        <v>25994.400000000001</v>
      </c>
      <c r="Q395" s="56">
        <v>41222</v>
      </c>
      <c r="R395" s="110" t="s">
        <v>1046</v>
      </c>
    </row>
    <row r="396" spans="1:33" ht="12" customHeight="1">
      <c r="A396" s="25">
        <v>41198</v>
      </c>
      <c r="B396" s="95" t="s">
        <v>1975</v>
      </c>
      <c r="C396" s="221" t="s">
        <v>162</v>
      </c>
      <c r="D396" s="225" t="s">
        <v>1918</v>
      </c>
      <c r="E396" s="96" t="s">
        <v>22</v>
      </c>
      <c r="F396" s="119">
        <v>60</v>
      </c>
      <c r="G396" s="95" t="s">
        <v>170</v>
      </c>
      <c r="H396" s="101">
        <v>10.94</v>
      </c>
      <c r="I396" s="27">
        <f t="shared" si="13"/>
        <v>656.4</v>
      </c>
      <c r="J396" s="28" t="s">
        <v>996</v>
      </c>
      <c r="K396" s="25">
        <v>41198</v>
      </c>
      <c r="M396" s="56">
        <v>41207</v>
      </c>
      <c r="N396" s="29" t="s">
        <v>1047</v>
      </c>
      <c r="O396" s="28" t="s">
        <v>1057</v>
      </c>
      <c r="P396" s="32">
        <v>17101.12</v>
      </c>
      <c r="Q396" s="56">
        <v>41208</v>
      </c>
    </row>
    <row r="397" spans="1:33" ht="12" customHeight="1">
      <c r="A397" s="25">
        <v>41198</v>
      </c>
      <c r="B397" s="95" t="s">
        <v>1975</v>
      </c>
      <c r="C397" s="221" t="s">
        <v>162</v>
      </c>
      <c r="D397" s="1" t="s">
        <v>1210</v>
      </c>
      <c r="E397" s="59">
        <v>3200</v>
      </c>
      <c r="F397" s="119">
        <v>60</v>
      </c>
      <c r="G397" s="95" t="s">
        <v>170</v>
      </c>
      <c r="H397" s="31">
        <v>23.94</v>
      </c>
      <c r="I397" s="27">
        <f t="shared" si="13"/>
        <v>1436.4</v>
      </c>
      <c r="J397" s="28" t="s">
        <v>996</v>
      </c>
      <c r="K397" s="25">
        <v>41198</v>
      </c>
      <c r="M397" s="56">
        <v>41207</v>
      </c>
      <c r="N397" s="29" t="s">
        <v>1047</v>
      </c>
      <c r="O397" s="28" t="s">
        <v>1057</v>
      </c>
      <c r="P397" s="32">
        <v>17101.12</v>
      </c>
      <c r="Q397" s="56">
        <v>41208</v>
      </c>
    </row>
    <row r="398" spans="1:33" ht="12" customHeight="1">
      <c r="A398" s="25">
        <v>41198</v>
      </c>
      <c r="B398" s="95" t="s">
        <v>1975</v>
      </c>
      <c r="C398" s="221" t="s">
        <v>162</v>
      </c>
      <c r="D398" s="225" t="s">
        <v>305</v>
      </c>
      <c r="E398" s="59">
        <v>1270</v>
      </c>
      <c r="F398" s="119">
        <v>50</v>
      </c>
      <c r="G398" s="190" t="s">
        <v>239</v>
      </c>
      <c r="H398" s="31">
        <v>4.3099999999999996</v>
      </c>
      <c r="I398" s="27">
        <f t="shared" si="13"/>
        <v>215.49999999999997</v>
      </c>
      <c r="J398" s="28" t="s">
        <v>996</v>
      </c>
      <c r="K398" s="25">
        <v>41198</v>
      </c>
      <c r="M398" s="56">
        <v>41207</v>
      </c>
      <c r="N398" s="29" t="s">
        <v>1047</v>
      </c>
      <c r="O398" s="28" t="s">
        <v>1057</v>
      </c>
      <c r="P398" s="32">
        <v>17101.12</v>
      </c>
      <c r="Q398" s="56">
        <v>41208</v>
      </c>
    </row>
    <row r="399" spans="1:33" ht="12" customHeight="1">
      <c r="A399" s="25">
        <v>41198</v>
      </c>
      <c r="B399" s="225" t="s">
        <v>1980</v>
      </c>
      <c r="C399" s="221" t="s">
        <v>162</v>
      </c>
      <c r="D399" s="225" t="s">
        <v>1870</v>
      </c>
      <c r="E399" s="196">
        <v>8210</v>
      </c>
      <c r="F399" s="119">
        <v>480</v>
      </c>
      <c r="G399" s="105" t="s">
        <v>995</v>
      </c>
      <c r="H399" s="31">
        <v>3.63</v>
      </c>
      <c r="I399" s="27">
        <f t="shared" si="13"/>
        <v>1742.3999999999999</v>
      </c>
      <c r="J399" s="28" t="s">
        <v>998</v>
      </c>
      <c r="K399" s="25">
        <v>41198</v>
      </c>
      <c r="M399" s="56">
        <v>41198</v>
      </c>
      <c r="N399" s="29" t="s">
        <v>1047</v>
      </c>
      <c r="O399" s="28" t="s">
        <v>1206</v>
      </c>
      <c r="P399" s="32">
        <v>5876.4</v>
      </c>
      <c r="Q399" s="56">
        <v>41218</v>
      </c>
    </row>
    <row r="400" spans="1:33" ht="12" customHeight="1">
      <c r="A400" s="25">
        <v>41198</v>
      </c>
      <c r="B400" s="95" t="s">
        <v>1980</v>
      </c>
      <c r="C400" s="221" t="s">
        <v>162</v>
      </c>
      <c r="D400" s="225" t="s">
        <v>1874</v>
      </c>
      <c r="E400" s="196" t="s">
        <v>997</v>
      </c>
      <c r="F400" s="119">
        <v>300</v>
      </c>
      <c r="G400" s="194" t="s">
        <v>231</v>
      </c>
      <c r="H400" s="31">
        <v>4.88</v>
      </c>
      <c r="I400" s="27">
        <f t="shared" si="13"/>
        <v>1464</v>
      </c>
      <c r="J400" s="28" t="s">
        <v>998</v>
      </c>
      <c r="K400" s="25">
        <v>41198</v>
      </c>
      <c r="M400" s="56">
        <v>41198</v>
      </c>
      <c r="N400" s="29" t="s">
        <v>1047</v>
      </c>
      <c r="O400" s="28" t="s">
        <v>1206</v>
      </c>
      <c r="P400" s="32">
        <v>5876.4</v>
      </c>
      <c r="Q400" s="56">
        <v>41218</v>
      </c>
    </row>
    <row r="401" spans="1:33" ht="12" customHeight="1">
      <c r="A401" s="25">
        <v>41198</v>
      </c>
      <c r="B401" s="225" t="s">
        <v>1980</v>
      </c>
      <c r="C401" s="221" t="s">
        <v>162</v>
      </c>
      <c r="D401" s="225" t="s">
        <v>263</v>
      </c>
      <c r="E401" s="196">
        <v>501</v>
      </c>
      <c r="F401" s="119">
        <v>200</v>
      </c>
      <c r="G401" s="104" t="s">
        <v>995</v>
      </c>
      <c r="H401" s="31">
        <v>1.39</v>
      </c>
      <c r="I401" s="27">
        <f t="shared" si="13"/>
        <v>278</v>
      </c>
      <c r="J401" s="28" t="s">
        <v>998</v>
      </c>
      <c r="K401" s="25">
        <v>41198</v>
      </c>
      <c r="M401" s="56">
        <v>41198</v>
      </c>
      <c r="N401" s="29" t="s">
        <v>1047</v>
      </c>
      <c r="O401" s="28" t="s">
        <v>1206</v>
      </c>
      <c r="P401" s="32">
        <v>5876.4</v>
      </c>
      <c r="Q401" s="56">
        <v>41218</v>
      </c>
    </row>
    <row r="402" spans="1:33" s="100" customFormat="1" ht="12" customHeight="1">
      <c r="A402" s="94">
        <v>41198</v>
      </c>
      <c r="B402" s="95" t="s">
        <v>253</v>
      </c>
      <c r="C402" s="221" t="s">
        <v>678</v>
      </c>
      <c r="D402" s="342" t="s">
        <v>240</v>
      </c>
      <c r="E402" s="95">
        <v>6200</v>
      </c>
      <c r="F402" s="95">
        <v>100</v>
      </c>
      <c r="G402" s="95" t="s">
        <v>170</v>
      </c>
      <c r="H402" s="101">
        <v>42.7</v>
      </c>
      <c r="I402" s="102">
        <f t="shared" si="13"/>
        <v>4270</v>
      </c>
      <c r="J402" s="96" t="s">
        <v>999</v>
      </c>
      <c r="K402" s="94">
        <v>41198</v>
      </c>
      <c r="L402" s="412"/>
      <c r="M402" s="97">
        <v>41198</v>
      </c>
      <c r="N402" s="29" t="s">
        <v>166</v>
      </c>
      <c r="O402" s="96" t="s">
        <v>1079</v>
      </c>
      <c r="P402" s="99">
        <v>13346</v>
      </c>
      <c r="Q402" s="97">
        <v>41211</v>
      </c>
      <c r="R402" s="95"/>
      <c r="S402" s="95"/>
      <c r="T402" s="95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</row>
    <row r="403" spans="1:33" s="100" customFormat="1" ht="15" customHeight="1">
      <c r="A403" s="94">
        <v>41198</v>
      </c>
      <c r="B403" s="95" t="s">
        <v>253</v>
      </c>
      <c r="C403" s="221" t="s">
        <v>678</v>
      </c>
      <c r="D403" s="225" t="s">
        <v>353</v>
      </c>
      <c r="E403" s="95" t="s">
        <v>1001</v>
      </c>
      <c r="F403" s="95">
        <v>240</v>
      </c>
      <c r="G403" s="95" t="s">
        <v>170</v>
      </c>
      <c r="H403" s="101">
        <v>17.5</v>
      </c>
      <c r="I403" s="102">
        <f t="shared" si="13"/>
        <v>4200</v>
      </c>
      <c r="J403" s="96" t="s">
        <v>999</v>
      </c>
      <c r="K403" s="94">
        <v>41198</v>
      </c>
      <c r="L403" s="412"/>
      <c r="M403" s="97">
        <v>41198</v>
      </c>
      <c r="N403" s="29" t="s">
        <v>166</v>
      </c>
      <c r="O403" s="96" t="s">
        <v>1079</v>
      </c>
      <c r="P403" s="99">
        <v>13346</v>
      </c>
      <c r="Q403" s="97">
        <v>41211</v>
      </c>
      <c r="R403" s="95"/>
      <c r="S403" s="95"/>
      <c r="T403" s="95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</row>
    <row r="404" spans="1:33" ht="12" customHeight="1">
      <c r="A404" s="25">
        <v>41199</v>
      </c>
      <c r="B404" s="95" t="s">
        <v>1975</v>
      </c>
      <c r="C404" s="221" t="s">
        <v>162</v>
      </c>
      <c r="D404" s="225" t="s">
        <v>287</v>
      </c>
      <c r="E404" s="28">
        <v>10434</v>
      </c>
      <c r="F404" s="119">
        <v>60</v>
      </c>
      <c r="G404" s="106" t="s">
        <v>1005</v>
      </c>
      <c r="H404" s="31">
        <v>14.28</v>
      </c>
      <c r="I404" s="27">
        <f t="shared" si="13"/>
        <v>856.8</v>
      </c>
      <c r="J404" s="28" t="s">
        <v>1006</v>
      </c>
      <c r="K404" s="25">
        <v>41199</v>
      </c>
      <c r="M404" s="56">
        <v>41207</v>
      </c>
      <c r="N404" s="29" t="s">
        <v>165</v>
      </c>
      <c r="O404" s="28" t="s">
        <v>1007</v>
      </c>
    </row>
    <row r="405" spans="1:33" ht="12" customHeight="1">
      <c r="A405" s="25">
        <v>41201</v>
      </c>
      <c r="B405" s="225" t="s">
        <v>1990</v>
      </c>
      <c r="C405" s="219" t="s">
        <v>1013</v>
      </c>
      <c r="D405" s="225" t="s">
        <v>1906</v>
      </c>
      <c r="E405" s="196" t="s">
        <v>1014</v>
      </c>
      <c r="F405" s="119">
        <v>1</v>
      </c>
      <c r="G405" s="107" t="s">
        <v>1015</v>
      </c>
      <c r="H405" s="31">
        <v>790</v>
      </c>
      <c r="I405" s="27">
        <f t="shared" si="13"/>
        <v>790</v>
      </c>
      <c r="J405" s="28" t="s">
        <v>1016</v>
      </c>
      <c r="K405" s="25">
        <v>41205</v>
      </c>
      <c r="M405" s="56">
        <v>41201</v>
      </c>
      <c r="N405" s="29" t="s">
        <v>1017</v>
      </c>
      <c r="O405" s="28" t="s">
        <v>5762</v>
      </c>
      <c r="P405" s="32">
        <v>790</v>
      </c>
      <c r="Q405" s="56">
        <v>41358</v>
      </c>
    </row>
    <row r="406" spans="1:33" ht="12" customHeight="1">
      <c r="A406" s="25">
        <v>41201</v>
      </c>
      <c r="B406" s="225" t="s">
        <v>1987</v>
      </c>
      <c r="C406" s="219" t="s">
        <v>1018</v>
      </c>
      <c r="D406" s="225" t="s">
        <v>1901</v>
      </c>
      <c r="E406" s="196">
        <v>52000183617</v>
      </c>
      <c r="F406" s="119">
        <v>1</v>
      </c>
      <c r="G406" s="107" t="s">
        <v>1020</v>
      </c>
      <c r="H406" s="31">
        <v>938</v>
      </c>
      <c r="I406" s="27">
        <f t="shared" si="13"/>
        <v>938</v>
      </c>
      <c r="J406" s="28" t="s">
        <v>1019</v>
      </c>
      <c r="K406" s="25">
        <v>41201</v>
      </c>
      <c r="M406" s="56">
        <v>41201</v>
      </c>
      <c r="N406" s="29" t="s">
        <v>1017</v>
      </c>
      <c r="O406" s="28" t="s">
        <v>1247</v>
      </c>
      <c r="P406" s="32">
        <v>14070</v>
      </c>
      <c r="Q406" s="56">
        <v>41225</v>
      </c>
    </row>
    <row r="407" spans="1:33" ht="12" customHeight="1">
      <c r="A407" s="25">
        <v>41201</v>
      </c>
      <c r="B407" s="225" t="s">
        <v>1991</v>
      </c>
      <c r="C407" s="219" t="s">
        <v>1018</v>
      </c>
      <c r="D407" s="225" t="s">
        <v>1901</v>
      </c>
      <c r="E407" s="196">
        <v>52000183617</v>
      </c>
      <c r="F407" s="119">
        <v>3</v>
      </c>
      <c r="G407" s="107" t="s">
        <v>1020</v>
      </c>
      <c r="H407" s="31">
        <v>938</v>
      </c>
      <c r="I407" s="27">
        <f t="shared" si="13"/>
        <v>2814</v>
      </c>
      <c r="J407" s="28" t="s">
        <v>1080</v>
      </c>
      <c r="K407" s="25">
        <v>41205</v>
      </c>
      <c r="M407" s="56">
        <v>41201</v>
      </c>
      <c r="N407" s="29" t="s">
        <v>1017</v>
      </c>
      <c r="O407" s="28" t="s">
        <v>1032</v>
      </c>
      <c r="P407" s="32">
        <v>2814</v>
      </c>
      <c r="Q407" s="56">
        <v>41205</v>
      </c>
    </row>
    <row r="408" spans="1:33" ht="12" customHeight="1">
      <c r="A408" s="25">
        <v>41204</v>
      </c>
      <c r="B408" s="225" t="s">
        <v>1977</v>
      </c>
      <c r="C408" s="219" t="s">
        <v>164</v>
      </c>
      <c r="D408" s="225" t="s">
        <v>1886</v>
      </c>
      <c r="E408" s="196" t="s">
        <v>1028</v>
      </c>
      <c r="F408" s="119">
        <v>60</v>
      </c>
      <c r="G408" s="108" t="s">
        <v>1029</v>
      </c>
      <c r="H408" s="31">
        <v>17.5</v>
      </c>
      <c r="I408" s="27">
        <f t="shared" si="13"/>
        <v>1050</v>
      </c>
      <c r="J408" s="28" t="s">
        <v>1030</v>
      </c>
      <c r="K408" s="25">
        <v>41204</v>
      </c>
      <c r="M408" s="56">
        <v>41204</v>
      </c>
      <c r="N408" s="29" t="s">
        <v>1027</v>
      </c>
      <c r="O408" s="28" t="s">
        <v>1079</v>
      </c>
      <c r="P408" s="32">
        <v>13346</v>
      </c>
      <c r="Q408" s="56">
        <v>41211</v>
      </c>
    </row>
    <row r="409" spans="1:33" ht="12" customHeight="1">
      <c r="A409" s="25">
        <v>41204</v>
      </c>
      <c r="B409" s="95" t="s">
        <v>1975</v>
      </c>
      <c r="C409" s="219" t="s">
        <v>164</v>
      </c>
      <c r="D409" s="225" t="s">
        <v>307</v>
      </c>
      <c r="E409" s="28">
        <v>1110</v>
      </c>
      <c r="F409" s="119">
        <v>200</v>
      </c>
      <c r="G409" s="108" t="s">
        <v>1026</v>
      </c>
      <c r="H409" s="31">
        <v>0.77</v>
      </c>
      <c r="I409" s="27">
        <f t="shared" si="13"/>
        <v>154</v>
      </c>
      <c r="J409" s="28" t="s">
        <v>1031</v>
      </c>
      <c r="K409" s="25">
        <v>41204</v>
      </c>
      <c r="M409" s="56">
        <v>41207</v>
      </c>
      <c r="N409" s="29" t="s">
        <v>1047</v>
      </c>
      <c r="O409" s="28" t="s">
        <v>1057</v>
      </c>
      <c r="P409" s="32">
        <v>17101.12</v>
      </c>
      <c r="Q409" s="56">
        <v>41208</v>
      </c>
    </row>
    <row r="410" spans="1:33" s="100" customFormat="1" ht="12" customHeight="1">
      <c r="A410" s="94">
        <v>41205</v>
      </c>
      <c r="B410" s="95" t="s">
        <v>1992</v>
      </c>
      <c r="C410" s="221" t="s">
        <v>1033</v>
      </c>
      <c r="D410" s="225" t="s">
        <v>1907</v>
      </c>
      <c r="E410" s="95" t="s">
        <v>1034</v>
      </c>
      <c r="F410" s="95">
        <v>4</v>
      </c>
      <c r="G410" s="95" t="s">
        <v>170</v>
      </c>
      <c r="H410" s="101">
        <v>210</v>
      </c>
      <c r="I410" s="102">
        <f t="shared" si="13"/>
        <v>840</v>
      </c>
      <c r="J410" s="96" t="s">
        <v>1035</v>
      </c>
      <c r="K410" s="94">
        <v>41211</v>
      </c>
      <c r="L410" s="412"/>
      <c r="M410" s="97">
        <v>41205</v>
      </c>
      <c r="N410" s="98" t="s">
        <v>166</v>
      </c>
      <c r="O410" s="96" t="s">
        <v>1454</v>
      </c>
      <c r="P410" s="99">
        <v>840</v>
      </c>
      <c r="Q410" s="97">
        <v>41253</v>
      </c>
      <c r="R410" s="95"/>
      <c r="S410" s="95"/>
      <c r="T410" s="95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</row>
    <row r="411" spans="1:33" ht="12" customHeight="1">
      <c r="A411" s="25">
        <v>41206</v>
      </c>
      <c r="B411" s="225" t="s">
        <v>1987</v>
      </c>
      <c r="C411" s="219" t="s">
        <v>162</v>
      </c>
      <c r="D411" s="225" t="s">
        <v>1901</v>
      </c>
      <c r="E411" s="196">
        <v>52000183617</v>
      </c>
      <c r="F411" s="119">
        <v>2</v>
      </c>
      <c r="G411" s="109" t="s">
        <v>894</v>
      </c>
      <c r="H411" s="31">
        <v>938</v>
      </c>
      <c r="I411" s="27">
        <f t="shared" si="13"/>
        <v>1876</v>
      </c>
      <c r="J411" s="28" t="s">
        <v>1060</v>
      </c>
      <c r="K411" s="25">
        <v>41206</v>
      </c>
      <c r="M411" s="56">
        <v>41206</v>
      </c>
      <c r="N411" s="29" t="s">
        <v>166</v>
      </c>
      <c r="O411" s="28" t="s">
        <v>1247</v>
      </c>
      <c r="P411" s="32">
        <v>14070</v>
      </c>
      <c r="Q411" s="56">
        <v>41225</v>
      </c>
      <c r="R411" s="109"/>
      <c r="S411" s="109"/>
      <c r="T411" s="109"/>
      <c r="U411" s="109"/>
      <c r="V411" s="109"/>
      <c r="W411" s="109"/>
      <c r="X411" s="109"/>
      <c r="Y411" s="109"/>
      <c r="Z411" s="109"/>
      <c r="AA411" s="109"/>
      <c r="AB411" s="109"/>
      <c r="AC411" s="109"/>
      <c r="AD411" s="109"/>
      <c r="AE411" s="109"/>
      <c r="AF411" s="109"/>
      <c r="AG411" s="109"/>
    </row>
    <row r="412" spans="1:33" ht="12" customHeight="1">
      <c r="A412" s="25">
        <v>41206</v>
      </c>
      <c r="B412" s="225" t="s">
        <v>1979</v>
      </c>
      <c r="C412" s="219" t="s">
        <v>1040</v>
      </c>
      <c r="D412" s="342" t="s">
        <v>1872</v>
      </c>
      <c r="E412" s="196" t="s">
        <v>1037</v>
      </c>
      <c r="F412" s="131">
        <v>50</v>
      </c>
      <c r="G412" s="109" t="s">
        <v>1038</v>
      </c>
      <c r="H412" s="31">
        <v>15</v>
      </c>
      <c r="I412" s="27">
        <f t="shared" si="13"/>
        <v>750</v>
      </c>
      <c r="J412" s="28" t="s">
        <v>1041</v>
      </c>
      <c r="K412" s="25">
        <v>41206</v>
      </c>
      <c r="M412" s="56">
        <v>41225</v>
      </c>
      <c r="N412" s="29" t="s">
        <v>166</v>
      </c>
      <c r="O412" s="28" t="s">
        <v>1377</v>
      </c>
      <c r="P412" s="32">
        <v>16292.64</v>
      </c>
      <c r="Q412" s="56">
        <v>41241</v>
      </c>
    </row>
    <row r="413" spans="1:33" ht="12" customHeight="1">
      <c r="A413" s="25">
        <v>41206</v>
      </c>
      <c r="B413" s="225" t="s">
        <v>1985</v>
      </c>
      <c r="C413" s="219" t="s">
        <v>1040</v>
      </c>
      <c r="D413" s="225" t="s">
        <v>287</v>
      </c>
      <c r="E413" s="196">
        <v>10434</v>
      </c>
      <c r="F413" s="119">
        <v>50</v>
      </c>
      <c r="G413" s="109" t="s">
        <v>1038</v>
      </c>
      <c r="H413" s="31">
        <v>14.5</v>
      </c>
      <c r="I413" s="27">
        <f t="shared" si="13"/>
        <v>725</v>
      </c>
      <c r="J413" s="28" t="s">
        <v>1058</v>
      </c>
      <c r="K413" s="25">
        <v>41208</v>
      </c>
      <c r="M413" s="56">
        <v>41206</v>
      </c>
      <c r="N413" s="29" t="s">
        <v>1042</v>
      </c>
      <c r="O413" s="28" t="s">
        <v>1036</v>
      </c>
    </row>
    <row r="414" spans="1:33" s="100" customFormat="1" ht="12" customHeight="1">
      <c r="A414" s="94">
        <v>41206</v>
      </c>
      <c r="B414" s="95" t="s">
        <v>1985</v>
      </c>
      <c r="C414" s="219" t="s">
        <v>861</v>
      </c>
      <c r="D414" s="225" t="s">
        <v>1043</v>
      </c>
      <c r="E414" s="95" t="s">
        <v>1067</v>
      </c>
      <c r="F414" s="95">
        <v>4</v>
      </c>
      <c r="G414" s="376" t="s">
        <v>192</v>
      </c>
      <c r="H414" s="101">
        <v>220</v>
      </c>
      <c r="I414" s="102">
        <f t="shared" si="13"/>
        <v>880</v>
      </c>
      <c r="J414" s="96" t="s">
        <v>1068</v>
      </c>
      <c r="K414" s="94">
        <v>41208</v>
      </c>
      <c r="L414" s="412"/>
      <c r="M414" s="97">
        <v>41206</v>
      </c>
      <c r="N414" s="98" t="s">
        <v>166</v>
      </c>
      <c r="O414" s="28" t="s">
        <v>1239</v>
      </c>
      <c r="P414" s="32">
        <v>25994.400000000001</v>
      </c>
      <c r="Q414" s="56">
        <v>41222</v>
      </c>
      <c r="R414" s="95"/>
      <c r="S414" s="95"/>
      <c r="T414" s="95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</row>
    <row r="415" spans="1:33" s="100" customFormat="1" ht="12" customHeight="1">
      <c r="A415" s="94">
        <v>41206</v>
      </c>
      <c r="B415" s="95" t="s">
        <v>1980</v>
      </c>
      <c r="C415" s="221" t="s">
        <v>162</v>
      </c>
      <c r="D415" s="5" t="s">
        <v>2012</v>
      </c>
      <c r="E415" s="95" t="s">
        <v>180</v>
      </c>
      <c r="F415" s="95">
        <v>2500</v>
      </c>
      <c r="G415" s="198" t="s">
        <v>229</v>
      </c>
      <c r="H415" s="101">
        <v>1.46</v>
      </c>
      <c r="I415" s="102">
        <f t="shared" si="13"/>
        <v>3650</v>
      </c>
      <c r="J415" s="96" t="s">
        <v>822</v>
      </c>
      <c r="K415" s="94">
        <v>41206</v>
      </c>
      <c r="L415" s="412"/>
      <c r="M415" s="97">
        <v>41206</v>
      </c>
      <c r="N415" s="98" t="s">
        <v>166</v>
      </c>
      <c r="O415" s="96" t="s">
        <v>1044</v>
      </c>
      <c r="P415" s="99" t="s">
        <v>1045</v>
      </c>
      <c r="Q415" s="97">
        <v>41206</v>
      </c>
      <c r="R415" s="95"/>
      <c r="S415" s="95"/>
      <c r="T415" s="95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</row>
    <row r="416" spans="1:33" s="100" customFormat="1" ht="12" customHeight="1">
      <c r="A416" s="94">
        <v>41206</v>
      </c>
      <c r="B416" s="95" t="s">
        <v>1980</v>
      </c>
      <c r="C416" s="221" t="s">
        <v>162</v>
      </c>
      <c r="D416" s="225" t="s">
        <v>1870</v>
      </c>
      <c r="E416" s="95">
        <v>8210</v>
      </c>
      <c r="F416" s="95">
        <v>800</v>
      </c>
      <c r="G416" s="95" t="s">
        <v>171</v>
      </c>
      <c r="H416" s="101">
        <v>3.63</v>
      </c>
      <c r="I416" s="102">
        <f t="shared" si="13"/>
        <v>2904</v>
      </c>
      <c r="J416" s="96" t="s">
        <v>822</v>
      </c>
      <c r="K416" s="94">
        <v>41206</v>
      </c>
      <c r="L416" s="412"/>
      <c r="M416" s="97">
        <v>41206</v>
      </c>
      <c r="N416" s="98" t="s">
        <v>166</v>
      </c>
      <c r="O416" s="96" t="s">
        <v>1044</v>
      </c>
      <c r="P416" s="99" t="s">
        <v>1045</v>
      </c>
      <c r="Q416" s="97">
        <v>41206</v>
      </c>
      <c r="R416" s="95"/>
      <c r="S416" s="95"/>
      <c r="T416" s="95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</row>
    <row r="417" spans="1:33" s="100" customFormat="1" ht="12" customHeight="1">
      <c r="A417" s="94">
        <v>41206</v>
      </c>
      <c r="B417" s="95" t="s">
        <v>1980</v>
      </c>
      <c r="C417" s="221" t="s">
        <v>162</v>
      </c>
      <c r="D417" s="225" t="s">
        <v>1908</v>
      </c>
      <c r="E417" s="95">
        <v>8246</v>
      </c>
      <c r="F417" s="95">
        <v>20</v>
      </c>
      <c r="G417" s="95" t="s">
        <v>170</v>
      </c>
      <c r="H417" s="101">
        <v>12.8</v>
      </c>
      <c r="I417" s="102">
        <f t="shared" si="13"/>
        <v>256</v>
      </c>
      <c r="J417" s="96" t="s">
        <v>822</v>
      </c>
      <c r="K417" s="94">
        <v>41206</v>
      </c>
      <c r="L417" s="412"/>
      <c r="M417" s="97">
        <v>41206</v>
      </c>
      <c r="N417" s="98" t="s">
        <v>166</v>
      </c>
      <c r="O417" s="96" t="s">
        <v>1044</v>
      </c>
      <c r="P417" s="99" t="s">
        <v>1045</v>
      </c>
      <c r="Q417" s="97">
        <v>41206</v>
      </c>
      <c r="R417" s="95"/>
      <c r="S417" s="95"/>
      <c r="T417" s="95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</row>
    <row r="418" spans="1:33" s="100" customFormat="1" ht="12" customHeight="1">
      <c r="A418" s="94">
        <v>41206</v>
      </c>
      <c r="B418" s="95" t="s">
        <v>1980</v>
      </c>
      <c r="C418" s="221" t="s">
        <v>162</v>
      </c>
      <c r="D418" s="1" t="s">
        <v>1871</v>
      </c>
      <c r="E418" s="95">
        <v>8247</v>
      </c>
      <c r="F418" s="95">
        <v>20</v>
      </c>
      <c r="G418" s="95" t="s">
        <v>171</v>
      </c>
      <c r="H418" s="101">
        <v>12.35</v>
      </c>
      <c r="I418" s="102">
        <f t="shared" si="13"/>
        <v>247</v>
      </c>
      <c r="J418" s="96" t="s">
        <v>822</v>
      </c>
      <c r="K418" s="94">
        <v>41206</v>
      </c>
      <c r="L418" s="412"/>
      <c r="M418" s="97">
        <v>41206</v>
      </c>
      <c r="N418" s="98" t="s">
        <v>166</v>
      </c>
      <c r="O418" s="96" t="s">
        <v>1044</v>
      </c>
      <c r="P418" s="99" t="s">
        <v>1045</v>
      </c>
      <c r="Q418" s="97">
        <v>41206</v>
      </c>
      <c r="R418" s="95"/>
      <c r="S418" s="95"/>
      <c r="T418" s="95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</row>
    <row r="419" spans="1:33" ht="12" customHeight="1">
      <c r="A419" s="25">
        <v>41207</v>
      </c>
      <c r="B419" s="225" t="s">
        <v>1979</v>
      </c>
      <c r="C419" s="221" t="s">
        <v>162</v>
      </c>
      <c r="D419" s="225" t="s">
        <v>1909</v>
      </c>
      <c r="E419" s="196" t="s">
        <v>1048</v>
      </c>
      <c r="F419" s="131">
        <v>50</v>
      </c>
      <c r="G419" s="110" t="s">
        <v>1049</v>
      </c>
      <c r="H419" s="31">
        <v>1.5</v>
      </c>
      <c r="I419" s="27">
        <f t="shared" si="13"/>
        <v>75</v>
      </c>
      <c r="J419" s="28" t="s">
        <v>1051</v>
      </c>
      <c r="K419" s="25">
        <v>41207</v>
      </c>
      <c r="M419" s="56">
        <v>41225</v>
      </c>
      <c r="N419" s="29" t="s">
        <v>166</v>
      </c>
      <c r="O419" s="28" t="s">
        <v>1377</v>
      </c>
      <c r="P419" s="32">
        <v>16292.64</v>
      </c>
      <c r="Q419" s="56">
        <v>41241</v>
      </c>
    </row>
    <row r="420" spans="1:33" ht="12" customHeight="1">
      <c r="A420" s="25">
        <v>41207</v>
      </c>
      <c r="B420" s="225" t="s">
        <v>1979</v>
      </c>
      <c r="C420" s="221" t="s">
        <v>162</v>
      </c>
      <c r="D420" s="225" t="s">
        <v>263</v>
      </c>
      <c r="E420" s="196" t="s">
        <v>1050</v>
      </c>
      <c r="F420" s="131">
        <v>10</v>
      </c>
      <c r="G420" s="110" t="s">
        <v>1052</v>
      </c>
      <c r="H420" s="31">
        <v>1.82</v>
      </c>
      <c r="I420" s="27">
        <f t="shared" si="13"/>
        <v>18.2</v>
      </c>
      <c r="J420" s="28" t="s">
        <v>1051</v>
      </c>
      <c r="K420" s="25">
        <v>41207</v>
      </c>
      <c r="M420" s="56">
        <v>41225</v>
      </c>
      <c r="N420" s="29" t="s">
        <v>166</v>
      </c>
      <c r="O420" s="28" t="s">
        <v>1377</v>
      </c>
      <c r="P420" s="32">
        <v>16292.64</v>
      </c>
      <c r="Q420" s="56">
        <v>41241</v>
      </c>
    </row>
    <row r="421" spans="1:33" ht="12" customHeight="1">
      <c r="A421" s="25">
        <v>41207</v>
      </c>
      <c r="B421" s="95" t="s">
        <v>1975</v>
      </c>
      <c r="C421" s="219" t="s">
        <v>162</v>
      </c>
      <c r="D421" s="1" t="s">
        <v>1219</v>
      </c>
      <c r="E421" s="28" t="s">
        <v>1053</v>
      </c>
      <c r="F421" s="119">
        <v>25</v>
      </c>
      <c r="G421" s="110" t="s">
        <v>1049</v>
      </c>
      <c r="H421" s="31">
        <v>3.86</v>
      </c>
      <c r="I421" s="27">
        <f t="shared" si="13"/>
        <v>96.5</v>
      </c>
      <c r="J421" s="28" t="s">
        <v>1054</v>
      </c>
      <c r="K421" s="25">
        <v>41207</v>
      </c>
      <c r="M421" s="56">
        <v>41240</v>
      </c>
      <c r="N421" s="29" t="s">
        <v>165</v>
      </c>
      <c r="O421" s="28" t="s">
        <v>175</v>
      </c>
    </row>
    <row r="422" spans="1:33" ht="12" customHeight="1">
      <c r="A422" s="25">
        <v>41207</v>
      </c>
      <c r="B422" s="95" t="s">
        <v>1975</v>
      </c>
      <c r="C422" s="219" t="s">
        <v>162</v>
      </c>
      <c r="D422" s="225" t="s">
        <v>1910</v>
      </c>
      <c r="E422" s="28" t="s">
        <v>1050</v>
      </c>
      <c r="F422" s="119">
        <v>10</v>
      </c>
      <c r="G422" s="110" t="s">
        <v>1052</v>
      </c>
      <c r="H422" s="31">
        <v>1.88</v>
      </c>
      <c r="I422" s="27">
        <f t="shared" si="13"/>
        <v>18.799999999999997</v>
      </c>
      <c r="J422" s="28" t="s">
        <v>1054</v>
      </c>
      <c r="K422" s="25">
        <v>41207</v>
      </c>
      <c r="M422" s="56">
        <v>41234</v>
      </c>
      <c r="N422" s="29" t="s">
        <v>1318</v>
      </c>
      <c r="O422" s="28" t="s">
        <v>1379</v>
      </c>
      <c r="P422" s="32">
        <v>22113.97</v>
      </c>
      <c r="Q422" s="56">
        <v>41241</v>
      </c>
    </row>
    <row r="423" spans="1:33" ht="12" customHeight="1">
      <c r="A423" s="25">
        <v>41207</v>
      </c>
      <c r="B423" s="95" t="s">
        <v>1975</v>
      </c>
      <c r="C423" s="219" t="s">
        <v>162</v>
      </c>
      <c r="D423" s="225" t="s">
        <v>983</v>
      </c>
      <c r="E423" s="28">
        <v>6800</v>
      </c>
      <c r="F423" s="119">
        <v>1</v>
      </c>
      <c r="G423" s="110" t="s">
        <v>1052</v>
      </c>
      <c r="H423" s="31">
        <v>430</v>
      </c>
      <c r="I423" s="27">
        <f t="shared" si="13"/>
        <v>430</v>
      </c>
      <c r="J423" s="28" t="s">
        <v>1055</v>
      </c>
      <c r="K423" s="25">
        <v>41207</v>
      </c>
      <c r="M423" s="56">
        <v>41240</v>
      </c>
      <c r="N423" s="29" t="s">
        <v>165</v>
      </c>
      <c r="O423" s="28" t="s">
        <v>1056</v>
      </c>
    </row>
    <row r="424" spans="1:33" ht="12" customHeight="1">
      <c r="A424" s="25">
        <v>41211</v>
      </c>
      <c r="B424" s="95" t="s">
        <v>1975</v>
      </c>
      <c r="C424" s="219" t="s">
        <v>162</v>
      </c>
      <c r="D424" s="225" t="s">
        <v>307</v>
      </c>
      <c r="E424" s="28">
        <v>1110</v>
      </c>
      <c r="F424" s="119">
        <v>500</v>
      </c>
      <c r="G424" s="111" t="s">
        <v>1062</v>
      </c>
      <c r="H424" s="31">
        <v>0.77</v>
      </c>
      <c r="I424" s="27">
        <f t="shared" si="13"/>
        <v>385</v>
      </c>
      <c r="J424" s="28" t="s">
        <v>1063</v>
      </c>
      <c r="K424" s="25">
        <v>41211</v>
      </c>
      <c r="M424" s="56">
        <v>41234</v>
      </c>
      <c r="N424" s="29" t="s">
        <v>1318</v>
      </c>
      <c r="O424" s="28" t="s">
        <v>1379</v>
      </c>
      <c r="P424" s="32">
        <v>22113.97</v>
      </c>
      <c r="Q424" s="56">
        <v>41241</v>
      </c>
    </row>
    <row r="425" spans="1:33" ht="12" customHeight="1">
      <c r="A425" s="25">
        <v>41211</v>
      </c>
      <c r="B425" s="95" t="s">
        <v>1975</v>
      </c>
      <c r="C425" s="219" t="s">
        <v>162</v>
      </c>
      <c r="D425" s="1" t="s">
        <v>1219</v>
      </c>
      <c r="E425" s="28" t="s">
        <v>779</v>
      </c>
      <c r="F425" s="119">
        <v>300</v>
      </c>
      <c r="G425" s="111" t="s">
        <v>1064</v>
      </c>
      <c r="H425" s="31">
        <v>3.86</v>
      </c>
      <c r="I425" s="27">
        <f t="shared" ref="I425:I455" si="14">H425*F425</f>
        <v>1158</v>
      </c>
      <c r="J425" s="28" t="s">
        <v>1065</v>
      </c>
      <c r="K425" s="25">
        <v>41211</v>
      </c>
      <c r="M425" s="56">
        <v>41240</v>
      </c>
      <c r="N425" s="29" t="s">
        <v>165</v>
      </c>
      <c r="O425" s="28" t="s">
        <v>1066</v>
      </c>
    </row>
    <row r="426" spans="1:33" ht="12" customHeight="1">
      <c r="A426" s="25">
        <v>41211</v>
      </c>
      <c r="B426" s="95" t="s">
        <v>1975</v>
      </c>
      <c r="C426" s="219" t="s">
        <v>162</v>
      </c>
      <c r="D426" s="225" t="s">
        <v>232</v>
      </c>
      <c r="E426" s="28" t="s">
        <v>1069</v>
      </c>
      <c r="F426" s="205">
        <v>500</v>
      </c>
      <c r="G426" s="111" t="s">
        <v>1061</v>
      </c>
      <c r="H426" s="31">
        <v>1.54</v>
      </c>
      <c r="I426" s="27">
        <f t="shared" si="14"/>
        <v>770</v>
      </c>
      <c r="J426" s="28" t="s">
        <v>1070</v>
      </c>
      <c r="K426" s="25">
        <v>41211</v>
      </c>
      <c r="M426" s="56">
        <v>41234</v>
      </c>
      <c r="N426" s="29" t="s">
        <v>1318</v>
      </c>
      <c r="O426" s="28" t="s">
        <v>1379</v>
      </c>
      <c r="P426" s="32">
        <v>22113.97</v>
      </c>
      <c r="Q426" s="56">
        <v>41241</v>
      </c>
    </row>
    <row r="427" spans="1:33" s="100" customFormat="1" ht="12" customHeight="1">
      <c r="A427" s="94">
        <v>41211</v>
      </c>
      <c r="B427" s="95" t="s">
        <v>1979</v>
      </c>
      <c r="C427" s="221" t="s">
        <v>163</v>
      </c>
      <c r="D427" s="225" t="s">
        <v>347</v>
      </c>
      <c r="E427" s="95" t="s">
        <v>179</v>
      </c>
      <c r="F427" s="95">
        <v>5000</v>
      </c>
      <c r="G427" s="95" t="s">
        <v>171</v>
      </c>
      <c r="H427" s="101">
        <v>1.53</v>
      </c>
      <c r="I427" s="102">
        <f t="shared" si="14"/>
        <v>7650</v>
      </c>
      <c r="J427" s="96" t="s">
        <v>1072</v>
      </c>
      <c r="K427" s="94">
        <v>41211</v>
      </c>
      <c r="L427" s="412"/>
      <c r="M427" s="97">
        <v>41225</v>
      </c>
      <c r="N427" s="29" t="s">
        <v>166</v>
      </c>
      <c r="O427" s="96" t="s">
        <v>1377</v>
      </c>
      <c r="P427" s="99">
        <v>16292.64</v>
      </c>
      <c r="Q427" s="97">
        <v>41241</v>
      </c>
      <c r="R427" s="95"/>
      <c r="S427" s="95"/>
      <c r="T427" s="95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5"/>
      <c r="AG427" s="95"/>
    </row>
    <row r="428" spans="1:33" s="100" customFormat="1" ht="12" customHeight="1">
      <c r="A428" s="94">
        <v>41211</v>
      </c>
      <c r="B428" s="95" t="s">
        <v>1979</v>
      </c>
      <c r="C428" s="221" t="s">
        <v>163</v>
      </c>
      <c r="D428" s="225" t="s">
        <v>1911</v>
      </c>
      <c r="E428" s="95">
        <v>3511</v>
      </c>
      <c r="F428" s="95">
        <v>3</v>
      </c>
      <c r="G428" s="95" t="s">
        <v>1071</v>
      </c>
      <c r="H428" s="101">
        <v>92</v>
      </c>
      <c r="I428" s="102">
        <f t="shared" si="14"/>
        <v>276</v>
      </c>
      <c r="J428" s="96" t="s">
        <v>1072</v>
      </c>
      <c r="K428" s="94">
        <v>41211</v>
      </c>
      <c r="L428" s="412"/>
      <c r="M428" s="97">
        <v>41225</v>
      </c>
      <c r="N428" s="29" t="s">
        <v>166</v>
      </c>
      <c r="O428" s="96" t="s">
        <v>1377</v>
      </c>
      <c r="P428" s="99">
        <v>16292.64</v>
      </c>
      <c r="Q428" s="97">
        <v>41241</v>
      </c>
      <c r="R428" s="95"/>
      <c r="S428" s="95"/>
      <c r="T428" s="95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5"/>
      <c r="AG428" s="95"/>
    </row>
    <row r="429" spans="1:33" s="100" customFormat="1" ht="12" customHeight="1">
      <c r="A429" s="94">
        <v>41211</v>
      </c>
      <c r="B429" s="95" t="s">
        <v>1979</v>
      </c>
      <c r="C429" s="221" t="s">
        <v>163</v>
      </c>
      <c r="D429" s="225" t="s">
        <v>1912</v>
      </c>
      <c r="E429" s="95">
        <v>3511</v>
      </c>
      <c r="F429" s="95">
        <v>2</v>
      </c>
      <c r="G429" s="95" t="s">
        <v>1071</v>
      </c>
      <c r="H429" s="101">
        <v>92</v>
      </c>
      <c r="I429" s="102">
        <f t="shared" si="14"/>
        <v>184</v>
      </c>
      <c r="J429" s="96" t="s">
        <v>1072</v>
      </c>
      <c r="K429" s="94">
        <v>41211</v>
      </c>
      <c r="L429" s="412"/>
      <c r="M429" s="97">
        <v>41225</v>
      </c>
      <c r="N429" s="29" t="s">
        <v>166</v>
      </c>
      <c r="O429" s="96" t="s">
        <v>1377</v>
      </c>
      <c r="P429" s="99">
        <v>16292.64</v>
      </c>
      <c r="Q429" s="97">
        <v>41241</v>
      </c>
      <c r="R429" s="95"/>
      <c r="S429" s="95"/>
      <c r="T429" s="95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  <c r="AG429" s="95"/>
    </row>
    <row r="430" spans="1:33" s="100" customFormat="1" ht="12" customHeight="1">
      <c r="A430" s="94">
        <v>41211</v>
      </c>
      <c r="B430" s="95" t="s">
        <v>1979</v>
      </c>
      <c r="C430" s="221" t="s">
        <v>163</v>
      </c>
      <c r="D430" s="225" t="s">
        <v>1913</v>
      </c>
      <c r="E430" s="95" t="s">
        <v>167</v>
      </c>
      <c r="F430" s="95">
        <v>5</v>
      </c>
      <c r="G430" s="95" t="s">
        <v>195</v>
      </c>
      <c r="H430" s="101">
        <v>17</v>
      </c>
      <c r="I430" s="102">
        <f t="shared" si="14"/>
        <v>85</v>
      </c>
      <c r="J430" s="96" t="s">
        <v>1072</v>
      </c>
      <c r="K430" s="94">
        <v>41211</v>
      </c>
      <c r="L430" s="412"/>
      <c r="M430" s="97">
        <v>41225</v>
      </c>
      <c r="N430" s="29" t="s">
        <v>166</v>
      </c>
      <c r="O430" s="96" t="s">
        <v>1377</v>
      </c>
      <c r="P430" s="99">
        <v>16292.64</v>
      </c>
      <c r="Q430" s="97">
        <v>41241</v>
      </c>
      <c r="R430" s="95"/>
      <c r="S430" s="95"/>
      <c r="T430" s="95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</row>
    <row r="431" spans="1:33" ht="12" customHeight="1">
      <c r="A431" s="25">
        <v>41212</v>
      </c>
      <c r="B431" s="95" t="s">
        <v>1975</v>
      </c>
      <c r="C431" s="219" t="s">
        <v>162</v>
      </c>
      <c r="D431" s="1" t="s">
        <v>1210</v>
      </c>
      <c r="E431" s="28">
        <v>3200</v>
      </c>
      <c r="F431" s="119">
        <v>40</v>
      </c>
      <c r="G431" s="112" t="s">
        <v>1073</v>
      </c>
      <c r="H431" s="31">
        <v>23.94</v>
      </c>
      <c r="I431" s="27">
        <f t="shared" si="14"/>
        <v>957.6</v>
      </c>
      <c r="J431" s="28" t="s">
        <v>1074</v>
      </c>
      <c r="K431" s="25">
        <v>41205</v>
      </c>
      <c r="M431" s="56">
        <v>41234</v>
      </c>
      <c r="N431" s="29" t="s">
        <v>1318</v>
      </c>
      <c r="O431" s="28" t="s">
        <v>1379</v>
      </c>
      <c r="P431" s="32">
        <v>22113.97</v>
      </c>
      <c r="Q431" s="56">
        <v>41241</v>
      </c>
    </row>
    <row r="432" spans="1:33" ht="12" customHeight="1">
      <c r="A432" s="25">
        <v>41212</v>
      </c>
      <c r="B432" s="95" t="s">
        <v>1975</v>
      </c>
      <c r="C432" s="219" t="s">
        <v>162</v>
      </c>
      <c r="D432" s="225" t="s">
        <v>305</v>
      </c>
      <c r="E432" s="28">
        <v>1270</v>
      </c>
      <c r="F432" s="119">
        <v>100</v>
      </c>
      <c r="G432" s="190" t="s">
        <v>239</v>
      </c>
      <c r="H432" s="31">
        <v>4.3099999999999996</v>
      </c>
      <c r="I432" s="27">
        <f t="shared" si="14"/>
        <v>430.99999999999994</v>
      </c>
      <c r="J432" s="28" t="s">
        <v>1074</v>
      </c>
      <c r="K432" s="25">
        <v>41212</v>
      </c>
      <c r="M432" s="56">
        <v>41234</v>
      </c>
      <c r="N432" s="29" t="s">
        <v>1318</v>
      </c>
      <c r="O432" s="28" t="s">
        <v>1379</v>
      </c>
      <c r="P432" s="32">
        <v>22113.97</v>
      </c>
      <c r="Q432" s="56">
        <v>41241</v>
      </c>
    </row>
    <row r="433" spans="1:33" ht="12" customHeight="1">
      <c r="A433" s="25">
        <v>41212</v>
      </c>
      <c r="B433" s="225" t="s">
        <v>1993</v>
      </c>
      <c r="C433" s="219" t="s">
        <v>162</v>
      </c>
      <c r="D433" s="225" t="s">
        <v>1914</v>
      </c>
      <c r="E433" s="196">
        <v>82518</v>
      </c>
      <c r="F433" s="119">
        <v>300</v>
      </c>
      <c r="G433" s="117" t="s">
        <v>1075</v>
      </c>
      <c r="H433" s="31">
        <v>127</v>
      </c>
      <c r="I433" s="27">
        <f t="shared" si="14"/>
        <v>38100</v>
      </c>
      <c r="J433" s="28" t="s">
        <v>1076</v>
      </c>
      <c r="K433" s="25" t="s">
        <v>4933</v>
      </c>
      <c r="M433" s="56">
        <v>41212</v>
      </c>
      <c r="N433" s="29" t="s">
        <v>1095</v>
      </c>
      <c r="O433" s="28" t="s">
        <v>1554</v>
      </c>
      <c r="P433" s="32">
        <v>38862</v>
      </c>
      <c r="Q433" s="56">
        <v>41263</v>
      </c>
      <c r="R433" s="117"/>
      <c r="S433" s="117"/>
      <c r="T433" s="117"/>
      <c r="U433" s="117"/>
      <c r="V433" s="117"/>
      <c r="W433" s="117"/>
      <c r="X433" s="117"/>
      <c r="Y433" s="117"/>
      <c r="Z433" s="117"/>
      <c r="AA433" s="117"/>
      <c r="AB433" s="117"/>
      <c r="AC433" s="117"/>
      <c r="AD433" s="117"/>
      <c r="AE433" s="117"/>
      <c r="AF433" s="117"/>
      <c r="AG433" s="117"/>
    </row>
    <row r="434" spans="1:33" ht="12" customHeight="1">
      <c r="A434" s="25">
        <v>41212</v>
      </c>
      <c r="B434" s="225" t="s">
        <v>1985</v>
      </c>
      <c r="C434" s="219" t="s">
        <v>162</v>
      </c>
      <c r="D434" s="225" t="s">
        <v>1919</v>
      </c>
      <c r="E434" s="196">
        <v>8577</v>
      </c>
      <c r="F434" s="119">
        <v>30</v>
      </c>
      <c r="G434" s="112" t="s">
        <v>1073</v>
      </c>
      <c r="H434" s="31">
        <v>28</v>
      </c>
      <c r="I434" s="27">
        <f t="shared" si="14"/>
        <v>840</v>
      </c>
      <c r="J434" s="28" t="s">
        <v>1076</v>
      </c>
      <c r="K434" s="25">
        <v>41218</v>
      </c>
      <c r="M434" s="56">
        <v>41212</v>
      </c>
      <c r="N434" s="29" t="s">
        <v>1095</v>
      </c>
      <c r="O434" s="28" t="s">
        <v>1239</v>
      </c>
      <c r="P434" s="32">
        <v>25994.400000000001</v>
      </c>
      <c r="Q434" s="56">
        <v>41222</v>
      </c>
    </row>
    <row r="435" spans="1:33" ht="12" customHeight="1">
      <c r="A435" s="25">
        <v>41212</v>
      </c>
      <c r="B435" s="225" t="s">
        <v>1985</v>
      </c>
      <c r="C435" s="219" t="s">
        <v>162</v>
      </c>
      <c r="D435" s="225" t="s">
        <v>1920</v>
      </c>
      <c r="E435" s="196" t="s">
        <v>1077</v>
      </c>
      <c r="F435" s="119">
        <v>3</v>
      </c>
      <c r="G435" s="112" t="s">
        <v>1078</v>
      </c>
      <c r="H435" s="31">
        <v>361.3</v>
      </c>
      <c r="I435" s="27">
        <f t="shared" si="14"/>
        <v>1083.9000000000001</v>
      </c>
      <c r="J435" s="28" t="s">
        <v>1076</v>
      </c>
      <c r="K435" s="25">
        <v>41218</v>
      </c>
      <c r="M435" s="56">
        <v>41212</v>
      </c>
      <c r="N435" s="29" t="s">
        <v>1095</v>
      </c>
      <c r="O435" s="28" t="s">
        <v>1239</v>
      </c>
      <c r="P435" s="32">
        <v>25994.400000000001</v>
      </c>
      <c r="Q435" s="56">
        <v>41222</v>
      </c>
    </row>
    <row r="436" spans="1:33" ht="12" customHeight="1">
      <c r="A436" s="25">
        <v>41212</v>
      </c>
      <c r="B436" s="225" t="s">
        <v>1978</v>
      </c>
      <c r="C436" s="219" t="s">
        <v>162</v>
      </c>
      <c r="D436" s="225" t="s">
        <v>1919</v>
      </c>
      <c r="E436" s="196">
        <v>8577</v>
      </c>
      <c r="F436" s="129">
        <v>38</v>
      </c>
      <c r="G436" s="129" t="s">
        <v>170</v>
      </c>
      <c r="H436" s="31">
        <v>25.86</v>
      </c>
      <c r="I436" s="27">
        <f t="shared" si="14"/>
        <v>982.68</v>
      </c>
      <c r="J436" s="28" t="s">
        <v>167</v>
      </c>
      <c r="K436" s="25">
        <v>41215</v>
      </c>
      <c r="M436" s="25">
        <v>41212</v>
      </c>
      <c r="N436" s="29" t="s">
        <v>166</v>
      </c>
      <c r="O436" s="28" t="s">
        <v>1330</v>
      </c>
      <c r="P436" s="32">
        <v>59177.48</v>
      </c>
      <c r="Q436" s="56">
        <v>41236</v>
      </c>
      <c r="R436" s="49"/>
      <c r="S436" s="49"/>
      <c r="T436" s="49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</row>
    <row r="437" spans="1:33" ht="12" customHeight="1">
      <c r="A437" s="25">
        <v>41212</v>
      </c>
      <c r="B437" s="225" t="s">
        <v>1977</v>
      </c>
      <c r="C437" s="219" t="s">
        <v>162</v>
      </c>
      <c r="D437" s="225" t="s">
        <v>1886</v>
      </c>
      <c r="E437" s="196" t="s">
        <v>145</v>
      </c>
      <c r="F437" s="129">
        <v>20</v>
      </c>
      <c r="G437" s="129" t="s">
        <v>170</v>
      </c>
      <c r="H437" s="31">
        <v>17.5</v>
      </c>
      <c r="I437" s="27">
        <f t="shared" si="14"/>
        <v>350</v>
      </c>
      <c r="J437" s="28" t="s">
        <v>167</v>
      </c>
      <c r="K437" s="25">
        <v>41212</v>
      </c>
      <c r="M437" s="25">
        <v>41214</v>
      </c>
      <c r="N437" s="29" t="s">
        <v>166</v>
      </c>
      <c r="O437" s="28" t="s">
        <v>1586</v>
      </c>
      <c r="P437" s="32">
        <v>3090.5</v>
      </c>
      <c r="Q437" s="56">
        <v>41268</v>
      </c>
      <c r="R437" s="49"/>
      <c r="S437" s="49"/>
      <c r="T437" s="49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</row>
    <row r="438" spans="1:33" ht="12" customHeight="1">
      <c r="A438" s="25">
        <v>41213</v>
      </c>
      <c r="B438" s="225" t="s">
        <v>1975</v>
      </c>
      <c r="C438" s="219" t="s">
        <v>162</v>
      </c>
      <c r="D438" s="1" t="s">
        <v>1219</v>
      </c>
      <c r="E438" s="28" t="s">
        <v>779</v>
      </c>
      <c r="F438" s="129">
        <v>100</v>
      </c>
      <c r="G438" s="129" t="s">
        <v>171</v>
      </c>
      <c r="H438" s="31">
        <v>4</v>
      </c>
      <c r="I438" s="27">
        <f t="shared" si="14"/>
        <v>400</v>
      </c>
      <c r="J438" s="28" t="s">
        <v>1081</v>
      </c>
      <c r="K438" s="25">
        <v>41213</v>
      </c>
      <c r="M438" s="25">
        <v>41234</v>
      </c>
      <c r="N438" s="29" t="s">
        <v>166</v>
      </c>
      <c r="O438" s="28" t="s">
        <v>1379</v>
      </c>
      <c r="P438" s="32">
        <v>22113.97</v>
      </c>
      <c r="Q438" s="56">
        <v>41241</v>
      </c>
      <c r="R438" s="49"/>
      <c r="S438" s="49"/>
      <c r="T438" s="49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</row>
    <row r="439" spans="1:33" ht="12" customHeight="1">
      <c r="A439" s="25">
        <v>41214</v>
      </c>
      <c r="B439" s="225" t="s">
        <v>1977</v>
      </c>
      <c r="C439" s="219" t="s">
        <v>162</v>
      </c>
      <c r="D439" s="225" t="s">
        <v>1716</v>
      </c>
      <c r="E439" s="196">
        <v>8576</v>
      </c>
      <c r="F439" s="129">
        <v>30</v>
      </c>
      <c r="G439" s="129" t="s">
        <v>171</v>
      </c>
      <c r="H439" s="31">
        <v>24</v>
      </c>
      <c r="I439" s="27">
        <f t="shared" si="14"/>
        <v>720</v>
      </c>
      <c r="J439" s="28" t="s">
        <v>1082</v>
      </c>
      <c r="K439" s="25">
        <v>41214</v>
      </c>
      <c r="M439" s="25">
        <v>41214</v>
      </c>
      <c r="N439" s="29" t="s">
        <v>166</v>
      </c>
      <c r="O439" s="28" t="s">
        <v>1586</v>
      </c>
      <c r="P439" s="32">
        <v>3090.5</v>
      </c>
      <c r="Q439" s="56">
        <v>41268</v>
      </c>
      <c r="R439" s="49"/>
      <c r="S439" s="49"/>
      <c r="T439" s="49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</row>
    <row r="440" spans="1:33" ht="12" customHeight="1">
      <c r="A440" s="25">
        <v>41214</v>
      </c>
      <c r="B440" s="225" t="s">
        <v>1977</v>
      </c>
      <c r="C440" s="219" t="s">
        <v>1277</v>
      </c>
      <c r="D440" s="225" t="s">
        <v>1922</v>
      </c>
      <c r="E440" s="196" t="s">
        <v>1085</v>
      </c>
      <c r="F440" s="129">
        <v>7</v>
      </c>
      <c r="G440" s="129" t="s">
        <v>827</v>
      </c>
      <c r="H440" s="31">
        <v>91.5</v>
      </c>
      <c r="I440" s="27">
        <f t="shared" si="14"/>
        <v>640.5</v>
      </c>
      <c r="J440" s="28" t="s">
        <v>1082</v>
      </c>
      <c r="K440" s="25">
        <v>41214</v>
      </c>
      <c r="M440" s="25">
        <v>41214</v>
      </c>
      <c r="N440" s="29" t="s">
        <v>166</v>
      </c>
      <c r="O440" s="28" t="s">
        <v>1586</v>
      </c>
      <c r="P440" s="32">
        <v>3090.5</v>
      </c>
      <c r="Q440" s="56">
        <v>41268</v>
      </c>
      <c r="R440" s="49"/>
      <c r="S440" s="49"/>
      <c r="T440" s="49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</row>
    <row r="441" spans="1:33" ht="12" customHeight="1">
      <c r="A441" s="25">
        <v>41214</v>
      </c>
      <c r="B441" s="225" t="s">
        <v>1979</v>
      </c>
      <c r="C441" s="219" t="s">
        <v>162</v>
      </c>
      <c r="D441" s="225" t="s">
        <v>1923</v>
      </c>
      <c r="E441" s="196">
        <v>10434</v>
      </c>
      <c r="F441" s="131">
        <v>150</v>
      </c>
      <c r="G441" s="129" t="s">
        <v>172</v>
      </c>
      <c r="H441" s="31">
        <v>14.2</v>
      </c>
      <c r="I441" s="27">
        <f t="shared" si="14"/>
        <v>2130</v>
      </c>
      <c r="J441" s="28" t="s">
        <v>1084</v>
      </c>
      <c r="K441" s="25">
        <v>41214</v>
      </c>
      <c r="M441" s="25">
        <v>41241</v>
      </c>
      <c r="N441" s="29" t="s">
        <v>166</v>
      </c>
      <c r="O441" s="28" t="s">
        <v>1377</v>
      </c>
      <c r="P441" s="32">
        <v>16292.64</v>
      </c>
      <c r="Q441" s="56">
        <v>41241</v>
      </c>
      <c r="R441" s="49"/>
      <c r="S441" s="49"/>
      <c r="T441" s="49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</row>
    <row r="442" spans="1:33" ht="12" customHeight="1">
      <c r="A442" s="25">
        <v>41214</v>
      </c>
      <c r="B442" s="225" t="s">
        <v>1979</v>
      </c>
      <c r="C442" s="219" t="s">
        <v>162</v>
      </c>
      <c r="D442" s="225" t="s">
        <v>1921</v>
      </c>
      <c r="E442" s="196" t="s">
        <v>1083</v>
      </c>
      <c r="F442" s="131">
        <v>100</v>
      </c>
      <c r="G442" s="328" t="s">
        <v>170</v>
      </c>
      <c r="H442" s="31">
        <v>3.59</v>
      </c>
      <c r="I442" s="27">
        <f t="shared" si="14"/>
        <v>359</v>
      </c>
      <c r="J442" s="28" t="s">
        <v>1084</v>
      </c>
      <c r="K442" s="25">
        <v>41214</v>
      </c>
      <c r="M442" s="25">
        <v>41241</v>
      </c>
      <c r="N442" s="29" t="s">
        <v>166</v>
      </c>
      <c r="O442" s="28" t="s">
        <v>1377</v>
      </c>
      <c r="P442" s="32">
        <v>16292.64</v>
      </c>
      <c r="Q442" s="56">
        <v>41241</v>
      </c>
      <c r="R442" s="49"/>
      <c r="S442" s="49"/>
      <c r="T442" s="49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</row>
    <row r="443" spans="1:33" ht="12" customHeight="1">
      <c r="A443" s="25">
        <v>41214</v>
      </c>
      <c r="B443" s="225" t="s">
        <v>1986</v>
      </c>
      <c r="C443" s="219" t="s">
        <v>1277</v>
      </c>
      <c r="D443" s="225" t="s">
        <v>1922</v>
      </c>
      <c r="E443" s="196" t="s">
        <v>1086</v>
      </c>
      <c r="F443" s="129">
        <v>8</v>
      </c>
      <c r="G443" s="129" t="s">
        <v>827</v>
      </c>
      <c r="H443" s="31">
        <v>88.66</v>
      </c>
      <c r="I443" s="27">
        <f t="shared" si="14"/>
        <v>709.28</v>
      </c>
      <c r="J443" s="28" t="s">
        <v>1092</v>
      </c>
      <c r="K443" s="25">
        <v>41226</v>
      </c>
      <c r="M443" s="25">
        <v>41214</v>
      </c>
      <c r="N443" s="29" t="s">
        <v>166</v>
      </c>
      <c r="O443" s="28" t="s">
        <v>1387</v>
      </c>
      <c r="P443" s="32" t="s">
        <v>1388</v>
      </c>
      <c r="Q443" s="56">
        <v>41242</v>
      </c>
      <c r="R443" s="49"/>
      <c r="S443" s="49"/>
      <c r="T443" s="49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</row>
    <row r="444" spans="1:33" ht="12" customHeight="1">
      <c r="A444" s="25">
        <v>41214</v>
      </c>
      <c r="B444" s="225" t="s">
        <v>1986</v>
      </c>
      <c r="C444" s="219" t="s">
        <v>1277</v>
      </c>
      <c r="D444" s="225" t="s">
        <v>1922</v>
      </c>
      <c r="E444" s="196" t="s">
        <v>1087</v>
      </c>
      <c r="F444" s="129">
        <v>2</v>
      </c>
      <c r="G444" s="129" t="s">
        <v>827</v>
      </c>
      <c r="H444" s="31">
        <v>88.66</v>
      </c>
      <c r="I444" s="27">
        <f t="shared" si="14"/>
        <v>177.32</v>
      </c>
      <c r="J444" s="28" t="s">
        <v>1092</v>
      </c>
      <c r="K444" s="25">
        <v>41226</v>
      </c>
      <c r="M444" s="25">
        <v>41214</v>
      </c>
      <c r="N444" s="29" t="s">
        <v>166</v>
      </c>
      <c r="O444" s="28" t="s">
        <v>1387</v>
      </c>
      <c r="P444" s="32" t="s">
        <v>1388</v>
      </c>
      <c r="Q444" s="56">
        <v>41242</v>
      </c>
      <c r="R444" s="49"/>
      <c r="S444" s="49"/>
      <c r="T444" s="49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</row>
    <row r="445" spans="1:33" ht="12" customHeight="1">
      <c r="A445" s="25">
        <v>41214</v>
      </c>
      <c r="B445" s="225" t="s">
        <v>1986</v>
      </c>
      <c r="C445" s="219" t="s">
        <v>1277</v>
      </c>
      <c r="D445" s="225" t="s">
        <v>1922</v>
      </c>
      <c r="E445" s="196" t="s">
        <v>1088</v>
      </c>
      <c r="F445" s="129">
        <v>4</v>
      </c>
      <c r="G445" s="129" t="s">
        <v>827</v>
      </c>
      <c r="H445" s="31">
        <v>88.66</v>
      </c>
      <c r="I445" s="27">
        <f t="shared" si="14"/>
        <v>354.64</v>
      </c>
      <c r="J445" s="28" t="s">
        <v>1092</v>
      </c>
      <c r="K445" s="25">
        <v>41226</v>
      </c>
      <c r="M445" s="25">
        <v>41214</v>
      </c>
      <c r="N445" s="29" t="s">
        <v>166</v>
      </c>
      <c r="O445" s="28" t="s">
        <v>1387</v>
      </c>
      <c r="P445" s="32" t="s">
        <v>1388</v>
      </c>
      <c r="Q445" s="56">
        <v>41242</v>
      </c>
      <c r="R445" s="49"/>
      <c r="S445" s="49"/>
      <c r="T445" s="49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</row>
    <row r="446" spans="1:33" ht="12" customHeight="1">
      <c r="A446" s="25">
        <v>41214</v>
      </c>
      <c r="B446" s="225" t="s">
        <v>1986</v>
      </c>
      <c r="C446" s="219" t="s">
        <v>1277</v>
      </c>
      <c r="D446" s="225" t="s">
        <v>1922</v>
      </c>
      <c r="E446" s="196" t="s">
        <v>1089</v>
      </c>
      <c r="F446" s="129">
        <v>54</v>
      </c>
      <c r="G446" s="129" t="s">
        <v>827</v>
      </c>
      <c r="H446" s="31">
        <v>88.66</v>
      </c>
      <c r="I446" s="27">
        <f t="shared" si="14"/>
        <v>4787.6399999999994</v>
      </c>
      <c r="J446" s="28" t="s">
        <v>1092</v>
      </c>
      <c r="K446" s="25">
        <v>41226</v>
      </c>
      <c r="M446" s="25">
        <v>41214</v>
      </c>
      <c r="N446" s="29" t="s">
        <v>166</v>
      </c>
      <c r="O446" s="28" t="s">
        <v>1387</v>
      </c>
      <c r="P446" s="32" t="s">
        <v>1388</v>
      </c>
      <c r="Q446" s="56">
        <v>41242</v>
      </c>
      <c r="R446" s="49"/>
      <c r="S446" s="49"/>
      <c r="T446" s="49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</row>
    <row r="447" spans="1:33" ht="12" customHeight="1">
      <c r="A447" s="25">
        <v>41214</v>
      </c>
      <c r="B447" s="225" t="s">
        <v>1986</v>
      </c>
      <c r="C447" s="219" t="s">
        <v>1277</v>
      </c>
      <c r="D447" s="225" t="s">
        <v>1922</v>
      </c>
      <c r="E447" s="196" t="s">
        <v>1090</v>
      </c>
      <c r="F447" s="129">
        <v>86</v>
      </c>
      <c r="G447" s="129" t="s">
        <v>827</v>
      </c>
      <c r="H447" s="31">
        <v>88.66</v>
      </c>
      <c r="I447" s="27">
        <f t="shared" si="14"/>
        <v>7624.7599999999993</v>
      </c>
      <c r="J447" s="28" t="s">
        <v>1092</v>
      </c>
      <c r="K447" s="25">
        <v>41226</v>
      </c>
      <c r="M447" s="25">
        <v>41214</v>
      </c>
      <c r="N447" s="29" t="s">
        <v>166</v>
      </c>
      <c r="O447" s="28" t="s">
        <v>1387</v>
      </c>
      <c r="P447" s="32" t="s">
        <v>1388</v>
      </c>
      <c r="Q447" s="56">
        <v>41242</v>
      </c>
      <c r="R447" s="49"/>
      <c r="S447" s="49"/>
      <c r="T447" s="49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</row>
    <row r="448" spans="1:33" ht="12" customHeight="1">
      <c r="A448" s="25">
        <v>41214</v>
      </c>
      <c r="B448" s="225" t="s">
        <v>1986</v>
      </c>
      <c r="C448" s="219" t="s">
        <v>1277</v>
      </c>
      <c r="D448" s="225" t="s">
        <v>1922</v>
      </c>
      <c r="E448" s="196" t="s">
        <v>1091</v>
      </c>
      <c r="F448" s="129">
        <v>65</v>
      </c>
      <c r="G448" s="129" t="s">
        <v>827</v>
      </c>
      <c r="H448" s="31">
        <v>88.66</v>
      </c>
      <c r="I448" s="27">
        <f t="shared" si="14"/>
        <v>5762.9</v>
      </c>
      <c r="J448" s="28" t="s">
        <v>1092</v>
      </c>
      <c r="K448" s="25">
        <v>41226</v>
      </c>
      <c r="M448" s="25">
        <v>41214</v>
      </c>
      <c r="N448" s="29" t="s">
        <v>166</v>
      </c>
      <c r="O448" s="28" t="s">
        <v>1387</v>
      </c>
      <c r="P448" s="32" t="s">
        <v>1388</v>
      </c>
      <c r="Q448" s="56">
        <v>41242</v>
      </c>
      <c r="R448" s="49"/>
      <c r="S448" s="49"/>
      <c r="T448" s="49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</row>
    <row r="449" spans="1:33" ht="12" customHeight="1">
      <c r="A449" s="25">
        <v>41214</v>
      </c>
      <c r="B449" s="225" t="s">
        <v>1986</v>
      </c>
      <c r="C449" s="219" t="s">
        <v>1277</v>
      </c>
      <c r="D449" s="225" t="s">
        <v>1922</v>
      </c>
      <c r="E449" s="196" t="s">
        <v>1332</v>
      </c>
      <c r="F449" s="129">
        <v>27</v>
      </c>
      <c r="G449" s="129" t="s">
        <v>827</v>
      </c>
      <c r="H449" s="31">
        <v>88.66</v>
      </c>
      <c r="I449" s="27">
        <f t="shared" si="14"/>
        <v>2393.8199999999997</v>
      </c>
      <c r="J449" s="28" t="s">
        <v>1092</v>
      </c>
      <c r="K449" s="25">
        <v>41226</v>
      </c>
      <c r="M449" s="25">
        <v>41214</v>
      </c>
      <c r="N449" s="29" t="s">
        <v>166</v>
      </c>
      <c r="O449" s="28" t="s">
        <v>1387</v>
      </c>
      <c r="P449" s="32" t="s">
        <v>1388</v>
      </c>
      <c r="Q449" s="56">
        <v>41242</v>
      </c>
      <c r="R449" s="49"/>
      <c r="S449" s="49"/>
      <c r="T449" s="49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</row>
    <row r="450" spans="1:33" ht="12" customHeight="1">
      <c r="A450" s="25">
        <v>41214</v>
      </c>
      <c r="B450" s="225" t="s">
        <v>1985</v>
      </c>
      <c r="C450" s="219" t="s">
        <v>1277</v>
      </c>
      <c r="D450" s="225" t="s">
        <v>1922</v>
      </c>
      <c r="E450" s="196" t="s">
        <v>1093</v>
      </c>
      <c r="F450" s="129">
        <v>46</v>
      </c>
      <c r="G450" s="129" t="s">
        <v>827</v>
      </c>
      <c r="H450" s="31">
        <v>88.7</v>
      </c>
      <c r="I450" s="27">
        <f t="shared" si="14"/>
        <v>4080.2000000000003</v>
      </c>
      <c r="J450" s="28" t="s">
        <v>1333</v>
      </c>
      <c r="K450" s="25">
        <v>41226</v>
      </c>
      <c r="M450" s="25" t="s">
        <v>1249</v>
      </c>
      <c r="N450" s="29" t="s">
        <v>166</v>
      </c>
      <c r="O450" s="28" t="s">
        <v>1472</v>
      </c>
      <c r="P450" s="32">
        <v>31007.119999999999</v>
      </c>
      <c r="Q450" s="56">
        <v>41254</v>
      </c>
      <c r="R450" s="49"/>
      <c r="S450" s="49"/>
      <c r="T450" s="49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</row>
    <row r="451" spans="1:33" ht="12" customHeight="1">
      <c r="A451" s="25">
        <v>41214</v>
      </c>
      <c r="B451" s="225" t="s">
        <v>1985</v>
      </c>
      <c r="C451" s="219" t="s">
        <v>1277</v>
      </c>
      <c r="D451" s="225" t="s">
        <v>1922</v>
      </c>
      <c r="E451" s="196" t="s">
        <v>1086</v>
      </c>
      <c r="F451" s="129">
        <v>20</v>
      </c>
      <c r="G451" s="129" t="s">
        <v>827</v>
      </c>
      <c r="H451" s="31">
        <v>88.7</v>
      </c>
      <c r="I451" s="27">
        <f t="shared" si="14"/>
        <v>1774</v>
      </c>
      <c r="J451" s="28" t="s">
        <v>1333</v>
      </c>
      <c r="K451" s="25">
        <v>41226</v>
      </c>
      <c r="M451" s="25" t="s">
        <v>1249</v>
      </c>
      <c r="N451" s="29" t="s">
        <v>166</v>
      </c>
      <c r="O451" s="28" t="s">
        <v>1472</v>
      </c>
      <c r="P451" s="32">
        <v>31007.119999999999</v>
      </c>
      <c r="Q451" s="56">
        <v>41254</v>
      </c>
      <c r="R451" s="49"/>
      <c r="S451" s="49"/>
      <c r="T451" s="49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</row>
    <row r="452" spans="1:33" ht="12" customHeight="1">
      <c r="A452" s="25">
        <v>41214</v>
      </c>
      <c r="B452" s="225" t="s">
        <v>1985</v>
      </c>
      <c r="C452" s="219" t="s">
        <v>1277</v>
      </c>
      <c r="D452" s="225" t="s">
        <v>1922</v>
      </c>
      <c r="E452" s="196" t="s">
        <v>1087</v>
      </c>
      <c r="F452" s="129">
        <v>40</v>
      </c>
      <c r="G452" s="129" t="s">
        <v>827</v>
      </c>
      <c r="H452" s="31">
        <v>88.7</v>
      </c>
      <c r="I452" s="27">
        <f t="shared" si="14"/>
        <v>3548</v>
      </c>
      <c r="J452" s="28" t="s">
        <v>1333</v>
      </c>
      <c r="K452" s="25">
        <v>41226</v>
      </c>
      <c r="M452" s="25" t="s">
        <v>1249</v>
      </c>
      <c r="N452" s="29" t="s">
        <v>166</v>
      </c>
      <c r="O452" s="28" t="s">
        <v>1472</v>
      </c>
      <c r="P452" s="32">
        <v>31007.119999999999</v>
      </c>
      <c r="Q452" s="56">
        <v>41254</v>
      </c>
      <c r="R452" s="49"/>
      <c r="S452" s="49"/>
      <c r="T452" s="49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</row>
    <row r="453" spans="1:33" ht="12" customHeight="1">
      <c r="A453" s="25">
        <v>41214</v>
      </c>
      <c r="B453" s="225" t="s">
        <v>1985</v>
      </c>
      <c r="C453" s="219" t="s">
        <v>1277</v>
      </c>
      <c r="D453" s="225" t="s">
        <v>1922</v>
      </c>
      <c r="E453" s="196" t="s">
        <v>1088</v>
      </c>
      <c r="F453" s="129">
        <v>60</v>
      </c>
      <c r="G453" s="129" t="s">
        <v>827</v>
      </c>
      <c r="H453" s="31">
        <v>88.7</v>
      </c>
      <c r="I453" s="27">
        <f t="shared" si="14"/>
        <v>5322</v>
      </c>
      <c r="J453" s="28" t="s">
        <v>1333</v>
      </c>
      <c r="K453" s="25">
        <v>41226</v>
      </c>
      <c r="M453" s="25" t="s">
        <v>1249</v>
      </c>
      <c r="N453" s="29" t="s">
        <v>166</v>
      </c>
      <c r="O453" s="28" t="s">
        <v>1472</v>
      </c>
      <c r="P453" s="32">
        <v>31007.119999999999</v>
      </c>
      <c r="Q453" s="56">
        <v>41254</v>
      </c>
      <c r="R453" s="49"/>
      <c r="S453" s="49"/>
      <c r="T453" s="49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</row>
    <row r="454" spans="1:33" ht="12" customHeight="1">
      <c r="A454" s="25">
        <v>41214</v>
      </c>
      <c r="B454" s="225" t="s">
        <v>1985</v>
      </c>
      <c r="C454" s="219" t="s">
        <v>1277</v>
      </c>
      <c r="D454" s="225" t="s">
        <v>1922</v>
      </c>
      <c r="E454" s="196" t="s">
        <v>1089</v>
      </c>
      <c r="F454" s="129">
        <v>30</v>
      </c>
      <c r="G454" s="129" t="s">
        <v>827</v>
      </c>
      <c r="H454" s="31">
        <v>88.7</v>
      </c>
      <c r="I454" s="27">
        <f t="shared" si="14"/>
        <v>2661</v>
      </c>
      <c r="J454" s="28" t="s">
        <v>1333</v>
      </c>
      <c r="K454" s="25">
        <v>41226</v>
      </c>
      <c r="M454" s="25" t="s">
        <v>1249</v>
      </c>
      <c r="N454" s="29" t="s">
        <v>166</v>
      </c>
      <c r="O454" s="28" t="s">
        <v>1472</v>
      </c>
      <c r="P454" s="32">
        <v>31007.119999999999</v>
      </c>
      <c r="Q454" s="56">
        <v>41254</v>
      </c>
      <c r="R454" s="49"/>
      <c r="S454" s="49"/>
      <c r="T454" s="49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</row>
    <row r="455" spans="1:33" ht="12" customHeight="1">
      <c r="A455" s="25">
        <v>41214</v>
      </c>
      <c r="B455" s="225" t="s">
        <v>1985</v>
      </c>
      <c r="C455" s="219" t="s">
        <v>162</v>
      </c>
      <c r="D455" s="225" t="s">
        <v>1905</v>
      </c>
      <c r="E455" s="196" t="s">
        <v>987</v>
      </c>
      <c r="F455" s="129">
        <v>2</v>
      </c>
      <c r="G455" s="129" t="s">
        <v>170</v>
      </c>
      <c r="H455" s="31">
        <v>295</v>
      </c>
      <c r="I455" s="27">
        <f t="shared" si="14"/>
        <v>590</v>
      </c>
      <c r="J455" s="28" t="s">
        <v>1094</v>
      </c>
      <c r="K455" s="25" t="s">
        <v>4933</v>
      </c>
      <c r="M455" s="25">
        <v>41222</v>
      </c>
      <c r="N455" s="29" t="s">
        <v>166</v>
      </c>
      <c r="O455" s="28" t="s">
        <v>1472</v>
      </c>
      <c r="P455" s="32">
        <v>31007.119999999999</v>
      </c>
      <c r="Q455" s="56">
        <v>41254</v>
      </c>
      <c r="R455" s="49"/>
      <c r="S455" s="49"/>
      <c r="T455" s="49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</row>
    <row r="456" spans="1:33" ht="12" customHeight="1">
      <c r="A456" s="25">
        <v>41214</v>
      </c>
      <c r="B456" s="225" t="s">
        <v>1987</v>
      </c>
      <c r="C456" s="219" t="s">
        <v>162</v>
      </c>
      <c r="D456" s="225" t="s">
        <v>1901</v>
      </c>
      <c r="E456" s="196">
        <v>52000183617</v>
      </c>
      <c r="F456" s="129">
        <v>1</v>
      </c>
      <c r="G456" s="129" t="s">
        <v>894</v>
      </c>
      <c r="H456" s="31">
        <v>0</v>
      </c>
      <c r="I456" s="27">
        <v>0</v>
      </c>
      <c r="J456" s="28" t="s">
        <v>1110</v>
      </c>
      <c r="K456" s="25">
        <v>41214</v>
      </c>
      <c r="M456" s="25" t="s">
        <v>1207</v>
      </c>
      <c r="N456" s="29" t="s">
        <v>4933</v>
      </c>
      <c r="O456" s="28" t="s">
        <v>1247</v>
      </c>
      <c r="P456" s="32">
        <v>14070</v>
      </c>
      <c r="Q456" s="56">
        <v>41225</v>
      </c>
      <c r="R456" s="49"/>
      <c r="S456" s="49"/>
      <c r="T456" s="49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</row>
    <row r="457" spans="1:33" ht="12" customHeight="1">
      <c r="A457" s="25">
        <v>41215</v>
      </c>
      <c r="B457" s="225" t="s">
        <v>1975</v>
      </c>
      <c r="C457" s="219" t="s">
        <v>162</v>
      </c>
      <c r="D457" s="225" t="s">
        <v>1924</v>
      </c>
      <c r="E457" s="28">
        <v>4620</v>
      </c>
      <c r="F457" s="129">
        <v>2</v>
      </c>
      <c r="G457" s="129" t="s">
        <v>174</v>
      </c>
      <c r="H457" s="31">
        <v>17.79</v>
      </c>
      <c r="I457" s="27">
        <f t="shared" ref="I457:I488" si="15">H457*F457</f>
        <v>35.58</v>
      </c>
      <c r="J457" s="28" t="s">
        <v>1098</v>
      </c>
      <c r="K457" s="25">
        <v>41215</v>
      </c>
      <c r="M457" s="25">
        <v>41234</v>
      </c>
      <c r="N457" s="29" t="s">
        <v>166</v>
      </c>
      <c r="O457" s="28" t="s">
        <v>1379</v>
      </c>
      <c r="P457" s="32">
        <v>22113.97</v>
      </c>
      <c r="Q457" s="56">
        <v>41241</v>
      </c>
      <c r="R457" s="49"/>
      <c r="S457" s="49"/>
      <c r="T457" s="49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</row>
    <row r="458" spans="1:33" ht="12" customHeight="1">
      <c r="A458" s="25">
        <v>41215</v>
      </c>
      <c r="B458" s="225" t="s">
        <v>1975</v>
      </c>
      <c r="C458" s="219" t="s">
        <v>162</v>
      </c>
      <c r="D458" s="225" t="s">
        <v>1925</v>
      </c>
      <c r="E458" s="28" t="s">
        <v>181</v>
      </c>
      <c r="F458" s="129">
        <v>500</v>
      </c>
      <c r="G458" s="129" t="s">
        <v>171</v>
      </c>
      <c r="H458" s="31">
        <v>1.65</v>
      </c>
      <c r="I458" s="27">
        <f t="shared" si="15"/>
        <v>825</v>
      </c>
      <c r="J458" s="28" t="s">
        <v>1098</v>
      </c>
      <c r="K458" s="25">
        <v>41215</v>
      </c>
      <c r="M458" s="25">
        <v>41234</v>
      </c>
      <c r="N458" s="29" t="s">
        <v>166</v>
      </c>
      <c r="O458" s="28" t="s">
        <v>1379</v>
      </c>
      <c r="P458" s="32">
        <v>22113.97</v>
      </c>
      <c r="Q458" s="56">
        <v>41241</v>
      </c>
      <c r="R458" s="49"/>
      <c r="S458" s="49"/>
      <c r="T458" s="49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</row>
    <row r="459" spans="1:33" ht="12" customHeight="1">
      <c r="A459" s="25">
        <v>41215</v>
      </c>
      <c r="B459" s="225" t="s">
        <v>1975</v>
      </c>
      <c r="C459" s="219" t="s">
        <v>162</v>
      </c>
      <c r="D459" s="1" t="s">
        <v>1213</v>
      </c>
      <c r="E459" s="28" t="s">
        <v>178</v>
      </c>
      <c r="F459" s="129">
        <v>12</v>
      </c>
      <c r="G459" s="129" t="s">
        <v>172</v>
      </c>
      <c r="H459" s="31">
        <v>13</v>
      </c>
      <c r="I459" s="27">
        <f t="shared" si="15"/>
        <v>156</v>
      </c>
      <c r="J459" s="28" t="s">
        <v>1098</v>
      </c>
      <c r="K459" s="25">
        <v>41215</v>
      </c>
      <c r="M459" s="25">
        <v>41234</v>
      </c>
      <c r="N459" s="29" t="s">
        <v>166</v>
      </c>
      <c r="O459" s="28" t="s">
        <v>1379</v>
      </c>
      <c r="P459" s="32">
        <v>22113.97</v>
      </c>
      <c r="Q459" s="56">
        <v>41241</v>
      </c>
      <c r="R459" s="49"/>
      <c r="S459" s="49"/>
      <c r="T459" s="49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</row>
    <row r="460" spans="1:33" ht="12" customHeight="1">
      <c r="A460" s="25">
        <v>41215</v>
      </c>
      <c r="B460" s="225" t="s">
        <v>1985</v>
      </c>
      <c r="C460" s="219" t="s">
        <v>162</v>
      </c>
      <c r="D460" s="225" t="s">
        <v>1926</v>
      </c>
      <c r="E460" s="196" t="s">
        <v>1099</v>
      </c>
      <c r="F460" s="129">
        <v>4</v>
      </c>
      <c r="G460" s="129" t="s">
        <v>170</v>
      </c>
      <c r="H460" s="31">
        <v>58.3</v>
      </c>
      <c r="I460" s="27">
        <f t="shared" si="15"/>
        <v>233.2</v>
      </c>
      <c r="J460" s="28" t="s">
        <v>1101</v>
      </c>
      <c r="K460" s="25">
        <v>41220</v>
      </c>
      <c r="M460" s="25">
        <v>41215</v>
      </c>
      <c r="N460" s="29" t="s">
        <v>166</v>
      </c>
      <c r="O460" s="28" t="s">
        <v>1472</v>
      </c>
      <c r="P460" s="32">
        <v>31007.119999999999</v>
      </c>
      <c r="Q460" s="56">
        <v>41254</v>
      </c>
      <c r="R460" s="49"/>
      <c r="S460" s="49"/>
      <c r="T460" s="49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</row>
    <row r="461" spans="1:33" ht="12" customHeight="1">
      <c r="A461" s="25">
        <v>41215</v>
      </c>
      <c r="B461" s="225" t="s">
        <v>1985</v>
      </c>
      <c r="C461" s="219" t="s">
        <v>162</v>
      </c>
      <c r="D461" s="225" t="s">
        <v>1927</v>
      </c>
      <c r="E461" s="196" t="s">
        <v>1100</v>
      </c>
      <c r="F461" s="129">
        <v>8</v>
      </c>
      <c r="G461" s="129" t="s">
        <v>170</v>
      </c>
      <c r="H461" s="31">
        <v>13.6</v>
      </c>
      <c r="I461" s="27">
        <f t="shared" si="15"/>
        <v>108.8</v>
      </c>
      <c r="J461" s="28" t="s">
        <v>1101</v>
      </c>
      <c r="K461" s="25">
        <v>41220</v>
      </c>
      <c r="M461" s="25">
        <v>41215</v>
      </c>
      <c r="N461" s="29" t="s">
        <v>166</v>
      </c>
      <c r="O461" s="28" t="s">
        <v>1472</v>
      </c>
      <c r="P461" s="32">
        <v>31007.119999999999</v>
      </c>
      <c r="Q461" s="56">
        <v>41254</v>
      </c>
      <c r="R461" s="49"/>
      <c r="S461" s="49"/>
      <c r="T461" s="49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</row>
    <row r="462" spans="1:33" ht="12" customHeight="1">
      <c r="A462" s="25">
        <v>41215</v>
      </c>
      <c r="B462" s="225" t="s">
        <v>1985</v>
      </c>
      <c r="C462" s="219" t="s">
        <v>162</v>
      </c>
      <c r="D462" s="225" t="s">
        <v>1874</v>
      </c>
      <c r="E462" s="196" t="s">
        <v>194</v>
      </c>
      <c r="F462" s="129">
        <v>500</v>
      </c>
      <c r="G462" s="194" t="s">
        <v>231</v>
      </c>
      <c r="H462" s="31">
        <v>4.78</v>
      </c>
      <c r="I462" s="27">
        <f t="shared" si="15"/>
        <v>2390</v>
      </c>
      <c r="J462" s="28" t="s">
        <v>1101</v>
      </c>
      <c r="K462" s="25">
        <v>41220</v>
      </c>
      <c r="M462" s="25">
        <v>41215</v>
      </c>
      <c r="N462" s="29" t="s">
        <v>166</v>
      </c>
      <c r="O462" s="28" t="s">
        <v>1472</v>
      </c>
      <c r="P462" s="32">
        <v>31007.119999999999</v>
      </c>
      <c r="Q462" s="56">
        <v>41254</v>
      </c>
      <c r="R462" s="49"/>
      <c r="S462" s="49"/>
      <c r="T462" s="49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</row>
    <row r="463" spans="1:33" ht="12" customHeight="1">
      <c r="A463" s="25">
        <v>41215</v>
      </c>
      <c r="B463" s="225" t="s">
        <v>1985</v>
      </c>
      <c r="C463" s="219" t="s">
        <v>162</v>
      </c>
      <c r="D463" s="225" t="s">
        <v>1716</v>
      </c>
      <c r="E463" s="196">
        <v>8576</v>
      </c>
      <c r="F463" s="129">
        <v>10</v>
      </c>
      <c r="G463" s="129" t="s">
        <v>171</v>
      </c>
      <c r="H463" s="31">
        <v>28.7</v>
      </c>
      <c r="I463" s="27">
        <f t="shared" si="15"/>
        <v>287</v>
      </c>
      <c r="J463" s="28" t="s">
        <v>1101</v>
      </c>
      <c r="K463" s="25">
        <v>41220</v>
      </c>
      <c r="M463" s="25">
        <v>41215</v>
      </c>
      <c r="N463" s="29" t="s">
        <v>166</v>
      </c>
      <c r="O463" s="28" t="s">
        <v>1472</v>
      </c>
      <c r="P463" s="32">
        <v>31007.119999999999</v>
      </c>
      <c r="Q463" s="56">
        <v>41254</v>
      </c>
      <c r="R463" s="49"/>
      <c r="S463" s="49"/>
      <c r="T463" s="49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</row>
    <row r="464" spans="1:33" ht="12" customHeight="1">
      <c r="A464" s="25">
        <v>41215</v>
      </c>
      <c r="B464" s="225" t="s">
        <v>1985</v>
      </c>
      <c r="C464" s="219" t="s">
        <v>162</v>
      </c>
      <c r="D464" s="225" t="s">
        <v>1874</v>
      </c>
      <c r="E464" s="196">
        <v>6885</v>
      </c>
      <c r="F464" s="129">
        <v>80</v>
      </c>
      <c r="G464" s="129" t="s">
        <v>170</v>
      </c>
      <c r="H464" s="31">
        <v>4.2</v>
      </c>
      <c r="I464" s="27">
        <f t="shared" si="15"/>
        <v>336</v>
      </c>
      <c r="J464" s="28" t="s">
        <v>1101</v>
      </c>
      <c r="K464" s="25">
        <v>41220</v>
      </c>
      <c r="M464" s="25">
        <v>41215</v>
      </c>
      <c r="N464" s="29" t="s">
        <v>166</v>
      </c>
      <c r="O464" s="28" t="s">
        <v>1472</v>
      </c>
      <c r="P464" s="32">
        <v>31007.119999999999</v>
      </c>
      <c r="Q464" s="56">
        <v>41254</v>
      </c>
      <c r="R464" s="49"/>
      <c r="S464" s="49"/>
      <c r="T464" s="49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</row>
    <row r="465" spans="1:33" ht="12" customHeight="1">
      <c r="A465" s="25">
        <v>41215</v>
      </c>
      <c r="B465" s="225" t="s">
        <v>1985</v>
      </c>
      <c r="C465" s="219" t="s">
        <v>162</v>
      </c>
      <c r="D465" s="225" t="s">
        <v>1928</v>
      </c>
      <c r="E465" s="196">
        <v>6885</v>
      </c>
      <c r="F465" s="129">
        <v>120</v>
      </c>
      <c r="G465" s="129" t="s">
        <v>170</v>
      </c>
      <c r="H465" s="31">
        <v>4.4000000000000004</v>
      </c>
      <c r="I465" s="27">
        <f t="shared" si="15"/>
        <v>528</v>
      </c>
      <c r="J465" s="28" t="s">
        <v>1101</v>
      </c>
      <c r="K465" s="25">
        <v>41220</v>
      </c>
      <c r="M465" s="25">
        <v>41215</v>
      </c>
      <c r="N465" s="29" t="s">
        <v>166</v>
      </c>
      <c r="O465" s="28" t="s">
        <v>1472</v>
      </c>
      <c r="P465" s="32">
        <v>31007.119999999999</v>
      </c>
      <c r="Q465" s="56">
        <v>41254</v>
      </c>
      <c r="R465" s="49"/>
      <c r="S465" s="49"/>
      <c r="T465" s="49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</row>
    <row r="466" spans="1:33" ht="12" customHeight="1">
      <c r="A466" s="25">
        <v>41215</v>
      </c>
      <c r="B466" s="225" t="s">
        <v>1978</v>
      </c>
      <c r="C466" s="219" t="s">
        <v>162</v>
      </c>
      <c r="D466" s="5" t="s">
        <v>2012</v>
      </c>
      <c r="E466" s="196" t="s">
        <v>780</v>
      </c>
      <c r="F466" s="129">
        <v>10000</v>
      </c>
      <c r="G466" s="198" t="s">
        <v>229</v>
      </c>
      <c r="H466" s="31">
        <v>1.4</v>
      </c>
      <c r="I466" s="27">
        <f t="shared" si="15"/>
        <v>14000</v>
      </c>
      <c r="J466" s="28" t="s">
        <v>1102</v>
      </c>
      <c r="K466" s="25">
        <v>41215</v>
      </c>
      <c r="M466" s="25">
        <v>41215</v>
      </c>
      <c r="N466" s="29" t="s">
        <v>166</v>
      </c>
      <c r="O466" s="28" t="s">
        <v>1330</v>
      </c>
      <c r="P466" s="32">
        <v>59177.48</v>
      </c>
      <c r="Q466" s="56">
        <v>41236</v>
      </c>
      <c r="R466" s="49"/>
      <c r="S466" s="49"/>
      <c r="T466" s="49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</row>
    <row r="467" spans="1:33" ht="12" customHeight="1">
      <c r="A467" s="25">
        <v>41215</v>
      </c>
      <c r="B467" s="225" t="s">
        <v>1978</v>
      </c>
      <c r="C467" s="219" t="s">
        <v>162</v>
      </c>
      <c r="D467" s="225" t="s">
        <v>1882</v>
      </c>
      <c r="E467" s="196" t="s">
        <v>145</v>
      </c>
      <c r="F467" s="129">
        <v>300</v>
      </c>
      <c r="G467" s="129" t="s">
        <v>170</v>
      </c>
      <c r="H467" s="31">
        <v>16.5</v>
      </c>
      <c r="I467" s="27">
        <f t="shared" si="15"/>
        <v>4950</v>
      </c>
      <c r="J467" s="28" t="s">
        <v>1102</v>
      </c>
      <c r="K467" s="25">
        <v>41215</v>
      </c>
      <c r="M467" s="25">
        <v>41215</v>
      </c>
      <c r="N467" s="29" t="s">
        <v>166</v>
      </c>
      <c r="O467" s="28" t="s">
        <v>1330</v>
      </c>
      <c r="P467" s="32">
        <v>59177.48</v>
      </c>
      <c r="Q467" s="56">
        <v>41236</v>
      </c>
      <c r="R467" s="49"/>
      <c r="S467" s="49"/>
      <c r="T467" s="49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</row>
    <row r="468" spans="1:33" ht="12" customHeight="1">
      <c r="A468" s="25">
        <v>41215</v>
      </c>
      <c r="B468" s="225" t="s">
        <v>1978</v>
      </c>
      <c r="C468" s="219" t="s">
        <v>162</v>
      </c>
      <c r="D468" s="225" t="s">
        <v>1908</v>
      </c>
      <c r="E468" s="196">
        <v>8246</v>
      </c>
      <c r="F468" s="129">
        <v>20</v>
      </c>
      <c r="G468" s="329" t="s">
        <v>170</v>
      </c>
      <c r="H468" s="31">
        <v>11.7</v>
      </c>
      <c r="I468" s="27">
        <f t="shared" si="15"/>
        <v>234</v>
      </c>
      <c r="J468" s="28" t="s">
        <v>1102</v>
      </c>
      <c r="K468" s="25">
        <v>41219</v>
      </c>
      <c r="M468" s="25">
        <v>41215</v>
      </c>
      <c r="N468" s="29" t="s">
        <v>166</v>
      </c>
      <c r="O468" s="28" t="s">
        <v>1330</v>
      </c>
      <c r="P468" s="32">
        <v>59177.48</v>
      </c>
      <c r="Q468" s="56">
        <v>41236</v>
      </c>
      <c r="R468" s="49"/>
      <c r="S468" s="49"/>
      <c r="T468" s="49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</row>
    <row r="469" spans="1:33" ht="12" customHeight="1">
      <c r="A469" s="25">
        <v>41215</v>
      </c>
      <c r="B469" s="225" t="s">
        <v>1992</v>
      </c>
      <c r="C469" s="219" t="s">
        <v>1033</v>
      </c>
      <c r="D469" s="225" t="s">
        <v>1929</v>
      </c>
      <c r="E469" s="196" t="s">
        <v>1103</v>
      </c>
      <c r="F469" s="129">
        <v>2</v>
      </c>
      <c r="G469" s="129" t="s">
        <v>170</v>
      </c>
      <c r="H469" s="31">
        <v>210</v>
      </c>
      <c r="I469" s="27">
        <f t="shared" si="15"/>
        <v>420</v>
      </c>
      <c r="J469" s="28" t="s">
        <v>1104</v>
      </c>
      <c r="K469" s="25">
        <v>41218</v>
      </c>
      <c r="M469" s="25">
        <v>41214</v>
      </c>
      <c r="N469" s="29" t="s">
        <v>166</v>
      </c>
      <c r="O469" s="28" t="s">
        <v>1455</v>
      </c>
      <c r="P469" s="32">
        <v>420</v>
      </c>
      <c r="Q469" s="56">
        <v>41253</v>
      </c>
      <c r="R469" s="49"/>
      <c r="S469" s="49"/>
      <c r="T469" s="49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</row>
    <row r="470" spans="1:33" ht="12" customHeight="1">
      <c r="A470" s="25">
        <v>41215</v>
      </c>
      <c r="B470" s="225" t="s">
        <v>1980</v>
      </c>
      <c r="C470" s="219" t="s">
        <v>162</v>
      </c>
      <c r="D470" s="225" t="s">
        <v>1716</v>
      </c>
      <c r="E470" s="196">
        <v>8576</v>
      </c>
      <c r="F470" s="129">
        <v>40</v>
      </c>
      <c r="G470" s="129" t="s">
        <v>170</v>
      </c>
      <c r="H470" s="31">
        <v>27.8</v>
      </c>
      <c r="I470" s="27">
        <f t="shared" si="15"/>
        <v>1112</v>
      </c>
      <c r="J470" s="28" t="s">
        <v>167</v>
      </c>
      <c r="K470" s="25">
        <v>41218</v>
      </c>
      <c r="M470" s="25">
        <v>41215</v>
      </c>
      <c r="N470" s="29" t="s">
        <v>166</v>
      </c>
      <c r="O470" s="28" t="s">
        <v>1206</v>
      </c>
      <c r="P470" s="32">
        <v>5876.4</v>
      </c>
      <c r="Q470" s="56">
        <v>41218</v>
      </c>
      <c r="R470" s="49"/>
      <c r="S470" s="49"/>
      <c r="T470" s="49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</row>
    <row r="471" spans="1:33" ht="12" customHeight="1">
      <c r="A471" s="25">
        <v>41215</v>
      </c>
      <c r="B471" s="225" t="s">
        <v>1980</v>
      </c>
      <c r="C471" s="219" t="s">
        <v>162</v>
      </c>
      <c r="D471" s="225" t="s">
        <v>1908</v>
      </c>
      <c r="E471" s="196">
        <v>8246</v>
      </c>
      <c r="F471" s="129">
        <v>100</v>
      </c>
      <c r="G471" s="329" t="s">
        <v>170</v>
      </c>
      <c r="H471" s="31">
        <v>12.8</v>
      </c>
      <c r="I471" s="27">
        <f t="shared" si="15"/>
        <v>1280</v>
      </c>
      <c r="J471" s="28" t="s">
        <v>167</v>
      </c>
      <c r="K471" s="25">
        <v>41218</v>
      </c>
      <c r="M471" s="25">
        <v>41215</v>
      </c>
      <c r="N471" s="29" t="s">
        <v>166</v>
      </c>
      <c r="O471" s="28" t="s">
        <v>1206</v>
      </c>
      <c r="P471" s="32">
        <v>5876.4</v>
      </c>
      <c r="Q471" s="56">
        <v>41218</v>
      </c>
      <c r="R471" s="49"/>
      <c r="S471" s="49"/>
      <c r="T471" s="49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</row>
    <row r="472" spans="1:33" ht="12" customHeight="1">
      <c r="A472" s="25">
        <v>41215</v>
      </c>
      <c r="B472" s="225" t="s">
        <v>1978</v>
      </c>
      <c r="C472" s="219" t="s">
        <v>162</v>
      </c>
      <c r="D472" s="5" t="s">
        <v>2012</v>
      </c>
      <c r="E472" s="196" t="s">
        <v>780</v>
      </c>
      <c r="F472" s="129">
        <v>10000</v>
      </c>
      <c r="G472" s="198" t="s">
        <v>229</v>
      </c>
      <c r="H472" s="31">
        <v>1.4</v>
      </c>
      <c r="I472" s="27">
        <f t="shared" si="15"/>
        <v>14000</v>
      </c>
      <c r="J472" s="28" t="s">
        <v>1105</v>
      </c>
      <c r="K472" s="25">
        <v>41215</v>
      </c>
      <c r="M472" s="25">
        <v>41218</v>
      </c>
      <c r="N472" s="29" t="s">
        <v>166</v>
      </c>
      <c r="O472" s="28" t="s">
        <v>1330</v>
      </c>
      <c r="P472" s="32">
        <v>59177.48</v>
      </c>
      <c r="Q472" s="56">
        <v>41236</v>
      </c>
      <c r="R472" s="49"/>
      <c r="S472" s="49"/>
      <c r="T472" s="49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</row>
    <row r="473" spans="1:33" ht="12" customHeight="1">
      <c r="A473" s="25">
        <v>41215</v>
      </c>
      <c r="B473" s="225" t="s">
        <v>1978</v>
      </c>
      <c r="C473" s="219" t="s">
        <v>162</v>
      </c>
      <c r="D473" s="5" t="s">
        <v>1221</v>
      </c>
      <c r="E473" s="196" t="s">
        <v>146</v>
      </c>
      <c r="F473" s="129">
        <v>60</v>
      </c>
      <c r="G473" s="129" t="s">
        <v>170</v>
      </c>
      <c r="H473" s="31">
        <v>34.799999999999997</v>
      </c>
      <c r="I473" s="27">
        <f t="shared" si="15"/>
        <v>2088</v>
      </c>
      <c r="J473" s="28" t="s">
        <v>1105</v>
      </c>
      <c r="K473" s="25">
        <v>41215</v>
      </c>
      <c r="M473" s="25">
        <v>41218</v>
      </c>
      <c r="N473" s="29" t="s">
        <v>166</v>
      </c>
      <c r="O473" s="28" t="s">
        <v>1330</v>
      </c>
      <c r="P473" s="32">
        <v>59177.48</v>
      </c>
      <c r="Q473" s="56">
        <v>41236</v>
      </c>
      <c r="R473" s="49"/>
      <c r="S473" s="49"/>
      <c r="T473" s="49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</row>
    <row r="474" spans="1:33" ht="12" customHeight="1">
      <c r="A474" s="25">
        <v>41215</v>
      </c>
      <c r="B474" s="225" t="s">
        <v>1985</v>
      </c>
      <c r="C474" s="219" t="s">
        <v>162</v>
      </c>
      <c r="D474" s="225" t="s">
        <v>1930</v>
      </c>
      <c r="E474" s="196" t="s">
        <v>187</v>
      </c>
      <c r="F474" s="129">
        <v>164</v>
      </c>
      <c r="G474" s="129" t="s">
        <v>171</v>
      </c>
      <c r="H474" s="31">
        <v>4.9000000000000004</v>
      </c>
      <c r="I474" s="27">
        <f t="shared" si="15"/>
        <v>803.6</v>
      </c>
      <c r="J474" s="28" t="s">
        <v>1106</v>
      </c>
      <c r="K474" s="25">
        <v>41220</v>
      </c>
      <c r="M474" s="25">
        <v>41215</v>
      </c>
      <c r="N474" s="29" t="s">
        <v>166</v>
      </c>
      <c r="O474" s="28" t="s">
        <v>1472</v>
      </c>
      <c r="P474" s="32">
        <v>31007.119999999999</v>
      </c>
      <c r="Q474" s="56">
        <v>41254</v>
      </c>
      <c r="R474" s="49"/>
      <c r="S474" s="49"/>
      <c r="T474" s="49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</row>
    <row r="475" spans="1:33" ht="12" customHeight="1">
      <c r="A475" s="25">
        <v>41215</v>
      </c>
      <c r="B475" s="225" t="s">
        <v>1985</v>
      </c>
      <c r="C475" s="219" t="s">
        <v>162</v>
      </c>
      <c r="D475" s="225" t="s">
        <v>1930</v>
      </c>
      <c r="E475" s="196" t="s">
        <v>187</v>
      </c>
      <c r="F475" s="129">
        <v>36</v>
      </c>
      <c r="G475" s="129" t="s">
        <v>171</v>
      </c>
      <c r="H475" s="31">
        <v>5.77</v>
      </c>
      <c r="I475" s="27">
        <f t="shared" si="15"/>
        <v>207.71999999999997</v>
      </c>
      <c r="J475" s="28" t="s">
        <v>1106</v>
      </c>
      <c r="K475" s="25">
        <v>41222</v>
      </c>
      <c r="M475" s="25">
        <v>41215</v>
      </c>
      <c r="N475" s="29" t="s">
        <v>166</v>
      </c>
      <c r="O475" s="28" t="s">
        <v>1472</v>
      </c>
      <c r="P475" s="32">
        <v>31007.119999999999</v>
      </c>
      <c r="Q475" s="56">
        <v>41254</v>
      </c>
      <c r="R475" s="49"/>
      <c r="S475" s="49"/>
      <c r="T475" s="49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</row>
    <row r="476" spans="1:33" ht="12" customHeight="1">
      <c r="A476" s="25">
        <v>41215</v>
      </c>
      <c r="B476" s="225" t="s">
        <v>1985</v>
      </c>
      <c r="C476" s="219" t="s">
        <v>162</v>
      </c>
      <c r="D476" s="225" t="s">
        <v>1874</v>
      </c>
      <c r="E476" s="196" t="s">
        <v>194</v>
      </c>
      <c r="F476" s="129">
        <v>500</v>
      </c>
      <c r="G476" s="194" t="s">
        <v>231</v>
      </c>
      <c r="H476" s="31">
        <v>4.78</v>
      </c>
      <c r="I476" s="27">
        <f t="shared" si="15"/>
        <v>2390</v>
      </c>
      <c r="J476" s="28" t="s">
        <v>1106</v>
      </c>
      <c r="K476" s="25">
        <v>41220</v>
      </c>
      <c r="M476" s="25">
        <v>41215</v>
      </c>
      <c r="N476" s="29" t="s">
        <v>166</v>
      </c>
      <c r="O476" s="28" t="s">
        <v>1472</v>
      </c>
      <c r="P476" s="32">
        <v>31007.119999999999</v>
      </c>
      <c r="Q476" s="56">
        <v>41254</v>
      </c>
      <c r="R476" s="49"/>
      <c r="S476" s="49"/>
      <c r="T476" s="49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</row>
    <row r="477" spans="1:33" ht="12" customHeight="1">
      <c r="A477" s="25">
        <v>41215</v>
      </c>
      <c r="B477" s="225" t="s">
        <v>1985</v>
      </c>
      <c r="C477" s="219" t="s">
        <v>162</v>
      </c>
      <c r="D477" s="225" t="s">
        <v>1874</v>
      </c>
      <c r="E477" s="196">
        <v>3100</v>
      </c>
      <c r="F477" s="129">
        <v>20</v>
      </c>
      <c r="G477" s="129" t="s">
        <v>171</v>
      </c>
      <c r="H477" s="31">
        <v>30.2</v>
      </c>
      <c r="I477" s="27">
        <f t="shared" si="15"/>
        <v>604</v>
      </c>
      <c r="J477" s="28" t="s">
        <v>1106</v>
      </c>
      <c r="K477" s="25">
        <v>41220</v>
      </c>
      <c r="M477" s="25">
        <v>41215</v>
      </c>
      <c r="N477" s="29" t="s">
        <v>166</v>
      </c>
      <c r="O477" s="28" t="s">
        <v>1472</v>
      </c>
      <c r="P477" s="32">
        <v>31007.119999999999</v>
      </c>
      <c r="Q477" s="56">
        <v>41254</v>
      </c>
      <c r="R477" s="49"/>
      <c r="S477" s="49"/>
      <c r="T477" s="49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</row>
    <row r="478" spans="1:33" ht="12" customHeight="1">
      <c r="A478" s="25">
        <v>41216</v>
      </c>
      <c r="B478" s="225" t="s">
        <v>1975</v>
      </c>
      <c r="C478" s="219" t="s">
        <v>162</v>
      </c>
      <c r="D478" s="225" t="s">
        <v>1919</v>
      </c>
      <c r="E478" s="28">
        <v>8577</v>
      </c>
      <c r="F478" s="129">
        <v>12</v>
      </c>
      <c r="G478" s="129" t="s">
        <v>170</v>
      </c>
      <c r="H478" s="31">
        <v>28.65</v>
      </c>
      <c r="I478" s="27">
        <f t="shared" si="15"/>
        <v>343.79999999999995</v>
      </c>
      <c r="J478" s="28" t="s">
        <v>1107</v>
      </c>
      <c r="K478" s="25">
        <v>41216</v>
      </c>
      <c r="M478" s="25">
        <v>41234</v>
      </c>
      <c r="N478" s="29" t="s">
        <v>166</v>
      </c>
      <c r="O478" s="28" t="s">
        <v>1379</v>
      </c>
      <c r="P478" s="32">
        <v>22113.97</v>
      </c>
      <c r="Q478" s="56">
        <v>41241</v>
      </c>
      <c r="R478" s="49"/>
      <c r="S478" s="49"/>
      <c r="T478" s="49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</row>
    <row r="479" spans="1:33" ht="12" customHeight="1">
      <c r="A479" s="25">
        <v>41216</v>
      </c>
      <c r="B479" s="225" t="s">
        <v>1975</v>
      </c>
      <c r="C479" s="219" t="s">
        <v>162</v>
      </c>
      <c r="D479" s="225" t="s">
        <v>232</v>
      </c>
      <c r="E479" s="28" t="s">
        <v>186</v>
      </c>
      <c r="F479" s="205">
        <v>3000</v>
      </c>
      <c r="G479" s="129" t="s">
        <v>171</v>
      </c>
      <c r="H479" s="31">
        <v>1.54</v>
      </c>
      <c r="I479" s="27">
        <f t="shared" si="15"/>
        <v>4620</v>
      </c>
      <c r="J479" s="28" t="s">
        <v>1107</v>
      </c>
      <c r="K479" s="25">
        <v>41216</v>
      </c>
      <c r="M479" s="25">
        <v>41234</v>
      </c>
      <c r="N479" s="29" t="s">
        <v>166</v>
      </c>
      <c r="O479" s="28" t="s">
        <v>1379</v>
      </c>
      <c r="P479" s="32">
        <v>22113.97</v>
      </c>
      <c r="Q479" s="56">
        <v>41241</v>
      </c>
      <c r="R479" s="49"/>
      <c r="S479" s="49"/>
      <c r="T479" s="49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</row>
    <row r="480" spans="1:33" ht="12" customHeight="1">
      <c r="A480" s="25">
        <v>41218</v>
      </c>
      <c r="B480" s="225" t="s">
        <v>1975</v>
      </c>
      <c r="C480" s="219" t="s">
        <v>162</v>
      </c>
      <c r="D480" s="225" t="s">
        <v>1931</v>
      </c>
      <c r="E480" s="28">
        <v>3700</v>
      </c>
      <c r="F480" s="129">
        <v>100</v>
      </c>
      <c r="G480" s="129" t="s">
        <v>170</v>
      </c>
      <c r="H480" s="31">
        <v>3.09</v>
      </c>
      <c r="I480" s="27">
        <f t="shared" si="15"/>
        <v>309</v>
      </c>
      <c r="J480" s="28" t="s">
        <v>1109</v>
      </c>
      <c r="K480" s="25">
        <v>41218</v>
      </c>
      <c r="M480" s="25">
        <v>41234</v>
      </c>
      <c r="N480" s="29" t="s">
        <v>166</v>
      </c>
      <c r="O480" s="28" t="s">
        <v>1379</v>
      </c>
      <c r="P480" s="32">
        <v>22113.97</v>
      </c>
      <c r="Q480" s="56">
        <v>41241</v>
      </c>
      <c r="R480" s="49"/>
      <c r="S480" s="49"/>
      <c r="T480" s="49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</row>
    <row r="481" spans="1:33" ht="12" customHeight="1">
      <c r="A481" s="25">
        <v>41218</v>
      </c>
      <c r="B481" s="225" t="s">
        <v>1978</v>
      </c>
      <c r="C481" s="219" t="s">
        <v>162</v>
      </c>
      <c r="D481" s="225" t="s">
        <v>1882</v>
      </c>
      <c r="E481" s="196" t="s">
        <v>145</v>
      </c>
      <c r="F481" s="129">
        <v>60</v>
      </c>
      <c r="G481" s="129" t="s">
        <v>170</v>
      </c>
      <c r="H481" s="31">
        <v>16.5</v>
      </c>
      <c r="I481" s="27">
        <f t="shared" si="15"/>
        <v>990</v>
      </c>
      <c r="J481" s="28" t="s">
        <v>1205</v>
      </c>
      <c r="K481" s="25">
        <v>41219</v>
      </c>
      <c r="M481" s="25">
        <v>41218</v>
      </c>
      <c r="N481" s="29" t="s">
        <v>166</v>
      </c>
      <c r="O481" s="28" t="s">
        <v>1330</v>
      </c>
      <c r="P481" s="32">
        <v>59177.48</v>
      </c>
      <c r="Q481" s="56">
        <v>41236</v>
      </c>
      <c r="R481" s="49"/>
      <c r="S481" s="49"/>
      <c r="T481" s="49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</row>
    <row r="482" spans="1:33" ht="12" customHeight="1">
      <c r="A482" s="25">
        <v>41219</v>
      </c>
      <c r="B482" s="225" t="s">
        <v>1979</v>
      </c>
      <c r="C482" s="219" t="s">
        <v>162</v>
      </c>
      <c r="D482" s="225" t="s">
        <v>1874</v>
      </c>
      <c r="E482" s="196" t="s">
        <v>194</v>
      </c>
      <c r="F482" s="131">
        <v>120</v>
      </c>
      <c r="G482" s="194" t="s">
        <v>231</v>
      </c>
      <c r="H482" s="31">
        <v>5.3</v>
      </c>
      <c r="I482" s="27">
        <f t="shared" si="15"/>
        <v>636</v>
      </c>
      <c r="J482" s="28" t="s">
        <v>1208</v>
      </c>
      <c r="K482" s="25">
        <v>41219</v>
      </c>
      <c r="M482" s="25">
        <v>41241</v>
      </c>
      <c r="N482" s="29" t="s">
        <v>166</v>
      </c>
      <c r="O482" s="28" t="s">
        <v>1377</v>
      </c>
      <c r="P482" s="32">
        <v>16292.64</v>
      </c>
      <c r="Q482" s="56">
        <v>41241</v>
      </c>
      <c r="R482" s="49"/>
      <c r="S482" s="49"/>
      <c r="T482" s="49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</row>
    <row r="483" spans="1:33" ht="12" customHeight="1">
      <c r="A483" s="25">
        <v>41219</v>
      </c>
      <c r="B483" s="225" t="s">
        <v>1975</v>
      </c>
      <c r="C483" s="219" t="s">
        <v>162</v>
      </c>
      <c r="D483" s="225" t="s">
        <v>1910</v>
      </c>
      <c r="E483" s="28" t="s">
        <v>197</v>
      </c>
      <c r="F483" s="129">
        <v>100</v>
      </c>
      <c r="G483" s="129" t="s">
        <v>170</v>
      </c>
      <c r="H483" s="31">
        <v>1.6</v>
      </c>
      <c r="I483" s="27">
        <f t="shared" si="15"/>
        <v>160</v>
      </c>
      <c r="J483" s="28" t="s">
        <v>1209</v>
      </c>
      <c r="K483" s="25">
        <v>41219</v>
      </c>
      <c r="M483" s="25">
        <v>41234</v>
      </c>
      <c r="N483" s="29" t="s">
        <v>166</v>
      </c>
      <c r="O483" s="28" t="s">
        <v>1379</v>
      </c>
      <c r="P483" s="32">
        <v>22113.97</v>
      </c>
      <c r="Q483" s="56">
        <v>41241</v>
      </c>
      <c r="R483" s="49"/>
      <c r="S483" s="49"/>
      <c r="T483" s="49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</row>
    <row r="484" spans="1:33" ht="12" customHeight="1">
      <c r="A484" s="25">
        <v>41219</v>
      </c>
      <c r="B484" s="225" t="s">
        <v>1975</v>
      </c>
      <c r="C484" s="219" t="s">
        <v>162</v>
      </c>
      <c r="D484" s="1" t="s">
        <v>1213</v>
      </c>
      <c r="E484" s="28" t="s">
        <v>178</v>
      </c>
      <c r="F484" s="129">
        <v>10</v>
      </c>
      <c r="G484" s="129" t="s">
        <v>172</v>
      </c>
      <c r="H484" s="31">
        <v>13</v>
      </c>
      <c r="I484" s="27">
        <f t="shared" si="15"/>
        <v>130</v>
      </c>
      <c r="J484" s="28" t="s">
        <v>1209</v>
      </c>
      <c r="K484" s="25">
        <v>41219</v>
      </c>
      <c r="M484" s="25">
        <v>41234</v>
      </c>
      <c r="N484" s="29" t="s">
        <v>166</v>
      </c>
      <c r="O484" s="28" t="s">
        <v>1379</v>
      </c>
      <c r="P484" s="32">
        <v>22113.97</v>
      </c>
      <c r="Q484" s="56">
        <v>41241</v>
      </c>
      <c r="R484" s="49"/>
      <c r="S484" s="49"/>
      <c r="T484" s="49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</row>
    <row r="485" spans="1:33" ht="12" customHeight="1">
      <c r="A485" s="25">
        <v>41219</v>
      </c>
      <c r="B485" s="225" t="s">
        <v>1978</v>
      </c>
      <c r="C485" s="219" t="s">
        <v>162</v>
      </c>
      <c r="D485" s="225" t="s">
        <v>1916</v>
      </c>
      <c r="E485" s="196">
        <v>6800</v>
      </c>
      <c r="F485" s="129">
        <v>2</v>
      </c>
      <c r="G485" s="129" t="s">
        <v>170</v>
      </c>
      <c r="H485" s="31">
        <v>418</v>
      </c>
      <c r="I485" s="27">
        <f t="shared" si="15"/>
        <v>836</v>
      </c>
      <c r="J485" s="28" t="s">
        <v>1224</v>
      </c>
      <c r="K485" s="25">
        <v>41220</v>
      </c>
      <c r="M485" s="25">
        <v>41292</v>
      </c>
      <c r="N485" s="29" t="s">
        <v>166</v>
      </c>
      <c r="O485" s="28" t="s">
        <v>1330</v>
      </c>
      <c r="P485" s="32">
        <v>59177.48</v>
      </c>
      <c r="Q485" s="56">
        <v>41236</v>
      </c>
      <c r="R485" s="49"/>
      <c r="S485" s="49"/>
      <c r="T485" s="49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</row>
    <row r="486" spans="1:33" ht="12" customHeight="1">
      <c r="A486" s="25">
        <v>41219</v>
      </c>
      <c r="B486" s="225" t="s">
        <v>1978</v>
      </c>
      <c r="C486" s="219" t="s">
        <v>162</v>
      </c>
      <c r="D486" s="225" t="s">
        <v>1882</v>
      </c>
      <c r="E486" s="196" t="s">
        <v>145</v>
      </c>
      <c r="F486" s="129">
        <v>300</v>
      </c>
      <c r="G486" s="129" t="s">
        <v>170</v>
      </c>
      <c r="H486" s="31">
        <v>16.5</v>
      </c>
      <c r="I486" s="27">
        <f t="shared" si="15"/>
        <v>4950</v>
      </c>
      <c r="J486" s="28" t="s">
        <v>1224</v>
      </c>
      <c r="K486" s="25">
        <v>41220</v>
      </c>
      <c r="M486" s="25">
        <v>41292</v>
      </c>
      <c r="N486" s="29" t="s">
        <v>166</v>
      </c>
      <c r="O486" s="28" t="s">
        <v>1330</v>
      </c>
      <c r="P486" s="32">
        <v>59177.48</v>
      </c>
      <c r="Q486" s="56">
        <v>41236</v>
      </c>
      <c r="R486" s="49"/>
      <c r="S486" s="49"/>
      <c r="T486" s="49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</row>
    <row r="487" spans="1:33" ht="12" customHeight="1">
      <c r="A487" s="25">
        <v>41220</v>
      </c>
      <c r="B487" s="225" t="s">
        <v>1975</v>
      </c>
      <c r="C487" s="219" t="s">
        <v>162</v>
      </c>
      <c r="D487" s="225" t="s">
        <v>1902</v>
      </c>
      <c r="E487" s="28">
        <v>1270</v>
      </c>
      <c r="F487" s="129">
        <v>50</v>
      </c>
      <c r="G487" s="190" t="s">
        <v>239</v>
      </c>
      <c r="H487" s="31">
        <v>4.3099999999999996</v>
      </c>
      <c r="I487" s="27">
        <f t="shared" si="15"/>
        <v>215.49999999999997</v>
      </c>
      <c r="J487" s="28" t="s">
        <v>1225</v>
      </c>
      <c r="K487" s="25">
        <v>41220</v>
      </c>
      <c r="M487" s="25">
        <v>41234</v>
      </c>
      <c r="N487" s="29" t="s">
        <v>166</v>
      </c>
      <c r="O487" s="28" t="s">
        <v>1379</v>
      </c>
      <c r="P487" s="32">
        <v>22113.97</v>
      </c>
      <c r="Q487" s="56">
        <v>41241</v>
      </c>
      <c r="R487" s="49"/>
      <c r="S487" s="49"/>
      <c r="T487" s="49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</row>
    <row r="488" spans="1:33" ht="12" customHeight="1">
      <c r="A488" s="25">
        <v>41221</v>
      </c>
      <c r="B488" s="225" t="s">
        <v>1979</v>
      </c>
      <c r="C488" s="219" t="s">
        <v>162</v>
      </c>
      <c r="D488" s="225" t="s">
        <v>1923</v>
      </c>
      <c r="E488" s="196">
        <v>10434</v>
      </c>
      <c r="F488" s="131">
        <v>60</v>
      </c>
      <c r="G488" s="129" t="s">
        <v>172</v>
      </c>
      <c r="H488" s="31">
        <v>14.2</v>
      </c>
      <c r="I488" s="27">
        <f t="shared" si="15"/>
        <v>852</v>
      </c>
      <c r="J488" s="28" t="s">
        <v>1226</v>
      </c>
      <c r="K488" s="25">
        <v>41221</v>
      </c>
      <c r="M488" s="25">
        <v>41241</v>
      </c>
      <c r="N488" s="29" t="s">
        <v>166</v>
      </c>
      <c r="O488" s="28" t="s">
        <v>1377</v>
      </c>
      <c r="P488" s="32">
        <v>16292.64</v>
      </c>
      <c r="Q488" s="56">
        <v>41241</v>
      </c>
      <c r="R488" s="49"/>
      <c r="S488" s="49"/>
      <c r="T488" s="49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</row>
    <row r="489" spans="1:33" ht="12" customHeight="1">
      <c r="A489" s="25">
        <v>41221</v>
      </c>
      <c r="B489" s="225" t="s">
        <v>1975</v>
      </c>
      <c r="C489" s="219" t="s">
        <v>162</v>
      </c>
      <c r="D489" s="225" t="s">
        <v>1931</v>
      </c>
      <c r="E489" s="28">
        <v>3700</v>
      </c>
      <c r="F489" s="129">
        <v>100</v>
      </c>
      <c r="G489" s="129" t="s">
        <v>170</v>
      </c>
      <c r="H489" s="31">
        <v>3.09</v>
      </c>
      <c r="I489" s="27">
        <f t="shared" ref="I489:I520" si="16">H489*F489</f>
        <v>309</v>
      </c>
      <c r="J489" s="28" t="s">
        <v>1227</v>
      </c>
      <c r="K489" s="25">
        <v>41221</v>
      </c>
      <c r="M489" s="25">
        <v>41234</v>
      </c>
      <c r="N489" s="29" t="s">
        <v>166</v>
      </c>
      <c r="O489" s="28" t="s">
        <v>1379</v>
      </c>
      <c r="P489" s="32">
        <v>22113.97</v>
      </c>
      <c r="Q489" s="56">
        <v>41241</v>
      </c>
      <c r="R489" s="49"/>
      <c r="S489" s="49"/>
      <c r="T489" s="49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</row>
    <row r="490" spans="1:33" ht="12" customHeight="1">
      <c r="A490" s="25">
        <v>41221</v>
      </c>
      <c r="B490" s="225" t="s">
        <v>1975</v>
      </c>
      <c r="C490" s="219" t="s">
        <v>162</v>
      </c>
      <c r="D490" s="1" t="s">
        <v>1210</v>
      </c>
      <c r="E490" s="28">
        <v>3200</v>
      </c>
      <c r="F490" s="129">
        <v>100</v>
      </c>
      <c r="G490" s="129" t="s">
        <v>170</v>
      </c>
      <c r="H490" s="31">
        <v>23.94</v>
      </c>
      <c r="I490" s="27">
        <f t="shared" si="16"/>
        <v>2394</v>
      </c>
      <c r="J490" s="28" t="s">
        <v>1227</v>
      </c>
      <c r="K490" s="25">
        <v>41221</v>
      </c>
      <c r="M490" s="25">
        <v>41234</v>
      </c>
      <c r="N490" s="29" t="s">
        <v>166</v>
      </c>
      <c r="O490" s="28" t="s">
        <v>1379</v>
      </c>
      <c r="P490" s="32">
        <v>22113.97</v>
      </c>
      <c r="Q490" s="56">
        <v>41241</v>
      </c>
      <c r="R490" s="49"/>
      <c r="S490" s="49"/>
      <c r="T490" s="49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</row>
    <row r="491" spans="1:33" ht="12" customHeight="1">
      <c r="A491" s="25">
        <v>41221</v>
      </c>
      <c r="B491" s="225" t="s">
        <v>1987</v>
      </c>
      <c r="C491" s="219" t="s">
        <v>162</v>
      </c>
      <c r="D491" s="225" t="s">
        <v>1901</v>
      </c>
      <c r="E491" s="196">
        <v>52000183617</v>
      </c>
      <c r="F491" s="129">
        <v>12</v>
      </c>
      <c r="G491" s="129" t="s">
        <v>894</v>
      </c>
      <c r="H491" s="31">
        <v>938</v>
      </c>
      <c r="I491" s="27">
        <f t="shared" si="16"/>
        <v>11256</v>
      </c>
      <c r="J491" s="28" t="s">
        <v>167</v>
      </c>
      <c r="K491" s="25">
        <v>41221</v>
      </c>
      <c r="M491" s="25">
        <v>41221</v>
      </c>
      <c r="N491" s="29" t="s">
        <v>166</v>
      </c>
      <c r="O491" s="28" t="s">
        <v>1247</v>
      </c>
      <c r="P491" s="32">
        <v>14070</v>
      </c>
      <c r="Q491" s="56">
        <v>41225</v>
      </c>
      <c r="R491" s="49"/>
      <c r="S491" s="49"/>
      <c r="T491" s="49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</row>
    <row r="492" spans="1:33" ht="12" customHeight="1">
      <c r="A492" s="25">
        <v>41221</v>
      </c>
      <c r="B492" s="225" t="s">
        <v>1994</v>
      </c>
      <c r="C492" s="219" t="s">
        <v>162</v>
      </c>
      <c r="D492" s="225" t="s">
        <v>1908</v>
      </c>
      <c r="E492" s="196">
        <v>8246</v>
      </c>
      <c r="F492" s="129">
        <v>240</v>
      </c>
      <c r="G492" s="329" t="s">
        <v>170</v>
      </c>
      <c r="H492" s="31">
        <v>12.15</v>
      </c>
      <c r="I492" s="27">
        <f t="shared" si="16"/>
        <v>2916</v>
      </c>
      <c r="J492" s="28" t="s">
        <v>167</v>
      </c>
      <c r="K492" s="25">
        <v>41226</v>
      </c>
      <c r="M492" s="25">
        <v>41221</v>
      </c>
      <c r="N492" s="29" t="s">
        <v>166</v>
      </c>
      <c r="O492" s="28" t="s">
        <v>1282</v>
      </c>
      <c r="P492" s="32">
        <v>5195.2</v>
      </c>
      <c r="Q492" s="56">
        <v>41234</v>
      </c>
      <c r="R492" s="49"/>
      <c r="S492" s="49"/>
      <c r="T492" s="49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</row>
    <row r="493" spans="1:33" ht="12" customHeight="1">
      <c r="A493" s="25">
        <v>41221</v>
      </c>
      <c r="B493" s="225" t="s">
        <v>1994</v>
      </c>
      <c r="C493" s="219" t="s">
        <v>1229</v>
      </c>
      <c r="D493" s="225" t="s">
        <v>1932</v>
      </c>
      <c r="E493" s="196" t="s">
        <v>1230</v>
      </c>
      <c r="F493" s="129">
        <v>22</v>
      </c>
      <c r="G493" s="129" t="s">
        <v>827</v>
      </c>
      <c r="H493" s="31">
        <v>103.6</v>
      </c>
      <c r="I493" s="27">
        <f t="shared" si="16"/>
        <v>2279.1999999999998</v>
      </c>
      <c r="J493" s="28" t="s">
        <v>167</v>
      </c>
      <c r="K493" s="25">
        <v>41226</v>
      </c>
      <c r="M493" s="25">
        <v>41221</v>
      </c>
      <c r="N493" s="29" t="s">
        <v>166</v>
      </c>
      <c r="O493" s="28" t="s">
        <v>1282</v>
      </c>
      <c r="P493" s="32">
        <v>5195.2</v>
      </c>
      <c r="Q493" s="56">
        <v>41234</v>
      </c>
      <c r="R493" s="49" t="s">
        <v>1232</v>
      </c>
      <c r="S493" s="49"/>
      <c r="T493" s="49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</row>
    <row r="494" spans="1:33" ht="12" customHeight="1">
      <c r="A494" s="25">
        <v>41221</v>
      </c>
      <c r="B494" s="225" t="s">
        <v>1995</v>
      </c>
      <c r="C494" s="219" t="s">
        <v>162</v>
      </c>
      <c r="D494" s="225" t="s">
        <v>1933</v>
      </c>
      <c r="E494" s="196" t="s">
        <v>1233</v>
      </c>
      <c r="F494" s="129">
        <v>10</v>
      </c>
      <c r="G494" s="129" t="s">
        <v>1234</v>
      </c>
      <c r="H494" s="31">
        <v>26</v>
      </c>
      <c r="I494" s="27">
        <f t="shared" si="16"/>
        <v>260</v>
      </c>
      <c r="J494" s="28" t="s">
        <v>1235</v>
      </c>
      <c r="K494" s="25">
        <v>41221</v>
      </c>
      <c r="M494" s="25">
        <v>41221</v>
      </c>
      <c r="N494" s="29" t="s">
        <v>166</v>
      </c>
      <c r="O494" s="28" t="s">
        <v>1487</v>
      </c>
      <c r="P494" s="32">
        <v>260</v>
      </c>
      <c r="Q494" s="56">
        <v>41257</v>
      </c>
      <c r="R494" s="49"/>
      <c r="S494" s="49"/>
      <c r="T494" s="49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</row>
    <row r="495" spans="1:33" ht="12" customHeight="1">
      <c r="A495" s="25">
        <v>41221</v>
      </c>
      <c r="B495" s="225" t="s">
        <v>1975</v>
      </c>
      <c r="C495" s="219" t="s">
        <v>162</v>
      </c>
      <c r="D495" s="225" t="s">
        <v>1934</v>
      </c>
      <c r="E495" s="28">
        <v>1110</v>
      </c>
      <c r="F495" s="129">
        <v>100</v>
      </c>
      <c r="G495" s="129" t="s">
        <v>172</v>
      </c>
      <c r="H495" s="31">
        <v>0.77</v>
      </c>
      <c r="I495" s="27">
        <f t="shared" si="16"/>
        <v>77</v>
      </c>
      <c r="J495" s="28" t="s">
        <v>1236</v>
      </c>
      <c r="K495" s="25">
        <v>41221</v>
      </c>
      <c r="M495" s="25">
        <v>41234</v>
      </c>
      <c r="N495" s="29" t="s">
        <v>166</v>
      </c>
      <c r="O495" s="28" t="s">
        <v>1379</v>
      </c>
      <c r="P495" s="32">
        <v>22113.97</v>
      </c>
      <c r="Q495" s="56">
        <v>41241</v>
      </c>
      <c r="R495" s="49"/>
      <c r="S495" s="49"/>
      <c r="T495" s="49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</row>
    <row r="496" spans="1:33" ht="12" customHeight="1">
      <c r="A496" s="25">
        <v>41221</v>
      </c>
      <c r="B496" s="225" t="s">
        <v>1980</v>
      </c>
      <c r="C496" s="219" t="s">
        <v>162</v>
      </c>
      <c r="D496" s="225" t="s">
        <v>1870</v>
      </c>
      <c r="E496" s="196">
        <v>8210</v>
      </c>
      <c r="F496" s="129">
        <v>800</v>
      </c>
      <c r="G496" s="129" t="s">
        <v>171</v>
      </c>
      <c r="H496" s="31">
        <v>3.63</v>
      </c>
      <c r="I496" s="27">
        <f t="shared" si="16"/>
        <v>2904</v>
      </c>
      <c r="J496" s="28" t="s">
        <v>167</v>
      </c>
      <c r="K496" s="25">
        <v>41221</v>
      </c>
      <c r="M496" s="25">
        <v>41221</v>
      </c>
      <c r="N496" s="29" t="s">
        <v>166</v>
      </c>
      <c r="O496" s="28" t="s">
        <v>1501</v>
      </c>
      <c r="P496" s="32">
        <v>2904</v>
      </c>
      <c r="Q496" s="56">
        <v>41261</v>
      </c>
      <c r="R496" s="49"/>
      <c r="S496" s="49"/>
      <c r="T496" s="49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</row>
    <row r="497" spans="1:33" ht="12" customHeight="1">
      <c r="A497" s="25">
        <v>41221</v>
      </c>
      <c r="B497" s="225" t="s">
        <v>1985</v>
      </c>
      <c r="C497" s="219" t="s">
        <v>162</v>
      </c>
      <c r="D497" s="225" t="s">
        <v>1934</v>
      </c>
      <c r="E497" s="196">
        <v>1110</v>
      </c>
      <c r="F497" s="129">
        <v>500</v>
      </c>
      <c r="G497" s="129" t="s">
        <v>172</v>
      </c>
      <c r="H497" s="31">
        <v>0.74</v>
      </c>
      <c r="I497" s="27">
        <f t="shared" si="16"/>
        <v>370</v>
      </c>
      <c r="J497" s="28" t="s">
        <v>1237</v>
      </c>
      <c r="K497" s="25">
        <v>41226</v>
      </c>
      <c r="M497" s="25">
        <v>41222</v>
      </c>
      <c r="N497" s="29" t="s">
        <v>166</v>
      </c>
      <c r="O497" s="28" t="s">
        <v>1472</v>
      </c>
      <c r="P497" s="32">
        <v>31007.119999999999</v>
      </c>
      <c r="Q497" s="56">
        <v>41254</v>
      </c>
      <c r="R497" s="49"/>
      <c r="S497" s="49"/>
      <c r="T497" s="49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</row>
    <row r="498" spans="1:33" ht="12" customHeight="1">
      <c r="A498" s="25">
        <v>41221</v>
      </c>
      <c r="B498" s="225" t="s">
        <v>1985</v>
      </c>
      <c r="C498" s="219" t="s">
        <v>162</v>
      </c>
      <c r="D498" s="225" t="s">
        <v>692</v>
      </c>
      <c r="E498" s="196" t="s">
        <v>769</v>
      </c>
      <c r="F498" s="129">
        <v>100</v>
      </c>
      <c r="G498" s="129" t="s">
        <v>172</v>
      </c>
      <c r="H498" s="31">
        <v>1.54</v>
      </c>
      <c r="I498" s="27">
        <f t="shared" si="16"/>
        <v>154</v>
      </c>
      <c r="J498" s="28" t="s">
        <v>1237</v>
      </c>
      <c r="K498" s="25">
        <v>41226</v>
      </c>
      <c r="M498" s="25">
        <v>41222</v>
      </c>
      <c r="N498" s="29" t="s">
        <v>166</v>
      </c>
      <c r="O498" s="28" t="s">
        <v>1472</v>
      </c>
      <c r="P498" s="32">
        <v>31007.119999999999</v>
      </c>
      <c r="Q498" s="56">
        <v>41254</v>
      </c>
      <c r="R498" s="49"/>
      <c r="S498" s="49"/>
      <c r="T498" s="49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</row>
    <row r="499" spans="1:33" ht="12" customHeight="1">
      <c r="A499" s="25">
        <v>41222</v>
      </c>
      <c r="B499" s="225" t="s">
        <v>1975</v>
      </c>
      <c r="C499" s="219" t="s">
        <v>162</v>
      </c>
      <c r="D499" s="1" t="s">
        <v>1210</v>
      </c>
      <c r="E499" s="28">
        <v>3200</v>
      </c>
      <c r="F499" s="129">
        <v>100</v>
      </c>
      <c r="G499" s="129" t="s">
        <v>170</v>
      </c>
      <c r="H499" s="31">
        <v>23.94</v>
      </c>
      <c r="I499" s="27">
        <f t="shared" si="16"/>
        <v>2394</v>
      </c>
      <c r="J499" s="28" t="s">
        <v>1238</v>
      </c>
      <c r="K499" s="25">
        <v>41222</v>
      </c>
      <c r="M499" s="25">
        <v>41234</v>
      </c>
      <c r="N499" s="29" t="s">
        <v>166</v>
      </c>
      <c r="O499" s="28" t="s">
        <v>1379</v>
      </c>
      <c r="P499" s="32">
        <v>22113.97</v>
      </c>
      <c r="Q499" s="56">
        <v>41241</v>
      </c>
      <c r="R499" s="49"/>
      <c r="S499" s="49"/>
      <c r="T499" s="49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</row>
    <row r="500" spans="1:33" ht="12" customHeight="1">
      <c r="A500" s="25">
        <v>41222</v>
      </c>
      <c r="B500" s="225" t="s">
        <v>1975</v>
      </c>
      <c r="C500" s="219" t="s">
        <v>162</v>
      </c>
      <c r="D500" s="225" t="s">
        <v>1866</v>
      </c>
      <c r="E500" s="28" t="s">
        <v>1334</v>
      </c>
      <c r="F500" s="129">
        <v>500</v>
      </c>
      <c r="G500" s="129" t="s">
        <v>1335</v>
      </c>
      <c r="H500" s="31">
        <v>1.17</v>
      </c>
      <c r="I500" s="27">
        <f t="shared" si="16"/>
        <v>585</v>
      </c>
      <c r="J500" s="28" t="s">
        <v>1336</v>
      </c>
      <c r="K500" s="25">
        <v>41222</v>
      </c>
      <c r="M500" s="25">
        <v>41234</v>
      </c>
      <c r="N500" s="29" t="s">
        <v>1337</v>
      </c>
      <c r="O500" s="28" t="s">
        <v>1379</v>
      </c>
      <c r="P500" s="32">
        <v>22113.97</v>
      </c>
      <c r="Q500" s="56">
        <v>41241</v>
      </c>
      <c r="R500" s="49"/>
      <c r="S500" s="49"/>
      <c r="T500" s="49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</row>
    <row r="501" spans="1:33" ht="12" customHeight="1">
      <c r="A501" s="25">
        <v>41222</v>
      </c>
      <c r="B501" s="225" t="s">
        <v>1975</v>
      </c>
      <c r="C501" s="219" t="s">
        <v>1338</v>
      </c>
      <c r="D501" s="225" t="s">
        <v>1931</v>
      </c>
      <c r="E501" s="28">
        <v>3700</v>
      </c>
      <c r="F501" s="129">
        <v>100</v>
      </c>
      <c r="G501" s="129" t="s">
        <v>1339</v>
      </c>
      <c r="H501" s="31">
        <v>3.09</v>
      </c>
      <c r="I501" s="27">
        <f t="shared" si="16"/>
        <v>309</v>
      </c>
      <c r="J501" s="28" t="s">
        <v>1336</v>
      </c>
      <c r="K501" s="25">
        <v>41222</v>
      </c>
      <c r="M501" s="25">
        <v>41234</v>
      </c>
      <c r="N501" s="29" t="s">
        <v>1337</v>
      </c>
      <c r="O501" s="28" t="s">
        <v>1379</v>
      </c>
      <c r="P501" s="32">
        <v>22113.97</v>
      </c>
      <c r="Q501" s="56">
        <v>41241</v>
      </c>
      <c r="R501" s="49"/>
      <c r="S501" s="49"/>
      <c r="T501" s="49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</row>
    <row r="502" spans="1:33" ht="12" customHeight="1">
      <c r="A502" s="25">
        <v>41222</v>
      </c>
      <c r="B502" s="225" t="s">
        <v>1975</v>
      </c>
      <c r="C502" s="219" t="s">
        <v>1338</v>
      </c>
      <c r="D502" s="225" t="s">
        <v>232</v>
      </c>
      <c r="E502" s="28" t="s">
        <v>1340</v>
      </c>
      <c r="F502" s="205">
        <v>500</v>
      </c>
      <c r="G502" s="129" t="s">
        <v>1335</v>
      </c>
      <c r="H502" s="31">
        <v>1.54</v>
      </c>
      <c r="I502" s="27">
        <f t="shared" si="16"/>
        <v>770</v>
      </c>
      <c r="J502" s="28" t="s">
        <v>1336</v>
      </c>
      <c r="K502" s="25">
        <v>41222</v>
      </c>
      <c r="M502" s="25">
        <v>41234</v>
      </c>
      <c r="N502" s="29" t="s">
        <v>1337</v>
      </c>
      <c r="O502" s="28" t="s">
        <v>1379</v>
      </c>
      <c r="P502" s="32">
        <v>22113.97</v>
      </c>
      <c r="Q502" s="56">
        <v>41241</v>
      </c>
      <c r="R502" s="49"/>
      <c r="S502" s="49"/>
      <c r="T502" s="49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</row>
    <row r="503" spans="1:33" ht="12" customHeight="1">
      <c r="A503" s="25">
        <v>41222</v>
      </c>
      <c r="B503" s="225" t="s">
        <v>1975</v>
      </c>
      <c r="C503" s="219" t="s">
        <v>1338</v>
      </c>
      <c r="D503" s="225" t="s">
        <v>1934</v>
      </c>
      <c r="E503" s="28">
        <v>1110</v>
      </c>
      <c r="F503" s="129">
        <v>13</v>
      </c>
      <c r="G503" s="129" t="s">
        <v>1341</v>
      </c>
      <c r="H503" s="31">
        <v>0.77</v>
      </c>
      <c r="I503" s="27">
        <f t="shared" si="16"/>
        <v>10.01</v>
      </c>
      <c r="J503" s="28" t="s">
        <v>1342</v>
      </c>
      <c r="K503" s="25">
        <v>41222</v>
      </c>
      <c r="M503" s="25">
        <v>41234</v>
      </c>
      <c r="N503" s="29" t="s">
        <v>1337</v>
      </c>
      <c r="O503" s="28" t="s">
        <v>1379</v>
      </c>
      <c r="P503" s="32">
        <v>22113.97</v>
      </c>
      <c r="Q503" s="56">
        <v>41241</v>
      </c>
      <c r="R503" s="49"/>
      <c r="S503" s="49"/>
      <c r="T503" s="49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</row>
    <row r="504" spans="1:33" ht="12" customHeight="1">
      <c r="A504" s="25">
        <v>41225</v>
      </c>
      <c r="B504" s="225" t="s">
        <v>1978</v>
      </c>
      <c r="C504" s="219" t="s">
        <v>1338</v>
      </c>
      <c r="D504" s="5" t="s">
        <v>2012</v>
      </c>
      <c r="E504" s="196" t="s">
        <v>1343</v>
      </c>
      <c r="F504" s="129">
        <v>2500</v>
      </c>
      <c r="G504" s="198" t="s">
        <v>229</v>
      </c>
      <c r="H504" s="31">
        <v>1.4</v>
      </c>
      <c r="I504" s="27">
        <f t="shared" si="16"/>
        <v>3500</v>
      </c>
      <c r="J504" s="28" t="s">
        <v>1344</v>
      </c>
      <c r="K504" s="25">
        <v>41226</v>
      </c>
      <c r="M504" s="25">
        <v>41225</v>
      </c>
      <c r="N504" s="29" t="s">
        <v>1337</v>
      </c>
      <c r="O504" s="28" t="s">
        <v>1345</v>
      </c>
      <c r="P504" s="32">
        <v>59177.48</v>
      </c>
      <c r="Q504" s="56">
        <v>41236</v>
      </c>
      <c r="R504" s="49"/>
      <c r="S504" s="49"/>
      <c r="T504" s="49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</row>
    <row r="505" spans="1:33" ht="12" customHeight="1">
      <c r="A505" s="25">
        <v>41225</v>
      </c>
      <c r="B505" s="225" t="s">
        <v>1978</v>
      </c>
      <c r="C505" s="219" t="s">
        <v>1338</v>
      </c>
      <c r="D505" s="225" t="s">
        <v>1916</v>
      </c>
      <c r="E505" s="196">
        <v>6800</v>
      </c>
      <c r="F505" s="129">
        <v>6</v>
      </c>
      <c r="G505" s="129" t="s">
        <v>1339</v>
      </c>
      <c r="H505" s="31">
        <v>418</v>
      </c>
      <c r="I505" s="27">
        <f t="shared" si="16"/>
        <v>2508</v>
      </c>
      <c r="J505" s="28" t="s">
        <v>1344</v>
      </c>
      <c r="K505" s="25">
        <v>41226</v>
      </c>
      <c r="M505" s="25">
        <v>41225</v>
      </c>
      <c r="N505" s="29" t="s">
        <v>1337</v>
      </c>
      <c r="O505" s="28" t="s">
        <v>1345</v>
      </c>
      <c r="P505" s="32">
        <v>59177.48</v>
      </c>
      <c r="Q505" s="56">
        <v>41236</v>
      </c>
      <c r="R505" s="49"/>
      <c r="S505" s="49"/>
      <c r="T505" s="49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</row>
    <row r="506" spans="1:33" ht="12" customHeight="1">
      <c r="A506" s="25">
        <v>41226</v>
      </c>
      <c r="B506" s="225" t="s">
        <v>1978</v>
      </c>
      <c r="C506" s="219" t="s">
        <v>1338</v>
      </c>
      <c r="D506" s="1" t="s">
        <v>1867</v>
      </c>
      <c r="E506" s="196">
        <v>6006</v>
      </c>
      <c r="F506" s="129">
        <v>204</v>
      </c>
      <c r="G506" s="129" t="s">
        <v>1339</v>
      </c>
      <c r="H506" s="31">
        <v>49.78</v>
      </c>
      <c r="I506" s="27">
        <f t="shared" si="16"/>
        <v>10155.120000000001</v>
      </c>
      <c r="J506" s="28" t="s">
        <v>1346</v>
      </c>
      <c r="K506" s="25">
        <v>41227</v>
      </c>
      <c r="M506" s="25">
        <v>41229</v>
      </c>
      <c r="N506" s="29" t="s">
        <v>1337</v>
      </c>
      <c r="O506" s="28" t="s">
        <v>1345</v>
      </c>
      <c r="P506" s="32">
        <v>59177.48</v>
      </c>
      <c r="Q506" s="56">
        <v>41236</v>
      </c>
      <c r="R506" s="49"/>
      <c r="S506" s="49"/>
      <c r="T506" s="49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</row>
    <row r="507" spans="1:33" ht="12" customHeight="1">
      <c r="A507" s="25">
        <v>41226</v>
      </c>
      <c r="B507" s="225" t="s">
        <v>1977</v>
      </c>
      <c r="C507" s="219" t="s">
        <v>1338</v>
      </c>
      <c r="D507" s="1" t="s">
        <v>1867</v>
      </c>
      <c r="E507" s="196">
        <v>6006</v>
      </c>
      <c r="F507" s="129">
        <v>296</v>
      </c>
      <c r="G507" s="129" t="s">
        <v>1339</v>
      </c>
      <c r="H507" s="31">
        <v>48</v>
      </c>
      <c r="I507" s="27">
        <f t="shared" si="16"/>
        <v>14208</v>
      </c>
      <c r="J507" s="28" t="s">
        <v>1347</v>
      </c>
      <c r="K507" s="25">
        <v>41226</v>
      </c>
      <c r="M507" s="25">
        <v>41234</v>
      </c>
      <c r="N507" s="29" t="s">
        <v>1376</v>
      </c>
      <c r="O507" s="28" t="s">
        <v>1348</v>
      </c>
      <c r="P507" s="32">
        <v>21721.8</v>
      </c>
      <c r="Q507" s="56">
        <v>41239</v>
      </c>
      <c r="R507" s="49"/>
      <c r="S507" s="49"/>
      <c r="T507" s="49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</row>
    <row r="508" spans="1:33" ht="12" customHeight="1">
      <c r="A508" s="25">
        <v>41227</v>
      </c>
      <c r="B508" s="225" t="s">
        <v>1975</v>
      </c>
      <c r="C508" s="219" t="s">
        <v>1338</v>
      </c>
      <c r="D508" s="225" t="s">
        <v>1925</v>
      </c>
      <c r="E508" s="28" t="s">
        <v>1349</v>
      </c>
      <c r="F508" s="129">
        <v>500</v>
      </c>
      <c r="G508" s="129" t="s">
        <v>1335</v>
      </c>
      <c r="H508" s="31">
        <v>1.65</v>
      </c>
      <c r="I508" s="27">
        <f t="shared" si="16"/>
        <v>825</v>
      </c>
      <c r="J508" s="28" t="s">
        <v>1350</v>
      </c>
      <c r="K508" s="25">
        <v>41227</v>
      </c>
      <c r="M508" s="25">
        <v>41234</v>
      </c>
      <c r="N508" s="29" t="s">
        <v>1337</v>
      </c>
      <c r="O508" s="28" t="s">
        <v>1379</v>
      </c>
      <c r="P508" s="32">
        <v>22113.97</v>
      </c>
      <c r="Q508" s="56">
        <v>41241</v>
      </c>
      <c r="R508" s="49"/>
      <c r="S508" s="49"/>
      <c r="T508" s="49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</row>
    <row r="509" spans="1:33" ht="12" customHeight="1">
      <c r="A509" s="25">
        <v>41227</v>
      </c>
      <c r="B509" s="225" t="s">
        <v>1977</v>
      </c>
      <c r="C509" s="219" t="s">
        <v>1338</v>
      </c>
      <c r="D509" s="342" t="s">
        <v>240</v>
      </c>
      <c r="E509" s="196">
        <v>6200</v>
      </c>
      <c r="F509" s="129">
        <v>72</v>
      </c>
      <c r="G509" s="129" t="s">
        <v>1339</v>
      </c>
      <c r="H509" s="31">
        <v>42.7</v>
      </c>
      <c r="I509" s="27">
        <f t="shared" si="16"/>
        <v>3074.4</v>
      </c>
      <c r="J509" s="28" t="s">
        <v>1351</v>
      </c>
      <c r="K509" s="25">
        <v>41227</v>
      </c>
      <c r="M509" s="25">
        <v>41234</v>
      </c>
      <c r="N509" s="29" t="s">
        <v>1376</v>
      </c>
      <c r="O509" s="28" t="s">
        <v>1348</v>
      </c>
      <c r="P509" s="32">
        <v>21721.8</v>
      </c>
      <c r="Q509" s="56">
        <v>41239</v>
      </c>
      <c r="R509" s="49"/>
      <c r="S509" s="49"/>
      <c r="T509" s="49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</row>
    <row r="510" spans="1:33" ht="12" customHeight="1">
      <c r="A510" s="25">
        <v>41229</v>
      </c>
      <c r="B510" s="225" t="s">
        <v>1975</v>
      </c>
      <c r="C510" s="219" t="s">
        <v>1338</v>
      </c>
      <c r="D510" s="1" t="s">
        <v>1210</v>
      </c>
      <c r="E510" s="28">
        <v>3200</v>
      </c>
      <c r="F510" s="129">
        <v>40</v>
      </c>
      <c r="G510" s="129" t="s">
        <v>1339</v>
      </c>
      <c r="H510" s="31">
        <v>23.94</v>
      </c>
      <c r="I510" s="27">
        <f t="shared" si="16"/>
        <v>957.6</v>
      </c>
      <c r="J510" s="28" t="s">
        <v>1352</v>
      </c>
      <c r="K510" s="25">
        <v>41229</v>
      </c>
      <c r="M510" s="25">
        <v>41240</v>
      </c>
      <c r="N510" s="29" t="s">
        <v>1365</v>
      </c>
      <c r="O510" s="28" t="s">
        <v>1379</v>
      </c>
      <c r="P510" s="32">
        <v>22113.97</v>
      </c>
      <c r="Q510" s="56">
        <v>41241</v>
      </c>
      <c r="R510" s="49"/>
      <c r="S510" s="49"/>
      <c r="T510" s="49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</row>
    <row r="511" spans="1:33" ht="12" customHeight="1">
      <c r="A511" s="25">
        <v>41229</v>
      </c>
      <c r="B511" s="225" t="s">
        <v>1975</v>
      </c>
      <c r="C511" s="219" t="s">
        <v>1338</v>
      </c>
      <c r="D511" s="5" t="s">
        <v>1897</v>
      </c>
      <c r="E511" s="28" t="s">
        <v>1353</v>
      </c>
      <c r="F511" s="129">
        <v>100</v>
      </c>
      <c r="G511" s="129" t="s">
        <v>1341</v>
      </c>
      <c r="H511" s="31">
        <v>3.97</v>
      </c>
      <c r="I511" s="27">
        <f t="shared" si="16"/>
        <v>397</v>
      </c>
      <c r="J511" s="28" t="s">
        <v>1352</v>
      </c>
      <c r="K511" s="25">
        <v>41229</v>
      </c>
      <c r="M511" s="25">
        <v>41240</v>
      </c>
      <c r="N511" s="29" t="s">
        <v>1365</v>
      </c>
      <c r="O511" s="28" t="s">
        <v>1379</v>
      </c>
      <c r="P511" s="32">
        <v>22113.97</v>
      </c>
      <c r="Q511" s="56">
        <v>41241</v>
      </c>
      <c r="R511" s="49"/>
      <c r="S511" s="49"/>
      <c r="T511" s="49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</row>
    <row r="512" spans="1:33" ht="12" customHeight="1">
      <c r="A512" s="25">
        <v>41229</v>
      </c>
      <c r="B512" s="225" t="s">
        <v>1975</v>
      </c>
      <c r="C512" s="219" t="s">
        <v>1338</v>
      </c>
      <c r="D512" s="225" t="s">
        <v>1931</v>
      </c>
      <c r="E512" s="28">
        <v>3700</v>
      </c>
      <c r="F512" s="129">
        <v>100</v>
      </c>
      <c r="G512" s="129" t="s">
        <v>1339</v>
      </c>
      <c r="H512" s="31">
        <v>3.09</v>
      </c>
      <c r="I512" s="27">
        <f t="shared" si="16"/>
        <v>309</v>
      </c>
      <c r="J512" s="28" t="s">
        <v>1352</v>
      </c>
      <c r="K512" s="25">
        <v>41229</v>
      </c>
      <c r="M512" s="25">
        <v>41240</v>
      </c>
      <c r="N512" s="29" t="s">
        <v>1365</v>
      </c>
      <c r="O512" s="28" t="s">
        <v>1379</v>
      </c>
      <c r="P512" s="32">
        <v>22113.97</v>
      </c>
      <c r="Q512" s="56">
        <v>41241</v>
      </c>
      <c r="R512" s="49"/>
      <c r="S512" s="49"/>
      <c r="T512" s="49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</row>
    <row r="513" spans="1:33" ht="12" customHeight="1">
      <c r="A513" s="25">
        <v>41232</v>
      </c>
      <c r="B513" s="225" t="s">
        <v>1994</v>
      </c>
      <c r="C513" s="219" t="s">
        <v>1338</v>
      </c>
      <c r="D513" s="225" t="s">
        <v>1935</v>
      </c>
      <c r="E513" s="196" t="s">
        <v>1354</v>
      </c>
      <c r="F513" s="129">
        <v>1</v>
      </c>
      <c r="G513" s="129" t="s">
        <v>1341</v>
      </c>
      <c r="H513" s="31">
        <v>52</v>
      </c>
      <c r="I513" s="27">
        <f t="shared" si="16"/>
        <v>52</v>
      </c>
      <c r="J513" s="28" t="s">
        <v>1355</v>
      </c>
      <c r="K513" s="25">
        <v>41232</v>
      </c>
      <c r="M513" s="25">
        <v>41366</v>
      </c>
      <c r="N513" s="29" t="s">
        <v>166</v>
      </c>
      <c r="O513" s="28" t="s">
        <v>7014</v>
      </c>
      <c r="P513" s="32">
        <v>2557</v>
      </c>
      <c r="Q513" s="56">
        <v>41418</v>
      </c>
      <c r="R513" s="49"/>
      <c r="S513" s="49"/>
      <c r="T513" s="49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</row>
    <row r="514" spans="1:33" ht="12" customHeight="1">
      <c r="A514" s="25">
        <v>41232</v>
      </c>
      <c r="B514" s="225" t="s">
        <v>1975</v>
      </c>
      <c r="C514" s="219" t="s">
        <v>1338</v>
      </c>
      <c r="D514" s="1" t="s">
        <v>1213</v>
      </c>
      <c r="E514" s="28" t="s">
        <v>1356</v>
      </c>
      <c r="F514" s="129">
        <v>15</v>
      </c>
      <c r="G514" s="129" t="s">
        <v>1341</v>
      </c>
      <c r="H514" s="31">
        <v>13</v>
      </c>
      <c r="I514" s="27">
        <f t="shared" si="16"/>
        <v>195</v>
      </c>
      <c r="J514" s="28" t="s">
        <v>1357</v>
      </c>
      <c r="K514" s="25">
        <v>41232</v>
      </c>
      <c r="M514" s="25">
        <v>41240</v>
      </c>
      <c r="N514" s="29" t="s">
        <v>1365</v>
      </c>
      <c r="O514" s="28" t="s">
        <v>1379</v>
      </c>
      <c r="P514" s="32">
        <v>22113.97</v>
      </c>
      <c r="Q514" s="56">
        <v>41241</v>
      </c>
      <c r="R514" s="49"/>
      <c r="S514" s="49"/>
      <c r="T514" s="49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</row>
    <row r="515" spans="1:33" ht="12" customHeight="1">
      <c r="A515" s="25">
        <v>41232</v>
      </c>
      <c r="B515" s="225" t="s">
        <v>1975</v>
      </c>
      <c r="C515" s="219" t="s">
        <v>1338</v>
      </c>
      <c r="D515" s="225" t="s">
        <v>1931</v>
      </c>
      <c r="E515" s="28">
        <v>3700</v>
      </c>
      <c r="F515" s="129">
        <v>100</v>
      </c>
      <c r="G515" s="129" t="s">
        <v>1339</v>
      </c>
      <c r="H515" s="31">
        <v>3.09</v>
      </c>
      <c r="I515" s="27">
        <f t="shared" si="16"/>
        <v>309</v>
      </c>
      <c r="J515" s="28" t="s">
        <v>1358</v>
      </c>
      <c r="K515" s="25">
        <v>41232</v>
      </c>
      <c r="M515" s="25">
        <v>41240</v>
      </c>
      <c r="N515" s="29" t="s">
        <v>1365</v>
      </c>
      <c r="O515" s="28" t="s">
        <v>1379</v>
      </c>
      <c r="P515" s="32">
        <v>22113.97</v>
      </c>
      <c r="Q515" s="56">
        <v>41241</v>
      </c>
      <c r="R515" s="49"/>
      <c r="S515" s="49"/>
      <c r="T515" s="49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</row>
    <row r="516" spans="1:33" ht="12" customHeight="1">
      <c r="A516" s="25">
        <v>41232</v>
      </c>
      <c r="B516" s="225" t="s">
        <v>1975</v>
      </c>
      <c r="C516" s="219" t="s">
        <v>1338</v>
      </c>
      <c r="D516" s="225" t="s">
        <v>1869</v>
      </c>
      <c r="E516" s="28">
        <v>501</v>
      </c>
      <c r="F516" s="129">
        <v>100</v>
      </c>
      <c r="G516" s="129" t="s">
        <v>1339</v>
      </c>
      <c r="H516" s="31">
        <v>1.4</v>
      </c>
      <c r="I516" s="27">
        <f t="shared" si="16"/>
        <v>140</v>
      </c>
      <c r="J516" s="28" t="s">
        <v>1358</v>
      </c>
      <c r="K516" s="25">
        <v>41232</v>
      </c>
      <c r="M516" s="25">
        <v>41240</v>
      </c>
      <c r="N516" s="29" t="s">
        <v>1365</v>
      </c>
      <c r="O516" s="28" t="s">
        <v>1379</v>
      </c>
      <c r="P516" s="32">
        <v>22113.97</v>
      </c>
      <c r="Q516" s="56">
        <v>41241</v>
      </c>
      <c r="R516" s="49"/>
      <c r="S516" s="49"/>
      <c r="T516" s="49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</row>
    <row r="517" spans="1:33" ht="12" customHeight="1">
      <c r="A517" s="25">
        <v>41232</v>
      </c>
      <c r="B517" s="225" t="s">
        <v>1985</v>
      </c>
      <c r="C517" s="219" t="s">
        <v>1338</v>
      </c>
      <c r="D517" s="225" t="s">
        <v>1936</v>
      </c>
      <c r="E517" s="196">
        <v>6009</v>
      </c>
      <c r="F517" s="129">
        <v>60</v>
      </c>
      <c r="G517" s="129" t="s">
        <v>1339</v>
      </c>
      <c r="H517" s="31">
        <v>39</v>
      </c>
      <c r="I517" s="27">
        <f t="shared" si="16"/>
        <v>2340</v>
      </c>
      <c r="J517" s="28" t="s">
        <v>1359</v>
      </c>
      <c r="K517" s="25">
        <v>41234</v>
      </c>
      <c r="M517" s="25">
        <v>41232</v>
      </c>
      <c r="N517" s="29" t="s">
        <v>1360</v>
      </c>
      <c r="O517" s="28" t="s">
        <v>1361</v>
      </c>
      <c r="R517" s="49"/>
      <c r="S517" s="49"/>
      <c r="T517" s="49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</row>
    <row r="518" spans="1:33" ht="12" customHeight="1">
      <c r="A518" s="25">
        <v>41232</v>
      </c>
      <c r="B518" s="225" t="s">
        <v>1985</v>
      </c>
      <c r="C518" s="219" t="s">
        <v>1338</v>
      </c>
      <c r="D518" s="225" t="s">
        <v>1937</v>
      </c>
      <c r="E518" s="196">
        <v>6057</v>
      </c>
      <c r="F518" s="129">
        <v>2</v>
      </c>
      <c r="G518" s="129" t="s">
        <v>1339</v>
      </c>
      <c r="H518" s="31">
        <v>50.5</v>
      </c>
      <c r="I518" s="27">
        <f t="shared" si="16"/>
        <v>101</v>
      </c>
      <c r="J518" s="28" t="s">
        <v>1359</v>
      </c>
      <c r="K518" s="25">
        <v>41234</v>
      </c>
      <c r="M518" s="25">
        <v>41247</v>
      </c>
      <c r="N518" s="29" t="s">
        <v>165</v>
      </c>
      <c r="O518" s="28" t="s">
        <v>1361</v>
      </c>
      <c r="R518" s="49"/>
      <c r="S518" s="49"/>
      <c r="T518" s="49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</row>
    <row r="519" spans="1:33" ht="12" customHeight="1">
      <c r="A519" s="25">
        <v>41232</v>
      </c>
      <c r="B519" s="225" t="s">
        <v>1979</v>
      </c>
      <c r="C519" s="219" t="s">
        <v>1338</v>
      </c>
      <c r="D519" s="225" t="s">
        <v>1923</v>
      </c>
      <c r="E519" s="196">
        <v>10434</v>
      </c>
      <c r="F519" s="131">
        <v>20</v>
      </c>
      <c r="G519" s="129" t="s">
        <v>1341</v>
      </c>
      <c r="H519" s="31">
        <v>14.2</v>
      </c>
      <c r="I519" s="27">
        <f t="shared" si="16"/>
        <v>284</v>
      </c>
      <c r="J519" s="28" t="s">
        <v>1362</v>
      </c>
      <c r="K519" s="25">
        <v>41232</v>
      </c>
      <c r="M519" s="25">
        <v>41241</v>
      </c>
      <c r="N519" s="29" t="s">
        <v>166</v>
      </c>
      <c r="O519" s="28" t="s">
        <v>1377</v>
      </c>
      <c r="P519" s="32">
        <v>16292.64</v>
      </c>
      <c r="Q519" s="56">
        <v>41241</v>
      </c>
      <c r="R519" s="49"/>
      <c r="S519" s="49"/>
      <c r="T519" s="49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</row>
    <row r="520" spans="1:33" ht="12" customHeight="1">
      <c r="A520" s="25">
        <v>41233</v>
      </c>
      <c r="B520" s="225" t="s">
        <v>1977</v>
      </c>
      <c r="C520" s="219" t="s">
        <v>1338</v>
      </c>
      <c r="D520" s="1" t="s">
        <v>1213</v>
      </c>
      <c r="E520" s="196" t="s">
        <v>1356</v>
      </c>
      <c r="F520" s="129">
        <v>27</v>
      </c>
      <c r="G520" s="129" t="s">
        <v>1341</v>
      </c>
      <c r="H520" s="31">
        <v>12.6</v>
      </c>
      <c r="I520" s="27">
        <f t="shared" si="16"/>
        <v>340.2</v>
      </c>
      <c r="J520" s="28" t="s">
        <v>1363</v>
      </c>
      <c r="K520" s="25">
        <v>41233</v>
      </c>
      <c r="M520" s="25">
        <v>41234</v>
      </c>
      <c r="N520" s="29" t="s">
        <v>1376</v>
      </c>
      <c r="O520" s="28" t="s">
        <v>1348</v>
      </c>
      <c r="P520" s="32">
        <v>21721.8</v>
      </c>
      <c r="Q520" s="56">
        <v>41239</v>
      </c>
      <c r="R520" s="49"/>
      <c r="S520" s="49"/>
      <c r="T520" s="49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</row>
    <row r="521" spans="1:33" ht="12" customHeight="1">
      <c r="A521" s="25">
        <v>41233</v>
      </c>
      <c r="B521" s="225" t="s">
        <v>1977</v>
      </c>
      <c r="C521" s="219" t="s">
        <v>1338</v>
      </c>
      <c r="D521" s="342" t="s">
        <v>240</v>
      </c>
      <c r="E521" s="196">
        <v>6200</v>
      </c>
      <c r="F521" s="129">
        <v>96</v>
      </c>
      <c r="G521" s="129" t="s">
        <v>1339</v>
      </c>
      <c r="H521" s="31">
        <v>42.7</v>
      </c>
      <c r="I521" s="27">
        <f t="shared" ref="I521:I530" si="17">H521*F521</f>
        <v>4099.2000000000007</v>
      </c>
      <c r="J521" s="28" t="s">
        <v>1363</v>
      </c>
      <c r="K521" s="25">
        <v>41233</v>
      </c>
      <c r="M521" s="25">
        <v>41234</v>
      </c>
      <c r="N521" s="29" t="s">
        <v>1376</v>
      </c>
      <c r="O521" s="28" t="s">
        <v>1348</v>
      </c>
      <c r="P521" s="32">
        <v>21721.8</v>
      </c>
      <c r="Q521" s="56">
        <v>41239</v>
      </c>
      <c r="R521" s="49"/>
      <c r="S521" s="49"/>
      <c r="T521" s="49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</row>
    <row r="522" spans="1:33" ht="12" customHeight="1">
      <c r="A522" s="25">
        <v>41233</v>
      </c>
      <c r="B522" s="225" t="s">
        <v>1978</v>
      </c>
      <c r="C522" s="219" t="s">
        <v>1338</v>
      </c>
      <c r="D522" s="5" t="s">
        <v>1221</v>
      </c>
      <c r="E522" s="196" t="s">
        <v>1364</v>
      </c>
      <c r="F522" s="129">
        <v>12</v>
      </c>
      <c r="G522" s="129" t="s">
        <v>1339</v>
      </c>
      <c r="H522" s="31">
        <v>34.799999999999997</v>
      </c>
      <c r="I522" s="27">
        <f t="shared" si="17"/>
        <v>417.59999999999997</v>
      </c>
      <c r="J522" s="28" t="s">
        <v>1359</v>
      </c>
      <c r="K522" s="25">
        <v>41236</v>
      </c>
      <c r="M522" s="25">
        <v>41233</v>
      </c>
      <c r="N522" s="29" t="s">
        <v>1337</v>
      </c>
      <c r="O522" s="28" t="s">
        <v>1574</v>
      </c>
      <c r="P522" s="32">
        <v>36833.599999999999</v>
      </c>
      <c r="Q522" s="56">
        <v>41264</v>
      </c>
      <c r="R522" s="49"/>
      <c r="S522" s="49"/>
      <c r="T522" s="49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</row>
    <row r="523" spans="1:33" ht="12" customHeight="1">
      <c r="A523" s="25">
        <v>41233</v>
      </c>
      <c r="B523" s="225" t="s">
        <v>1980</v>
      </c>
      <c r="C523" s="219" t="s">
        <v>162</v>
      </c>
      <c r="D523" s="225" t="s">
        <v>350</v>
      </c>
      <c r="E523" s="196">
        <v>7502</v>
      </c>
      <c r="F523" s="125">
        <v>12</v>
      </c>
      <c r="G523" s="125" t="s">
        <v>751</v>
      </c>
      <c r="H523" s="31">
        <v>106</v>
      </c>
      <c r="I523" s="27">
        <f t="shared" si="17"/>
        <v>1272</v>
      </c>
      <c r="J523" s="28" t="s">
        <v>311</v>
      </c>
      <c r="K523" s="25">
        <v>41235</v>
      </c>
      <c r="M523" s="56">
        <v>41233</v>
      </c>
      <c r="N523" s="29" t="s">
        <v>1271</v>
      </c>
      <c r="O523" s="28" t="s">
        <v>1312</v>
      </c>
      <c r="P523" s="32">
        <v>1272</v>
      </c>
      <c r="Q523" s="56">
        <v>41235</v>
      </c>
      <c r="R523" s="125"/>
      <c r="S523" s="125"/>
      <c r="T523" s="125"/>
      <c r="U523" s="125"/>
      <c r="V523" s="125"/>
      <c r="W523" s="125"/>
      <c r="X523" s="125"/>
      <c r="Y523" s="125"/>
      <c r="Z523" s="125"/>
      <c r="AA523" s="125"/>
      <c r="AB523" s="125"/>
      <c r="AC523" s="125"/>
      <c r="AD523" s="125"/>
      <c r="AE523" s="125"/>
      <c r="AF523" s="125"/>
      <c r="AG523" s="125"/>
    </row>
    <row r="524" spans="1:33" ht="12" customHeight="1">
      <c r="A524" s="25">
        <v>41233</v>
      </c>
      <c r="B524" s="225" t="s">
        <v>1975</v>
      </c>
      <c r="C524" s="219" t="s">
        <v>162</v>
      </c>
      <c r="D524" s="225" t="s">
        <v>246</v>
      </c>
      <c r="E524" s="28">
        <v>4620</v>
      </c>
      <c r="F524" s="119">
        <v>1</v>
      </c>
      <c r="G524" s="122" t="s">
        <v>1272</v>
      </c>
      <c r="H524" s="31">
        <v>17.79</v>
      </c>
      <c r="I524" s="27">
        <f t="shared" si="17"/>
        <v>17.79</v>
      </c>
      <c r="J524" s="28" t="s">
        <v>1273</v>
      </c>
      <c r="K524" s="25">
        <v>41233</v>
      </c>
      <c r="M524" s="56">
        <v>41240</v>
      </c>
      <c r="N524" s="29" t="s">
        <v>1365</v>
      </c>
      <c r="O524" s="28" t="s">
        <v>1379</v>
      </c>
      <c r="P524" s="32">
        <v>22113.97</v>
      </c>
      <c r="Q524" s="56">
        <v>41241</v>
      </c>
    </row>
    <row r="525" spans="1:33" ht="12" customHeight="1">
      <c r="A525" s="25">
        <v>41233</v>
      </c>
      <c r="B525" s="225" t="s">
        <v>1996</v>
      </c>
      <c r="C525" s="219" t="s">
        <v>163</v>
      </c>
      <c r="D525" s="225" t="s">
        <v>825</v>
      </c>
      <c r="E525" s="196" t="s">
        <v>1274</v>
      </c>
      <c r="F525" s="129">
        <v>400</v>
      </c>
      <c r="G525" s="129" t="s">
        <v>185</v>
      </c>
      <c r="H525" s="31">
        <v>4.8899999999999997</v>
      </c>
      <c r="I525" s="27">
        <f t="shared" si="17"/>
        <v>1955.9999999999998</v>
      </c>
      <c r="J525" s="28" t="s">
        <v>311</v>
      </c>
      <c r="K525" s="25">
        <v>41239</v>
      </c>
      <c r="M525" s="56">
        <v>41233</v>
      </c>
      <c r="N525" s="29" t="s">
        <v>1271</v>
      </c>
      <c r="O525" s="28" t="s">
        <v>1705</v>
      </c>
      <c r="P525" s="32">
        <v>16445.5</v>
      </c>
      <c r="Q525" s="56">
        <v>41284</v>
      </c>
      <c r="R525" s="129"/>
      <c r="S525" s="189" t="s">
        <v>1706</v>
      </c>
      <c r="T525" s="129"/>
      <c r="U525" s="129"/>
      <c r="V525" s="129"/>
      <c r="W525" s="129"/>
      <c r="X525" s="129"/>
      <c r="Y525" s="129"/>
      <c r="Z525" s="129"/>
      <c r="AA525" s="129"/>
      <c r="AB525" s="129"/>
      <c r="AC525" s="129"/>
      <c r="AD525" s="129"/>
      <c r="AE525" s="129"/>
      <c r="AF525" s="129"/>
      <c r="AG525" s="129"/>
    </row>
    <row r="526" spans="1:33" ht="12" customHeight="1">
      <c r="A526" s="25">
        <v>41233</v>
      </c>
      <c r="B526" s="225" t="s">
        <v>1996</v>
      </c>
      <c r="C526" s="219" t="s">
        <v>163</v>
      </c>
      <c r="D526" s="1" t="s">
        <v>1213</v>
      </c>
      <c r="E526" s="196" t="s">
        <v>776</v>
      </c>
      <c r="F526" s="129">
        <v>100</v>
      </c>
      <c r="G526" s="129" t="s">
        <v>172</v>
      </c>
      <c r="H526" s="31">
        <v>12.6</v>
      </c>
      <c r="I526" s="27">
        <f t="shared" si="17"/>
        <v>1260</v>
      </c>
      <c r="J526" s="28" t="s">
        <v>311</v>
      </c>
      <c r="K526" s="25">
        <v>41239</v>
      </c>
      <c r="M526" s="56">
        <v>41233</v>
      </c>
      <c r="N526" s="29" t="s">
        <v>1271</v>
      </c>
      <c r="O526" s="28" t="s">
        <v>1705</v>
      </c>
      <c r="P526" s="32">
        <v>16445.5</v>
      </c>
      <c r="Q526" s="56">
        <v>41284</v>
      </c>
      <c r="R526" s="129"/>
      <c r="S526" s="189" t="s">
        <v>1706</v>
      </c>
      <c r="T526" s="129"/>
      <c r="U526" s="129"/>
      <c r="V526" s="129"/>
      <c r="W526" s="129"/>
      <c r="X526" s="129"/>
      <c r="Y526" s="129"/>
      <c r="Z526" s="129"/>
      <c r="AA526" s="129"/>
      <c r="AB526" s="129"/>
      <c r="AC526" s="129"/>
      <c r="AD526" s="129"/>
      <c r="AE526" s="129"/>
      <c r="AF526" s="129"/>
      <c r="AG526" s="129"/>
    </row>
    <row r="527" spans="1:33" ht="12" customHeight="1">
      <c r="A527" s="25">
        <v>41233</v>
      </c>
      <c r="B527" s="225" t="s">
        <v>1996</v>
      </c>
      <c r="C527" s="219" t="s">
        <v>163</v>
      </c>
      <c r="D527" s="225" t="s">
        <v>1275</v>
      </c>
      <c r="E527" s="223" t="s">
        <v>1847</v>
      </c>
      <c r="F527" s="129">
        <v>50</v>
      </c>
      <c r="G527" s="129" t="s">
        <v>684</v>
      </c>
      <c r="H527" s="31">
        <v>29.22</v>
      </c>
      <c r="I527" s="27">
        <f t="shared" si="17"/>
        <v>1461</v>
      </c>
      <c r="J527" s="28" t="s">
        <v>311</v>
      </c>
      <c r="K527" s="25">
        <v>41239</v>
      </c>
      <c r="M527" s="56">
        <v>41233</v>
      </c>
      <c r="N527" s="29" t="s">
        <v>1271</v>
      </c>
      <c r="O527" s="28" t="s">
        <v>1705</v>
      </c>
      <c r="P527" s="32">
        <v>16445.5</v>
      </c>
      <c r="Q527" s="56">
        <v>41284</v>
      </c>
      <c r="R527" s="129"/>
      <c r="S527" s="189" t="s">
        <v>1706</v>
      </c>
      <c r="T527" s="129"/>
      <c r="U527" s="129"/>
      <c r="V527" s="129"/>
      <c r="W527" s="129"/>
      <c r="X527" s="129"/>
      <c r="Y527" s="129"/>
      <c r="Z527" s="129"/>
      <c r="AA527" s="129"/>
      <c r="AB527" s="129"/>
      <c r="AC527" s="129"/>
      <c r="AD527" s="129"/>
      <c r="AE527" s="129"/>
      <c r="AF527" s="129"/>
      <c r="AG527" s="129"/>
    </row>
    <row r="528" spans="1:33" ht="12" customHeight="1">
      <c r="A528" s="25">
        <v>41233</v>
      </c>
      <c r="B528" s="225" t="s">
        <v>1997</v>
      </c>
      <c r="C528" s="222" t="s">
        <v>1374</v>
      </c>
      <c r="D528" s="225" t="s">
        <v>1938</v>
      </c>
      <c r="E528" s="196" t="s">
        <v>1390</v>
      </c>
      <c r="F528" s="129">
        <v>2</v>
      </c>
      <c r="G528" s="129" t="s">
        <v>192</v>
      </c>
      <c r="H528" s="31">
        <v>2340</v>
      </c>
      <c r="I528" s="27">
        <f t="shared" si="17"/>
        <v>4680</v>
      </c>
      <c r="J528" s="28" t="s">
        <v>311</v>
      </c>
      <c r="K528" s="25">
        <v>41239</v>
      </c>
      <c r="M528" s="56">
        <v>41233</v>
      </c>
      <c r="N528" s="29" t="s">
        <v>1271</v>
      </c>
      <c r="O528" s="28" t="s">
        <v>1450</v>
      </c>
      <c r="P528" s="32">
        <v>4680</v>
      </c>
      <c r="Q528" s="56">
        <v>41250</v>
      </c>
      <c r="R528" s="129"/>
      <c r="S528" s="129"/>
      <c r="T528" s="129"/>
      <c r="U528" s="129"/>
      <c r="V528" s="129"/>
      <c r="W528" s="129"/>
      <c r="X528" s="129"/>
      <c r="Y528" s="129"/>
      <c r="Z528" s="129"/>
      <c r="AA528" s="129"/>
      <c r="AB528" s="129"/>
      <c r="AC528" s="129"/>
      <c r="AD528" s="129"/>
      <c r="AE528" s="129"/>
      <c r="AF528" s="129"/>
      <c r="AG528" s="129"/>
    </row>
    <row r="529" spans="1:33" ht="12" customHeight="1">
      <c r="A529" s="25">
        <v>41234</v>
      </c>
      <c r="B529" s="225" t="s">
        <v>1975</v>
      </c>
      <c r="C529" s="219" t="s">
        <v>162</v>
      </c>
      <c r="D529" s="225" t="s">
        <v>247</v>
      </c>
      <c r="E529" s="28">
        <v>11394</v>
      </c>
      <c r="F529" s="119">
        <v>3</v>
      </c>
      <c r="G529" s="123" t="s">
        <v>1278</v>
      </c>
      <c r="H529" s="31">
        <v>19.43</v>
      </c>
      <c r="I529" s="27">
        <f t="shared" si="17"/>
        <v>58.29</v>
      </c>
      <c r="J529" s="28" t="s">
        <v>1279</v>
      </c>
      <c r="K529" s="25">
        <v>41234</v>
      </c>
      <c r="M529" s="56">
        <v>41240</v>
      </c>
      <c r="N529" s="29" t="s">
        <v>1365</v>
      </c>
      <c r="O529" s="28" t="s">
        <v>1379</v>
      </c>
      <c r="P529" s="32">
        <v>22113.97</v>
      </c>
      <c r="Q529" s="56">
        <v>41241</v>
      </c>
    </row>
    <row r="530" spans="1:33" ht="12" customHeight="1">
      <c r="A530" s="25">
        <v>41234</v>
      </c>
      <c r="B530" s="225" t="s">
        <v>1985</v>
      </c>
      <c r="C530" s="219" t="s">
        <v>162</v>
      </c>
      <c r="D530" s="225" t="s">
        <v>1925</v>
      </c>
      <c r="E530" s="196" t="s">
        <v>1280</v>
      </c>
      <c r="F530" s="129">
        <v>50000</v>
      </c>
      <c r="G530" s="129" t="s">
        <v>171</v>
      </c>
      <c r="H530" s="31">
        <v>1.62</v>
      </c>
      <c r="I530" s="27">
        <f t="shared" si="17"/>
        <v>81000</v>
      </c>
      <c r="J530" s="28" t="s">
        <v>1281</v>
      </c>
      <c r="K530" s="25">
        <v>41239</v>
      </c>
      <c r="M530" s="56">
        <v>41234</v>
      </c>
      <c r="N530" s="29" t="s">
        <v>166</v>
      </c>
      <c r="O530" s="28" t="s">
        <v>1322</v>
      </c>
      <c r="P530" s="32" t="s">
        <v>1323</v>
      </c>
      <c r="Q530" s="56">
        <v>41236</v>
      </c>
      <c r="R530" s="129"/>
      <c r="S530" s="129"/>
      <c r="T530" s="129"/>
      <c r="U530" s="129"/>
      <c r="V530" s="129"/>
      <c r="W530" s="129"/>
      <c r="X530" s="129"/>
      <c r="Y530" s="129"/>
      <c r="Z530" s="129"/>
      <c r="AA530" s="129"/>
      <c r="AB530" s="129"/>
      <c r="AC530" s="129"/>
      <c r="AD530" s="129"/>
      <c r="AE530" s="129"/>
      <c r="AF530" s="129"/>
      <c r="AG530" s="129"/>
    </row>
    <row r="531" spans="1:33" ht="12" customHeight="1">
      <c r="A531" s="25">
        <v>41235</v>
      </c>
      <c r="B531" s="225" t="s">
        <v>1986</v>
      </c>
      <c r="C531" s="219" t="s">
        <v>1277</v>
      </c>
      <c r="D531" s="225" t="s">
        <v>1922</v>
      </c>
      <c r="E531" s="196">
        <v>301508</v>
      </c>
      <c r="F531" s="153">
        <f>I531/H531</f>
        <v>27.000000000000004</v>
      </c>
      <c r="G531" s="153" t="s">
        <v>827</v>
      </c>
      <c r="H531" s="31">
        <v>89.66</v>
      </c>
      <c r="I531" s="27">
        <v>2420.8200000000002</v>
      </c>
      <c r="J531" s="28" t="s">
        <v>1284</v>
      </c>
      <c r="K531" s="25">
        <v>41250</v>
      </c>
      <c r="M531" s="56">
        <v>41235</v>
      </c>
      <c r="N531" s="29" t="s">
        <v>166</v>
      </c>
      <c r="O531" s="28" t="s">
        <v>1387</v>
      </c>
      <c r="P531" s="32" t="s">
        <v>1388</v>
      </c>
      <c r="Q531" s="56">
        <v>41242</v>
      </c>
      <c r="R531" s="153"/>
      <c r="S531" s="153"/>
      <c r="T531" s="153"/>
      <c r="U531" s="153"/>
      <c r="V531" s="153"/>
      <c r="W531" s="153"/>
      <c r="X531" s="153"/>
      <c r="Y531" s="153"/>
      <c r="Z531" s="153"/>
      <c r="AA531" s="153"/>
      <c r="AB531" s="153"/>
      <c r="AC531" s="153"/>
      <c r="AD531" s="153"/>
      <c r="AE531" s="153"/>
      <c r="AF531" s="153"/>
      <c r="AG531" s="153"/>
    </row>
    <row r="532" spans="1:33" ht="12" customHeight="1">
      <c r="A532" s="25">
        <v>41236</v>
      </c>
      <c r="B532" s="95" t="s">
        <v>1979</v>
      </c>
      <c r="C532" s="221" t="s">
        <v>162</v>
      </c>
      <c r="D532" s="225" t="s">
        <v>670</v>
      </c>
      <c r="E532" s="196" t="s">
        <v>1083</v>
      </c>
      <c r="F532" s="131">
        <v>250</v>
      </c>
      <c r="G532" s="328" t="s">
        <v>170</v>
      </c>
      <c r="H532" s="31">
        <v>3.59</v>
      </c>
      <c r="I532" s="27">
        <f t="shared" ref="I532:I575" si="18">H532*F532</f>
        <v>897.5</v>
      </c>
      <c r="J532" s="28" t="s">
        <v>1316</v>
      </c>
      <c r="K532" s="25">
        <v>41236</v>
      </c>
      <c r="M532" s="56">
        <v>41241</v>
      </c>
      <c r="N532" s="29" t="s">
        <v>166</v>
      </c>
      <c r="O532" s="28" t="s">
        <v>1377</v>
      </c>
      <c r="P532" s="32">
        <v>16292.64</v>
      </c>
      <c r="Q532" s="56">
        <v>41241</v>
      </c>
    </row>
    <row r="533" spans="1:33" ht="12" customHeight="1">
      <c r="A533" s="25">
        <v>41236</v>
      </c>
      <c r="B533" s="225" t="s">
        <v>1982</v>
      </c>
      <c r="C533" s="221" t="s">
        <v>162</v>
      </c>
      <c r="D533" s="225" t="s">
        <v>1888</v>
      </c>
      <c r="E533" s="196" t="s">
        <v>1319</v>
      </c>
      <c r="F533" s="119">
        <v>300</v>
      </c>
      <c r="G533" s="126" t="s">
        <v>755</v>
      </c>
      <c r="H533" s="31">
        <v>33.110999999999997</v>
      </c>
      <c r="I533" s="27">
        <f t="shared" si="18"/>
        <v>9933.2999999999993</v>
      </c>
      <c r="J533" s="28" t="s">
        <v>311</v>
      </c>
      <c r="K533" s="25">
        <v>41236</v>
      </c>
      <c r="M533" s="56">
        <v>41232</v>
      </c>
      <c r="N533" s="29" t="s">
        <v>697</v>
      </c>
      <c r="O533" s="28" t="s">
        <v>1328</v>
      </c>
      <c r="P533" s="32">
        <v>39920.400000000001</v>
      </c>
      <c r="Q533" s="56">
        <v>41229</v>
      </c>
    </row>
    <row r="534" spans="1:33" ht="12" customHeight="1">
      <c r="A534" s="25">
        <v>41236</v>
      </c>
      <c r="B534" s="225" t="s">
        <v>1982</v>
      </c>
      <c r="C534" s="221" t="s">
        <v>162</v>
      </c>
      <c r="D534" s="225" t="s">
        <v>1889</v>
      </c>
      <c r="E534" s="196" t="s">
        <v>1320</v>
      </c>
      <c r="F534" s="119">
        <v>100</v>
      </c>
      <c r="G534" s="126" t="s">
        <v>755</v>
      </c>
      <c r="H534" s="31">
        <v>42.939</v>
      </c>
      <c r="I534" s="27">
        <f t="shared" si="18"/>
        <v>4293.8999999999996</v>
      </c>
      <c r="J534" s="28" t="s">
        <v>311</v>
      </c>
      <c r="K534" s="25">
        <v>41236</v>
      </c>
      <c r="M534" s="56">
        <v>41232</v>
      </c>
      <c r="N534" s="29" t="s">
        <v>697</v>
      </c>
      <c r="O534" s="28" t="s">
        <v>1328</v>
      </c>
      <c r="P534" s="32">
        <v>39920.400000000001</v>
      </c>
      <c r="Q534" s="56">
        <v>41229</v>
      </c>
    </row>
    <row r="535" spans="1:33" ht="12" customHeight="1">
      <c r="A535" s="25">
        <v>41236</v>
      </c>
      <c r="B535" s="225" t="s">
        <v>1982</v>
      </c>
      <c r="C535" s="221" t="s">
        <v>162</v>
      </c>
      <c r="D535" s="225" t="s">
        <v>1891</v>
      </c>
      <c r="E535" s="415" t="s">
        <v>2048</v>
      </c>
      <c r="F535" s="119">
        <v>100</v>
      </c>
      <c r="G535" s="126" t="s">
        <v>755</v>
      </c>
      <c r="H535" s="31">
        <v>107.64</v>
      </c>
      <c r="I535" s="27">
        <f t="shared" si="18"/>
        <v>10764</v>
      </c>
      <c r="J535" s="28" t="s">
        <v>311</v>
      </c>
      <c r="K535" s="25">
        <v>41236</v>
      </c>
      <c r="M535" s="56">
        <v>41232</v>
      </c>
      <c r="N535" s="29" t="s">
        <v>697</v>
      </c>
      <c r="O535" s="28" t="s">
        <v>1328</v>
      </c>
      <c r="P535" s="32">
        <v>39920.400000000001</v>
      </c>
      <c r="Q535" s="56">
        <v>41229</v>
      </c>
    </row>
    <row r="536" spans="1:33" ht="12" customHeight="1">
      <c r="A536" s="25">
        <v>41236</v>
      </c>
      <c r="B536" s="225" t="s">
        <v>1982</v>
      </c>
      <c r="C536" s="221" t="s">
        <v>162</v>
      </c>
      <c r="D536" s="225" t="s">
        <v>1893</v>
      </c>
      <c r="E536" s="196">
        <v>9032</v>
      </c>
      <c r="F536" s="119">
        <v>10000</v>
      </c>
      <c r="G536" s="372" t="s">
        <v>170</v>
      </c>
      <c r="H536" s="30">
        <v>1.4928999999999999</v>
      </c>
      <c r="I536" s="27">
        <f t="shared" si="18"/>
        <v>14928.999999999998</v>
      </c>
      <c r="J536" s="28" t="s">
        <v>311</v>
      </c>
      <c r="K536" s="25">
        <v>41236</v>
      </c>
      <c r="M536" s="56">
        <v>41232</v>
      </c>
      <c r="N536" s="29" t="s">
        <v>697</v>
      </c>
      <c r="O536" s="28" t="s">
        <v>1328</v>
      </c>
      <c r="P536" s="32">
        <v>39920.400000000001</v>
      </c>
      <c r="Q536" s="56">
        <v>41229</v>
      </c>
    </row>
    <row r="537" spans="1:33" ht="12" customHeight="1">
      <c r="A537" s="25">
        <v>41236</v>
      </c>
      <c r="B537" s="225" t="s">
        <v>1975</v>
      </c>
      <c r="C537" s="219" t="s">
        <v>162</v>
      </c>
      <c r="D537" s="1" t="s">
        <v>1939</v>
      </c>
      <c r="E537" s="28" t="s">
        <v>1324</v>
      </c>
      <c r="F537" s="119">
        <v>1000</v>
      </c>
      <c r="G537" s="127" t="s">
        <v>1325</v>
      </c>
      <c r="H537" s="31">
        <v>2.2999999999999998</v>
      </c>
      <c r="I537" s="27">
        <f t="shared" si="18"/>
        <v>2300</v>
      </c>
      <c r="J537" s="28" t="s">
        <v>1326</v>
      </c>
      <c r="K537" s="25">
        <v>41236</v>
      </c>
      <c r="M537" s="56">
        <v>41240</v>
      </c>
      <c r="N537" s="29" t="s">
        <v>1365</v>
      </c>
      <c r="O537" s="28" t="s">
        <v>1379</v>
      </c>
      <c r="P537" s="32">
        <v>22113.97</v>
      </c>
      <c r="Q537" s="56">
        <v>41241</v>
      </c>
    </row>
    <row r="538" spans="1:33" ht="12" customHeight="1">
      <c r="A538" s="25">
        <v>41239</v>
      </c>
      <c r="B538" s="95" t="s">
        <v>1979</v>
      </c>
      <c r="C538" s="219" t="s">
        <v>162</v>
      </c>
      <c r="D538" s="225" t="s">
        <v>287</v>
      </c>
      <c r="E538" s="196">
        <v>10434</v>
      </c>
      <c r="F538" s="131">
        <v>50</v>
      </c>
      <c r="G538" s="128" t="s">
        <v>90</v>
      </c>
      <c r="H538" s="31">
        <v>14.2</v>
      </c>
      <c r="I538" s="27">
        <f t="shared" si="18"/>
        <v>710</v>
      </c>
      <c r="J538" s="28" t="s">
        <v>1327</v>
      </c>
      <c r="K538" s="25">
        <v>41239</v>
      </c>
      <c r="M538" s="56">
        <v>41241</v>
      </c>
      <c r="N538" s="29" t="s">
        <v>166</v>
      </c>
      <c r="O538" s="28" t="s">
        <v>1377</v>
      </c>
      <c r="P538" s="32">
        <v>16292.64</v>
      </c>
      <c r="Q538" s="56">
        <v>41241</v>
      </c>
    </row>
    <row r="539" spans="1:33" ht="12" customHeight="1">
      <c r="A539" s="25">
        <v>41240</v>
      </c>
      <c r="B539" s="225" t="s">
        <v>1998</v>
      </c>
      <c r="C539" s="219" t="s">
        <v>162</v>
      </c>
      <c r="D539" s="225" t="s">
        <v>304</v>
      </c>
      <c r="E539" s="196">
        <v>1426</v>
      </c>
      <c r="F539" s="119">
        <v>20</v>
      </c>
      <c r="G539" s="130" t="s">
        <v>172</v>
      </c>
      <c r="H539" s="31">
        <v>19.422000000000001</v>
      </c>
      <c r="I539" s="27">
        <f t="shared" si="18"/>
        <v>388.44</v>
      </c>
      <c r="J539" s="28" t="s">
        <v>311</v>
      </c>
      <c r="K539" s="25">
        <v>41240</v>
      </c>
      <c r="M539" s="56">
        <v>41232</v>
      </c>
      <c r="N539" s="29" t="s">
        <v>166</v>
      </c>
      <c r="O539" s="28" t="s">
        <v>1378</v>
      </c>
      <c r="P539" s="32">
        <v>388.44</v>
      </c>
      <c r="Q539" s="56">
        <v>41241</v>
      </c>
    </row>
    <row r="540" spans="1:33" ht="12" customHeight="1">
      <c r="A540" s="25">
        <v>41240</v>
      </c>
      <c r="B540" s="225" t="s">
        <v>1982</v>
      </c>
      <c r="C540" s="221" t="s">
        <v>162</v>
      </c>
      <c r="D540" s="225" t="s">
        <v>1940</v>
      </c>
      <c r="E540" s="196" t="s">
        <v>1367</v>
      </c>
      <c r="F540" s="119">
        <v>800</v>
      </c>
      <c r="G540" s="130" t="s">
        <v>1369</v>
      </c>
      <c r="H540" s="31">
        <v>48.555</v>
      </c>
      <c r="I540" s="27">
        <f t="shared" si="18"/>
        <v>38844</v>
      </c>
      <c r="K540" s="25">
        <v>41240</v>
      </c>
      <c r="M540" s="56">
        <v>41232</v>
      </c>
      <c r="N540" s="29" t="s">
        <v>166</v>
      </c>
      <c r="O540" s="28" t="s">
        <v>1449</v>
      </c>
      <c r="P540" s="32">
        <v>38844</v>
      </c>
      <c r="Q540" s="56">
        <v>41250</v>
      </c>
    </row>
    <row r="541" spans="1:33" ht="12" customHeight="1">
      <c r="A541" s="25">
        <v>41240</v>
      </c>
      <c r="B541" s="225" t="s">
        <v>1978</v>
      </c>
      <c r="C541" s="221" t="s">
        <v>162</v>
      </c>
      <c r="D541" s="225" t="s">
        <v>1882</v>
      </c>
      <c r="E541" s="196" t="s">
        <v>1372</v>
      </c>
      <c r="F541" s="130">
        <v>240</v>
      </c>
      <c r="G541" s="130" t="s">
        <v>1370</v>
      </c>
      <c r="H541" s="31">
        <v>16.5</v>
      </c>
      <c r="I541" s="27">
        <f t="shared" si="18"/>
        <v>3960</v>
      </c>
      <c r="J541" s="28" t="s">
        <v>1373</v>
      </c>
      <c r="K541" s="25">
        <v>41240</v>
      </c>
      <c r="M541" s="56">
        <v>41240</v>
      </c>
      <c r="N541" s="29" t="s">
        <v>1365</v>
      </c>
      <c r="O541" s="28" t="s">
        <v>1574</v>
      </c>
      <c r="P541" s="32">
        <v>36833.599999999999</v>
      </c>
      <c r="Q541" s="56">
        <v>41264</v>
      </c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  <c r="AC541" s="130"/>
      <c r="AD541" s="130"/>
      <c r="AE541" s="130"/>
      <c r="AF541" s="130"/>
      <c r="AG541" s="130"/>
    </row>
    <row r="542" spans="1:33" ht="12" customHeight="1">
      <c r="A542" s="25">
        <v>41241</v>
      </c>
      <c r="B542" s="225" t="s">
        <v>1975</v>
      </c>
      <c r="C542" s="219" t="s">
        <v>162</v>
      </c>
      <c r="D542" s="225" t="s">
        <v>305</v>
      </c>
      <c r="E542" s="28">
        <v>1270</v>
      </c>
      <c r="F542" s="131">
        <v>120</v>
      </c>
      <c r="G542" s="190" t="s">
        <v>239</v>
      </c>
      <c r="H542" s="31">
        <v>4.3099999999999996</v>
      </c>
      <c r="I542" s="27">
        <f t="shared" si="18"/>
        <v>517.19999999999993</v>
      </c>
      <c r="J542" s="28" t="s">
        <v>1385</v>
      </c>
      <c r="K542" s="25">
        <v>41241</v>
      </c>
      <c r="M542" s="56">
        <v>41288</v>
      </c>
      <c r="N542" s="29" t="s">
        <v>166</v>
      </c>
      <c r="O542" s="28" t="s">
        <v>5296</v>
      </c>
      <c r="P542" s="32">
        <v>52934.25</v>
      </c>
      <c r="Q542" s="56">
        <v>41333</v>
      </c>
    </row>
    <row r="543" spans="1:33" ht="12" customHeight="1">
      <c r="A543" s="25">
        <v>41241</v>
      </c>
      <c r="B543" s="225" t="s">
        <v>1975</v>
      </c>
      <c r="C543" s="219" t="s">
        <v>162</v>
      </c>
      <c r="D543" s="225" t="s">
        <v>353</v>
      </c>
      <c r="E543" s="28" t="s">
        <v>1380</v>
      </c>
      <c r="F543" s="131">
        <v>100</v>
      </c>
      <c r="G543" s="132" t="s">
        <v>1383</v>
      </c>
      <c r="H543" s="31">
        <v>10.94</v>
      </c>
      <c r="I543" s="27">
        <f t="shared" si="18"/>
        <v>1094</v>
      </c>
      <c r="J543" s="28" t="s">
        <v>1385</v>
      </c>
      <c r="K543" s="25">
        <v>41241</v>
      </c>
      <c r="M543" s="56">
        <v>41288</v>
      </c>
      <c r="N543" s="29" t="s">
        <v>166</v>
      </c>
      <c r="O543" s="28" t="s">
        <v>5296</v>
      </c>
      <c r="P543" s="32">
        <v>52934.25</v>
      </c>
      <c r="Q543" s="56">
        <v>41333</v>
      </c>
    </row>
    <row r="544" spans="1:33" ht="12" customHeight="1">
      <c r="A544" s="25">
        <v>41241</v>
      </c>
      <c r="B544" s="225" t="s">
        <v>1975</v>
      </c>
      <c r="C544" s="219" t="s">
        <v>162</v>
      </c>
      <c r="D544" s="225" t="s">
        <v>268</v>
      </c>
      <c r="E544" s="28" t="s">
        <v>1381</v>
      </c>
      <c r="F544" s="131">
        <v>300</v>
      </c>
      <c r="G544" s="132" t="s">
        <v>1384</v>
      </c>
      <c r="H544" s="31">
        <v>1.17</v>
      </c>
      <c r="I544" s="27">
        <f t="shared" si="18"/>
        <v>351</v>
      </c>
      <c r="J544" s="28" t="s">
        <v>1385</v>
      </c>
      <c r="K544" s="25">
        <v>41241</v>
      </c>
      <c r="M544" s="56">
        <v>41288</v>
      </c>
      <c r="N544" s="29" t="s">
        <v>166</v>
      </c>
      <c r="O544" s="28" t="s">
        <v>5296</v>
      </c>
      <c r="P544" s="32">
        <v>52934.25</v>
      </c>
      <c r="Q544" s="56">
        <v>41333</v>
      </c>
    </row>
    <row r="545" spans="1:33" ht="12" customHeight="1">
      <c r="A545" s="25">
        <v>41241</v>
      </c>
      <c r="B545" s="225" t="s">
        <v>1975</v>
      </c>
      <c r="C545" s="219" t="s">
        <v>162</v>
      </c>
      <c r="D545" s="225" t="s">
        <v>263</v>
      </c>
      <c r="E545" s="28" t="s">
        <v>1382</v>
      </c>
      <c r="F545" s="131">
        <v>100</v>
      </c>
      <c r="G545" s="132" t="s">
        <v>1383</v>
      </c>
      <c r="H545" s="31">
        <v>1.58</v>
      </c>
      <c r="I545" s="27">
        <f t="shared" si="18"/>
        <v>158</v>
      </c>
      <c r="J545" s="28" t="s">
        <v>1385</v>
      </c>
      <c r="K545" s="25">
        <v>41241</v>
      </c>
      <c r="M545" s="56">
        <v>41288</v>
      </c>
      <c r="N545" s="29" t="s">
        <v>166</v>
      </c>
      <c r="O545" s="28" t="s">
        <v>5296</v>
      </c>
      <c r="P545" s="32">
        <v>52934.25</v>
      </c>
      <c r="Q545" s="56">
        <v>41333</v>
      </c>
    </row>
    <row r="546" spans="1:33" ht="12" customHeight="1">
      <c r="A546" s="25">
        <v>41243</v>
      </c>
      <c r="B546" s="225" t="s">
        <v>1999</v>
      </c>
      <c r="C546" s="219" t="s">
        <v>1013</v>
      </c>
      <c r="D546" s="225" t="s">
        <v>1906</v>
      </c>
      <c r="E546" s="196" t="s">
        <v>1014</v>
      </c>
      <c r="F546" s="151">
        <v>1</v>
      </c>
      <c r="G546" s="151" t="s">
        <v>1015</v>
      </c>
      <c r="H546" s="31">
        <v>708</v>
      </c>
      <c r="I546" s="27">
        <f t="shared" si="18"/>
        <v>708</v>
      </c>
      <c r="J546" s="28" t="s">
        <v>167</v>
      </c>
      <c r="K546" s="25">
        <v>41249</v>
      </c>
      <c r="M546" s="56">
        <v>41243</v>
      </c>
      <c r="N546" s="29" t="s">
        <v>166</v>
      </c>
      <c r="O546" s="28" t="s">
        <v>1614</v>
      </c>
      <c r="P546" s="32">
        <v>781</v>
      </c>
      <c r="Q546" s="56">
        <v>41270</v>
      </c>
      <c r="R546" s="151"/>
      <c r="S546" s="151"/>
      <c r="T546" s="151"/>
      <c r="U546" s="151"/>
      <c r="V546" s="151"/>
      <c r="W546" s="151"/>
      <c r="X546" s="151"/>
      <c r="Y546" s="151"/>
      <c r="Z546" s="151"/>
      <c r="AA546" s="151"/>
      <c r="AB546" s="151"/>
      <c r="AC546" s="151"/>
      <c r="AD546" s="151"/>
      <c r="AE546" s="151"/>
      <c r="AF546" s="151"/>
      <c r="AG546" s="151"/>
    </row>
    <row r="547" spans="1:33" ht="12" customHeight="1">
      <c r="A547" s="25">
        <v>41247</v>
      </c>
      <c r="B547" s="225" t="s">
        <v>1985</v>
      </c>
      <c r="C547" s="219" t="s">
        <v>162</v>
      </c>
      <c r="D547" s="225" t="s">
        <v>1915</v>
      </c>
      <c r="E547" s="223" t="s">
        <v>1847</v>
      </c>
      <c r="F547" s="180">
        <v>144</v>
      </c>
      <c r="G547" s="180" t="s">
        <v>170</v>
      </c>
      <c r="H547" s="31">
        <v>29.05</v>
      </c>
      <c r="I547" s="27">
        <f t="shared" si="18"/>
        <v>4183.2</v>
      </c>
      <c r="J547" s="28" t="s">
        <v>1414</v>
      </c>
      <c r="K547" s="25">
        <v>41249</v>
      </c>
      <c r="M547" s="56">
        <v>41247</v>
      </c>
      <c r="N547" s="29" t="s">
        <v>166</v>
      </c>
      <c r="O547" s="28" t="s">
        <v>1472</v>
      </c>
      <c r="P547" s="32">
        <v>31007.119999999999</v>
      </c>
      <c r="Q547" s="56">
        <v>41254</v>
      </c>
      <c r="R547" s="180"/>
      <c r="S547" s="180"/>
      <c r="T547" s="180"/>
      <c r="U547" s="180"/>
      <c r="V547" s="180"/>
      <c r="W547" s="180"/>
      <c r="X547" s="180"/>
      <c r="Y547" s="180"/>
      <c r="Z547" s="180"/>
      <c r="AA547" s="180"/>
      <c r="AB547" s="180"/>
      <c r="AC547" s="180"/>
      <c r="AD547" s="180"/>
      <c r="AE547" s="180"/>
      <c r="AF547" s="180"/>
      <c r="AG547" s="180"/>
    </row>
    <row r="548" spans="1:33" ht="12" customHeight="1">
      <c r="A548" s="25">
        <v>41247</v>
      </c>
      <c r="B548" s="225" t="s">
        <v>1985</v>
      </c>
      <c r="C548" s="219" t="s">
        <v>162</v>
      </c>
      <c r="D548" s="225" t="s">
        <v>1934</v>
      </c>
      <c r="E548" s="196">
        <v>1110</v>
      </c>
      <c r="F548" s="153">
        <v>500</v>
      </c>
      <c r="G548" s="153" t="s">
        <v>172</v>
      </c>
      <c r="H548" s="31">
        <v>0.72</v>
      </c>
      <c r="I548" s="27">
        <f t="shared" si="18"/>
        <v>360</v>
      </c>
      <c r="J548" s="28" t="s">
        <v>1414</v>
      </c>
      <c r="K548" s="25">
        <v>41253</v>
      </c>
      <c r="M548" s="25">
        <v>41247</v>
      </c>
      <c r="N548" s="56" t="s">
        <v>166</v>
      </c>
      <c r="O548" s="28" t="s">
        <v>1472</v>
      </c>
      <c r="P548" s="32">
        <v>31007.119999999999</v>
      </c>
      <c r="Q548" s="56">
        <v>41254</v>
      </c>
      <c r="R548" s="153"/>
      <c r="S548" s="153"/>
      <c r="T548" s="153"/>
      <c r="U548" s="153"/>
      <c r="V548" s="153"/>
      <c r="W548" s="153"/>
      <c r="X548" s="153"/>
      <c r="Y548" s="153"/>
      <c r="Z548" s="153"/>
      <c r="AA548" s="153"/>
      <c r="AB548" s="153"/>
      <c r="AC548" s="153"/>
      <c r="AD548" s="153"/>
      <c r="AE548" s="153"/>
      <c r="AF548" s="153"/>
      <c r="AG548" s="153"/>
    </row>
    <row r="549" spans="1:33" ht="12" customHeight="1">
      <c r="A549" s="25">
        <v>41247</v>
      </c>
      <c r="B549" s="225" t="s">
        <v>1985</v>
      </c>
      <c r="C549" s="219" t="s">
        <v>162</v>
      </c>
      <c r="D549" s="225" t="s">
        <v>1941</v>
      </c>
      <c r="E549" s="196">
        <v>12308</v>
      </c>
      <c r="F549" s="151">
        <v>4</v>
      </c>
      <c r="G549" s="151" t="s">
        <v>172</v>
      </c>
      <c r="H549" s="31">
        <v>19.100000000000001</v>
      </c>
      <c r="I549" s="27">
        <f t="shared" si="18"/>
        <v>76.400000000000006</v>
      </c>
      <c r="J549" s="28" t="s">
        <v>1414</v>
      </c>
      <c r="K549" s="25">
        <v>41249</v>
      </c>
      <c r="M549" s="56">
        <v>41247</v>
      </c>
      <c r="N549" s="29" t="s">
        <v>166</v>
      </c>
      <c r="O549" s="28" t="s">
        <v>1472</v>
      </c>
      <c r="P549" s="32">
        <v>31007.119999999999</v>
      </c>
      <c r="Q549" s="56">
        <v>41254</v>
      </c>
      <c r="R549" s="151"/>
      <c r="S549" s="151"/>
      <c r="T549" s="151"/>
      <c r="U549" s="151"/>
      <c r="V549" s="151"/>
      <c r="W549" s="151"/>
      <c r="X549" s="151"/>
      <c r="Y549" s="151"/>
      <c r="Z549" s="151"/>
      <c r="AA549" s="151"/>
      <c r="AB549" s="151"/>
      <c r="AC549" s="151"/>
      <c r="AD549" s="151"/>
      <c r="AE549" s="151"/>
      <c r="AF549" s="151"/>
      <c r="AG549" s="151"/>
    </row>
    <row r="550" spans="1:33" ht="12" customHeight="1">
      <c r="A550" s="25">
        <v>41247</v>
      </c>
      <c r="B550" s="225" t="s">
        <v>1985</v>
      </c>
      <c r="C550" s="219" t="s">
        <v>162</v>
      </c>
      <c r="D550" s="225" t="s">
        <v>1942</v>
      </c>
      <c r="E550" s="196">
        <v>6895</v>
      </c>
      <c r="F550" s="153">
        <v>20</v>
      </c>
      <c r="G550" s="153" t="s">
        <v>171</v>
      </c>
      <c r="H550" s="31">
        <v>6.18</v>
      </c>
      <c r="I550" s="27">
        <f t="shared" si="18"/>
        <v>123.6</v>
      </c>
      <c r="J550" s="28" t="s">
        <v>167</v>
      </c>
      <c r="K550" s="25">
        <v>41253</v>
      </c>
      <c r="M550" s="25">
        <v>41281</v>
      </c>
      <c r="N550" s="29" t="s">
        <v>166</v>
      </c>
      <c r="O550" s="28" t="s">
        <v>1825</v>
      </c>
      <c r="P550" s="32">
        <v>27144</v>
      </c>
      <c r="Q550" s="56">
        <v>41297</v>
      </c>
      <c r="R550" s="153"/>
      <c r="S550" s="153"/>
      <c r="T550" s="153"/>
      <c r="U550" s="153"/>
      <c r="V550" s="153"/>
      <c r="W550" s="153"/>
      <c r="X550" s="153"/>
      <c r="Y550" s="153"/>
      <c r="Z550" s="153"/>
      <c r="AA550" s="153"/>
      <c r="AB550" s="153"/>
      <c r="AC550" s="153"/>
      <c r="AD550" s="153"/>
      <c r="AE550" s="153"/>
      <c r="AF550" s="153"/>
      <c r="AG550" s="153"/>
    </row>
    <row r="551" spans="1:33" ht="12" customHeight="1">
      <c r="A551" s="25">
        <v>41247</v>
      </c>
      <c r="B551" s="225" t="s">
        <v>1985</v>
      </c>
      <c r="C551" s="219" t="s">
        <v>162</v>
      </c>
      <c r="D551" s="225" t="s">
        <v>1943</v>
      </c>
      <c r="E551" s="196">
        <v>6893</v>
      </c>
      <c r="F551" s="153">
        <v>180</v>
      </c>
      <c r="G551" s="153" t="s">
        <v>171</v>
      </c>
      <c r="H551" s="31">
        <v>2.2999999999999998</v>
      </c>
      <c r="I551" s="27">
        <f t="shared" si="18"/>
        <v>413.99999999999994</v>
      </c>
      <c r="J551" s="28" t="s">
        <v>167</v>
      </c>
      <c r="K551" s="25">
        <v>41253</v>
      </c>
      <c r="M551" s="25">
        <v>41281</v>
      </c>
      <c r="N551" s="29" t="s">
        <v>166</v>
      </c>
      <c r="O551" s="28" t="s">
        <v>1825</v>
      </c>
      <c r="P551" s="32">
        <v>27144</v>
      </c>
      <c r="Q551" s="56">
        <v>41297</v>
      </c>
      <c r="R551" s="153"/>
      <c r="S551" s="153"/>
      <c r="T551" s="153"/>
      <c r="U551" s="153"/>
      <c r="V551" s="153"/>
      <c r="W551" s="153"/>
      <c r="X551" s="153"/>
      <c r="Y551" s="153"/>
      <c r="Z551" s="153"/>
      <c r="AA551" s="153"/>
      <c r="AB551" s="153"/>
      <c r="AC551" s="153"/>
      <c r="AD551" s="153"/>
      <c r="AE551" s="153"/>
      <c r="AF551" s="153"/>
      <c r="AG551" s="153"/>
    </row>
    <row r="552" spans="1:33" ht="12" customHeight="1">
      <c r="A552" s="25">
        <v>41247</v>
      </c>
      <c r="B552" s="225" t="s">
        <v>1975</v>
      </c>
      <c r="C552" s="219" t="s">
        <v>162</v>
      </c>
      <c r="D552" s="225" t="s">
        <v>353</v>
      </c>
      <c r="E552" s="28" t="s">
        <v>926</v>
      </c>
      <c r="F552" s="131">
        <v>60</v>
      </c>
      <c r="G552" s="326" t="s">
        <v>170</v>
      </c>
      <c r="H552" s="31">
        <v>10.94</v>
      </c>
      <c r="I552" s="27">
        <f t="shared" si="18"/>
        <v>656.4</v>
      </c>
      <c r="J552" s="28" t="s">
        <v>1415</v>
      </c>
      <c r="K552" s="25">
        <v>41247</v>
      </c>
      <c r="M552" s="56">
        <v>41288</v>
      </c>
      <c r="N552" s="29" t="s">
        <v>166</v>
      </c>
      <c r="O552" s="28" t="s">
        <v>5296</v>
      </c>
      <c r="P552" s="32">
        <v>52934.25</v>
      </c>
      <c r="Q552" s="56">
        <v>41333</v>
      </c>
    </row>
    <row r="553" spans="1:33" ht="12" customHeight="1">
      <c r="A553" s="25">
        <v>41247</v>
      </c>
      <c r="B553" s="225" t="s">
        <v>1975</v>
      </c>
      <c r="C553" s="219" t="s">
        <v>162</v>
      </c>
      <c r="D553" s="225" t="s">
        <v>268</v>
      </c>
      <c r="E553" s="28" t="s">
        <v>177</v>
      </c>
      <c r="F553" s="131">
        <v>500</v>
      </c>
      <c r="G553" s="148" t="s">
        <v>171</v>
      </c>
      <c r="H553" s="31">
        <v>1.17</v>
      </c>
      <c r="I553" s="27">
        <f t="shared" si="18"/>
        <v>585</v>
      </c>
      <c r="J553" s="28" t="s">
        <v>1415</v>
      </c>
      <c r="K553" s="25">
        <v>41247</v>
      </c>
      <c r="M553" s="56">
        <v>41288</v>
      </c>
      <c r="N553" s="29" t="s">
        <v>166</v>
      </c>
      <c r="O553" s="28" t="s">
        <v>5296</v>
      </c>
      <c r="P553" s="32">
        <v>52934.25</v>
      </c>
      <c r="Q553" s="56">
        <v>41333</v>
      </c>
    </row>
    <row r="554" spans="1:33" ht="12" customHeight="1">
      <c r="A554" s="25">
        <v>41247</v>
      </c>
      <c r="B554" s="225" t="s">
        <v>1975</v>
      </c>
      <c r="C554" s="219" t="s">
        <v>162</v>
      </c>
      <c r="D554" s="225" t="s">
        <v>246</v>
      </c>
      <c r="E554" s="28">
        <v>4620</v>
      </c>
      <c r="F554" s="148">
        <v>20</v>
      </c>
      <c r="G554" s="148" t="s">
        <v>174</v>
      </c>
      <c r="H554" s="31">
        <v>17.79</v>
      </c>
      <c r="I554" s="27">
        <f t="shared" si="18"/>
        <v>355.79999999999995</v>
      </c>
      <c r="J554" s="28" t="s">
        <v>1415</v>
      </c>
      <c r="K554" s="25">
        <v>41247</v>
      </c>
      <c r="M554" s="56">
        <v>41288</v>
      </c>
      <c r="N554" s="29" t="s">
        <v>166</v>
      </c>
      <c r="O554" s="28" t="s">
        <v>5296</v>
      </c>
      <c r="P554" s="32">
        <v>52934.25</v>
      </c>
      <c r="Q554" s="56">
        <v>41333</v>
      </c>
    </row>
    <row r="555" spans="1:33" ht="12" customHeight="1">
      <c r="A555" s="25">
        <v>41248</v>
      </c>
      <c r="B555" s="225" t="s">
        <v>1975</v>
      </c>
      <c r="C555" s="219" t="s">
        <v>162</v>
      </c>
      <c r="D555" s="1" t="s">
        <v>1219</v>
      </c>
      <c r="E555" s="28" t="s">
        <v>1418</v>
      </c>
      <c r="F555" s="131">
        <v>400</v>
      </c>
      <c r="G555" s="149" t="s">
        <v>1419</v>
      </c>
      <c r="H555" s="31">
        <v>3.86</v>
      </c>
      <c r="I555" s="27">
        <f t="shared" si="18"/>
        <v>1544</v>
      </c>
      <c r="J555" s="28" t="s">
        <v>1420</v>
      </c>
      <c r="K555" s="25">
        <v>41248</v>
      </c>
      <c r="M555" s="56">
        <v>41310</v>
      </c>
      <c r="N555" s="29" t="s">
        <v>165</v>
      </c>
      <c r="O555" s="28" t="s">
        <v>1421</v>
      </c>
    </row>
    <row r="556" spans="1:33" ht="12" customHeight="1">
      <c r="A556" s="25">
        <v>41248</v>
      </c>
      <c r="B556" s="225" t="s">
        <v>1985</v>
      </c>
      <c r="C556" s="219" t="s">
        <v>162</v>
      </c>
      <c r="D556" s="225" t="s">
        <v>1944</v>
      </c>
      <c r="E556" s="196">
        <v>8515</v>
      </c>
      <c r="F556" s="153">
        <v>200</v>
      </c>
      <c r="G556" s="376" t="s">
        <v>170</v>
      </c>
      <c r="H556" s="31">
        <v>17.100000000000001</v>
      </c>
      <c r="I556" s="27">
        <f t="shared" si="18"/>
        <v>3420.0000000000005</v>
      </c>
      <c r="J556" s="28" t="s">
        <v>1422</v>
      </c>
      <c r="K556" s="25">
        <v>41253</v>
      </c>
      <c r="M556" s="154">
        <v>41248</v>
      </c>
      <c r="N556" s="154" t="s">
        <v>165</v>
      </c>
      <c r="O556" s="28" t="s">
        <v>1426</v>
      </c>
      <c r="R556" s="153"/>
      <c r="S556" s="153"/>
      <c r="T556" s="153"/>
      <c r="U556" s="153"/>
      <c r="V556" s="153"/>
      <c r="W556" s="153"/>
      <c r="X556" s="153"/>
      <c r="Y556" s="153"/>
      <c r="Z556" s="153"/>
      <c r="AA556" s="153"/>
      <c r="AB556" s="153"/>
      <c r="AC556" s="153"/>
      <c r="AD556" s="153"/>
      <c r="AE556" s="153"/>
      <c r="AF556" s="153"/>
      <c r="AG556" s="153"/>
    </row>
    <row r="557" spans="1:33" ht="12" customHeight="1">
      <c r="A557" s="25">
        <v>41248</v>
      </c>
      <c r="B557" s="225" t="s">
        <v>1980</v>
      </c>
      <c r="C557" s="219" t="s">
        <v>162</v>
      </c>
      <c r="D557" s="225" t="s">
        <v>1424</v>
      </c>
      <c r="E557" s="196">
        <v>6894</v>
      </c>
      <c r="F557" s="151">
        <v>4</v>
      </c>
      <c r="G557" s="151" t="s">
        <v>1428</v>
      </c>
      <c r="H557" s="31">
        <v>85.67</v>
      </c>
      <c r="I557" s="27">
        <f t="shared" si="18"/>
        <v>342.68</v>
      </c>
      <c r="J557" s="28" t="s">
        <v>167</v>
      </c>
      <c r="K557" s="25">
        <v>41249</v>
      </c>
      <c r="M557" s="56">
        <v>41248</v>
      </c>
      <c r="N557" s="29" t="s">
        <v>166</v>
      </c>
      <c r="O557" s="28" t="s">
        <v>1431</v>
      </c>
      <c r="P557" s="32">
        <v>342.68</v>
      </c>
      <c r="Q557" s="56">
        <v>41249</v>
      </c>
      <c r="R557" s="151"/>
      <c r="S557" s="151"/>
      <c r="T557" s="151"/>
      <c r="U557" s="151"/>
      <c r="V557" s="151"/>
      <c r="W557" s="151"/>
      <c r="X557" s="151"/>
      <c r="Y557" s="151"/>
      <c r="Z557" s="151"/>
      <c r="AA557" s="151"/>
      <c r="AB557" s="151"/>
      <c r="AC557" s="151"/>
      <c r="AD557" s="151"/>
      <c r="AE557" s="151"/>
      <c r="AF557" s="151"/>
      <c r="AG557" s="151"/>
    </row>
    <row r="558" spans="1:33" ht="12" customHeight="1">
      <c r="A558" s="25">
        <v>41248</v>
      </c>
      <c r="B558" s="225" t="s">
        <v>1975</v>
      </c>
      <c r="C558" s="219" t="s">
        <v>162</v>
      </c>
      <c r="D558" s="225" t="s">
        <v>1425</v>
      </c>
      <c r="E558" s="28">
        <v>6895</v>
      </c>
      <c r="F558" s="131">
        <v>20</v>
      </c>
      <c r="G558" s="150" t="s">
        <v>1427</v>
      </c>
      <c r="H558" s="31">
        <v>6.18</v>
      </c>
      <c r="I558" s="27">
        <f t="shared" si="18"/>
        <v>123.6</v>
      </c>
      <c r="J558" s="28" t="s">
        <v>1429</v>
      </c>
      <c r="K558" s="25">
        <v>41248</v>
      </c>
      <c r="M558" s="56">
        <v>41288</v>
      </c>
      <c r="N558" s="29" t="s">
        <v>166</v>
      </c>
      <c r="O558" s="28" t="s">
        <v>5296</v>
      </c>
      <c r="P558" s="32">
        <v>52934.25</v>
      </c>
      <c r="Q558" s="56">
        <v>41333</v>
      </c>
    </row>
    <row r="559" spans="1:33" ht="12" customHeight="1">
      <c r="A559" s="25">
        <v>41249</v>
      </c>
      <c r="B559" s="225" t="s">
        <v>2000</v>
      </c>
      <c r="C559" s="219" t="s">
        <v>162</v>
      </c>
      <c r="D559" s="225" t="s">
        <v>1433</v>
      </c>
      <c r="E559" s="196">
        <v>6893</v>
      </c>
      <c r="F559" s="153">
        <v>20</v>
      </c>
      <c r="G559" s="153" t="s">
        <v>1434</v>
      </c>
      <c r="H559" s="31">
        <v>2.2799999999999998</v>
      </c>
      <c r="I559" s="27">
        <f t="shared" si="18"/>
        <v>45.599999999999994</v>
      </c>
      <c r="J559" s="28" t="s">
        <v>167</v>
      </c>
      <c r="K559" s="25">
        <v>41253</v>
      </c>
      <c r="M559" s="25">
        <v>41249</v>
      </c>
      <c r="N559" s="56" t="s">
        <v>1436</v>
      </c>
      <c r="O559" s="28" t="s">
        <v>1796</v>
      </c>
      <c r="P559" s="32">
        <v>10898.5</v>
      </c>
      <c r="Q559" s="56">
        <v>41295</v>
      </c>
      <c r="R559" s="153"/>
      <c r="S559" s="153"/>
      <c r="T559" s="153"/>
      <c r="U559" s="153"/>
      <c r="V559" s="153"/>
      <c r="W559" s="153"/>
      <c r="X559" s="153"/>
      <c r="Y559" s="153"/>
      <c r="Z559" s="153"/>
      <c r="AA559" s="153"/>
      <c r="AB559" s="153"/>
      <c r="AC559" s="153"/>
      <c r="AD559" s="153"/>
      <c r="AE559" s="153"/>
      <c r="AF559" s="153"/>
      <c r="AG559" s="153"/>
    </row>
    <row r="560" spans="1:33" ht="12" customHeight="1">
      <c r="A560" s="25">
        <v>41249</v>
      </c>
      <c r="B560" s="225" t="s">
        <v>2000</v>
      </c>
      <c r="C560" s="219" t="s">
        <v>162</v>
      </c>
      <c r="D560" s="227" t="s">
        <v>1917</v>
      </c>
      <c r="E560" s="196" t="s">
        <v>1432</v>
      </c>
      <c r="F560" s="153">
        <v>2500</v>
      </c>
      <c r="G560" s="153" t="s">
        <v>1435</v>
      </c>
      <c r="H560" s="31">
        <v>0.58899999999999997</v>
      </c>
      <c r="I560" s="27">
        <f t="shared" si="18"/>
        <v>1472.5</v>
      </c>
      <c r="J560" s="28" t="s">
        <v>167</v>
      </c>
      <c r="K560" s="25">
        <v>41253</v>
      </c>
      <c r="M560" s="25">
        <v>41249</v>
      </c>
      <c r="N560" s="56" t="s">
        <v>1436</v>
      </c>
      <c r="O560" s="28" t="s">
        <v>1796</v>
      </c>
      <c r="P560" s="32">
        <v>10898.5</v>
      </c>
      <c r="Q560" s="56">
        <v>41295</v>
      </c>
      <c r="R560" s="153"/>
      <c r="S560" s="153"/>
      <c r="T560" s="153"/>
      <c r="U560" s="153"/>
      <c r="V560" s="153"/>
      <c r="W560" s="153"/>
      <c r="X560" s="153"/>
      <c r="Y560" s="153"/>
      <c r="Z560" s="153"/>
      <c r="AA560" s="153"/>
      <c r="AB560" s="153"/>
      <c r="AC560" s="153"/>
      <c r="AD560" s="153"/>
      <c r="AE560" s="153"/>
      <c r="AF560" s="153"/>
      <c r="AG560" s="153"/>
    </row>
    <row r="561" spans="1:33" ht="12" customHeight="1">
      <c r="A561" s="25">
        <v>41249</v>
      </c>
      <c r="B561" s="225" t="s">
        <v>1978</v>
      </c>
      <c r="C561" s="219" t="s">
        <v>162</v>
      </c>
      <c r="D561" s="5" t="s">
        <v>2012</v>
      </c>
      <c r="E561" s="196" t="s">
        <v>1437</v>
      </c>
      <c r="F561" s="153">
        <v>16000</v>
      </c>
      <c r="G561" s="198" t="s">
        <v>229</v>
      </c>
      <c r="H561" s="31">
        <v>1.4</v>
      </c>
      <c r="I561" s="27">
        <f t="shared" si="18"/>
        <v>22400</v>
      </c>
      <c r="J561" s="28" t="s">
        <v>1444</v>
      </c>
      <c r="K561" s="25">
        <v>41253</v>
      </c>
      <c r="M561" s="94" t="s">
        <v>1477</v>
      </c>
      <c r="N561" s="97" t="s">
        <v>183</v>
      </c>
      <c r="O561" s="28" t="s">
        <v>1574</v>
      </c>
      <c r="P561" s="32">
        <v>36833.599999999999</v>
      </c>
      <c r="Q561" s="56">
        <v>41264</v>
      </c>
      <c r="R561" s="153"/>
      <c r="S561" s="153"/>
      <c r="T561" s="153"/>
      <c r="U561" s="153"/>
      <c r="V561" s="153"/>
      <c r="W561" s="153"/>
      <c r="X561" s="153"/>
      <c r="Y561" s="153"/>
      <c r="Z561" s="153"/>
      <c r="AA561" s="153"/>
      <c r="AB561" s="153"/>
      <c r="AC561" s="153"/>
      <c r="AD561" s="153"/>
      <c r="AE561" s="153"/>
      <c r="AF561" s="153"/>
      <c r="AG561" s="153"/>
    </row>
    <row r="562" spans="1:33" ht="12" customHeight="1">
      <c r="A562" s="25">
        <v>41249</v>
      </c>
      <c r="B562" s="225" t="s">
        <v>1978</v>
      </c>
      <c r="C562" s="219" t="s">
        <v>162</v>
      </c>
      <c r="D562" s="225" t="s">
        <v>1908</v>
      </c>
      <c r="E562" s="196">
        <v>8246</v>
      </c>
      <c r="F562" s="157">
        <v>360</v>
      </c>
      <c r="G562" s="329" t="s">
        <v>170</v>
      </c>
      <c r="H562" s="31">
        <v>11.7</v>
      </c>
      <c r="I562" s="27">
        <f t="shared" si="18"/>
        <v>4212</v>
      </c>
      <c r="J562" s="28" t="s">
        <v>1444</v>
      </c>
      <c r="K562" s="25">
        <v>41256</v>
      </c>
      <c r="M562" s="94" t="s">
        <v>1477</v>
      </c>
      <c r="N562" s="97" t="s">
        <v>183</v>
      </c>
      <c r="O562" s="28" t="s">
        <v>1574</v>
      </c>
      <c r="P562" s="32">
        <v>36833.599999999999</v>
      </c>
      <c r="Q562" s="56">
        <v>41264</v>
      </c>
      <c r="R562" s="157"/>
      <c r="S562" s="157"/>
      <c r="T562" s="157"/>
      <c r="U562" s="157"/>
      <c r="V562" s="157"/>
      <c r="W562" s="157"/>
      <c r="X562" s="157"/>
      <c r="Y562" s="157"/>
      <c r="Z562" s="157"/>
      <c r="AA562" s="157"/>
      <c r="AB562" s="157"/>
      <c r="AC562" s="157"/>
      <c r="AD562" s="157"/>
      <c r="AE562" s="157"/>
      <c r="AF562" s="157"/>
      <c r="AG562" s="157"/>
    </row>
    <row r="563" spans="1:33" ht="12" customHeight="1">
      <c r="A563" s="25">
        <v>41249</v>
      </c>
      <c r="B563" s="225" t="s">
        <v>1978</v>
      </c>
      <c r="C563" s="219" t="s">
        <v>162</v>
      </c>
      <c r="D563" s="1" t="s">
        <v>1219</v>
      </c>
      <c r="E563" s="196" t="s">
        <v>1438</v>
      </c>
      <c r="F563" s="153">
        <v>1000</v>
      </c>
      <c r="G563" s="197" t="s">
        <v>170</v>
      </c>
      <c r="H563" s="31">
        <v>3.6</v>
      </c>
      <c r="I563" s="27">
        <f t="shared" si="18"/>
        <v>3600</v>
      </c>
      <c r="J563" s="28" t="s">
        <v>1444</v>
      </c>
      <c r="K563" s="25">
        <v>41253</v>
      </c>
      <c r="M563" s="94" t="s">
        <v>1477</v>
      </c>
      <c r="N563" s="97" t="s">
        <v>183</v>
      </c>
      <c r="O563" s="28" t="s">
        <v>1574</v>
      </c>
      <c r="P563" s="32">
        <v>36833.599999999999</v>
      </c>
      <c r="Q563" s="56">
        <v>41264</v>
      </c>
      <c r="R563" s="153"/>
      <c r="S563" s="153"/>
      <c r="T563" s="153"/>
      <c r="U563" s="153"/>
      <c r="V563" s="153"/>
      <c r="W563" s="153"/>
      <c r="X563" s="153"/>
      <c r="Y563" s="153"/>
      <c r="Z563" s="153"/>
      <c r="AA563" s="153"/>
      <c r="AB563" s="153"/>
      <c r="AC563" s="153"/>
      <c r="AD563" s="153"/>
      <c r="AE563" s="153"/>
      <c r="AF563" s="153"/>
      <c r="AG563" s="153"/>
    </row>
    <row r="564" spans="1:33" ht="12" customHeight="1">
      <c r="A564" s="25">
        <v>41249</v>
      </c>
      <c r="B564" s="225" t="s">
        <v>1978</v>
      </c>
      <c r="C564" s="219" t="s">
        <v>162</v>
      </c>
      <c r="D564" s="225" t="s">
        <v>1941</v>
      </c>
      <c r="E564" s="196">
        <v>12308</v>
      </c>
      <c r="F564" s="153">
        <v>40</v>
      </c>
      <c r="G564" s="153" t="s">
        <v>1435</v>
      </c>
      <c r="H564" s="31">
        <v>18</v>
      </c>
      <c r="I564" s="27">
        <f t="shared" si="18"/>
        <v>720</v>
      </c>
      <c r="J564" s="28" t="s">
        <v>1444</v>
      </c>
      <c r="K564" s="25">
        <v>41253</v>
      </c>
      <c r="M564" s="94" t="s">
        <v>1477</v>
      </c>
      <c r="N564" s="97" t="s">
        <v>183</v>
      </c>
      <c r="O564" s="28" t="s">
        <v>1574</v>
      </c>
      <c r="P564" s="32">
        <v>36833.599999999999</v>
      </c>
      <c r="Q564" s="56">
        <v>41264</v>
      </c>
      <c r="R564" s="153"/>
      <c r="S564" s="153"/>
      <c r="T564" s="153"/>
      <c r="U564" s="153"/>
      <c r="V564" s="153"/>
      <c r="W564" s="153"/>
      <c r="X564" s="153"/>
      <c r="Y564" s="153"/>
      <c r="Z564" s="153"/>
      <c r="AA564" s="153"/>
      <c r="AB564" s="153"/>
      <c r="AC564" s="153"/>
      <c r="AD564" s="153"/>
      <c r="AE564" s="153"/>
      <c r="AF564" s="153"/>
      <c r="AG564" s="153"/>
    </row>
    <row r="565" spans="1:33" ht="12" customHeight="1">
      <c r="A565" s="25">
        <v>41249</v>
      </c>
      <c r="B565" s="225" t="s">
        <v>1975</v>
      </c>
      <c r="C565" s="219" t="s">
        <v>162</v>
      </c>
      <c r="D565" s="1" t="s">
        <v>1210</v>
      </c>
      <c r="E565" s="28">
        <v>3200</v>
      </c>
      <c r="F565" s="131">
        <v>60</v>
      </c>
      <c r="G565" s="151" t="s">
        <v>1440</v>
      </c>
      <c r="H565" s="31">
        <v>23.94</v>
      </c>
      <c r="I565" s="27">
        <f t="shared" si="18"/>
        <v>1436.4</v>
      </c>
      <c r="J565" s="28" t="s">
        <v>1441</v>
      </c>
      <c r="K565" s="25">
        <v>41249</v>
      </c>
      <c r="M565" s="56">
        <v>41288</v>
      </c>
      <c r="N565" s="29" t="s">
        <v>166</v>
      </c>
      <c r="O565" s="28" t="s">
        <v>5296</v>
      </c>
      <c r="P565" s="32">
        <v>52934.25</v>
      </c>
      <c r="Q565" s="56">
        <v>41333</v>
      </c>
    </row>
    <row r="566" spans="1:33" ht="12" customHeight="1">
      <c r="A566" s="25">
        <v>41249</v>
      </c>
      <c r="B566" s="225" t="s">
        <v>1975</v>
      </c>
      <c r="C566" s="219" t="s">
        <v>162</v>
      </c>
      <c r="D566" s="225" t="s">
        <v>232</v>
      </c>
      <c r="E566" s="28" t="s">
        <v>1439</v>
      </c>
      <c r="F566" s="205">
        <v>500</v>
      </c>
      <c r="G566" s="151" t="s">
        <v>1434</v>
      </c>
      <c r="H566" s="31">
        <v>1.54</v>
      </c>
      <c r="I566" s="27">
        <f t="shared" si="18"/>
        <v>770</v>
      </c>
      <c r="J566" s="28" t="s">
        <v>1441</v>
      </c>
      <c r="K566" s="25">
        <v>41249</v>
      </c>
      <c r="M566" s="56">
        <v>41288</v>
      </c>
      <c r="N566" s="29" t="s">
        <v>166</v>
      </c>
      <c r="O566" s="28" t="s">
        <v>5296</v>
      </c>
      <c r="P566" s="32">
        <v>52934.25</v>
      </c>
      <c r="Q566" s="56">
        <v>41333</v>
      </c>
    </row>
    <row r="567" spans="1:33" ht="12" customHeight="1">
      <c r="A567" s="25">
        <v>41249</v>
      </c>
      <c r="B567" s="225" t="s">
        <v>1979</v>
      </c>
      <c r="C567" s="219" t="s">
        <v>162</v>
      </c>
      <c r="D567" s="225" t="s">
        <v>305</v>
      </c>
      <c r="E567" s="196">
        <v>1270</v>
      </c>
      <c r="F567" s="131">
        <v>20</v>
      </c>
      <c r="G567" s="190" t="s">
        <v>239</v>
      </c>
      <c r="H567" s="31">
        <v>4.22</v>
      </c>
      <c r="I567" s="27">
        <f t="shared" si="18"/>
        <v>84.399999999999991</v>
      </c>
      <c r="J567" s="28" t="s">
        <v>1442</v>
      </c>
      <c r="K567" s="25">
        <v>41249</v>
      </c>
      <c r="M567" s="56">
        <v>41305</v>
      </c>
      <c r="N567" s="29" t="s">
        <v>166</v>
      </c>
    </row>
    <row r="568" spans="1:33" ht="12" customHeight="1">
      <c r="A568" s="25">
        <v>41249</v>
      </c>
      <c r="B568" s="225" t="s">
        <v>1979</v>
      </c>
      <c r="C568" s="219" t="s">
        <v>162</v>
      </c>
      <c r="D568" s="225" t="s">
        <v>287</v>
      </c>
      <c r="E568" s="196">
        <v>10434</v>
      </c>
      <c r="F568" s="131">
        <v>50</v>
      </c>
      <c r="G568" s="151" t="s">
        <v>1435</v>
      </c>
      <c r="H568" s="31">
        <v>14.2</v>
      </c>
      <c r="I568" s="27">
        <f t="shared" si="18"/>
        <v>710</v>
      </c>
      <c r="J568" s="28" t="s">
        <v>1442</v>
      </c>
      <c r="K568" s="25">
        <v>41249</v>
      </c>
      <c r="M568" s="56">
        <v>41305</v>
      </c>
      <c r="N568" s="29" t="s">
        <v>166</v>
      </c>
    </row>
    <row r="569" spans="1:33" ht="12" customHeight="1">
      <c r="A569" s="25">
        <v>41249</v>
      </c>
      <c r="B569" s="225" t="s">
        <v>1979</v>
      </c>
      <c r="C569" s="219" t="s">
        <v>162</v>
      </c>
      <c r="D569" s="225" t="s">
        <v>287</v>
      </c>
      <c r="E569" s="196">
        <v>10434</v>
      </c>
      <c r="F569" s="131">
        <v>60</v>
      </c>
      <c r="G569" s="151" t="s">
        <v>1435</v>
      </c>
      <c r="H569" s="31">
        <v>14.2</v>
      </c>
      <c r="I569" s="27">
        <f t="shared" si="18"/>
        <v>852</v>
      </c>
      <c r="J569" s="28" t="s">
        <v>1443</v>
      </c>
      <c r="K569" s="25">
        <v>41249</v>
      </c>
      <c r="M569" s="56">
        <v>41305</v>
      </c>
      <c r="N569" s="29" t="s">
        <v>166</v>
      </c>
    </row>
    <row r="570" spans="1:33" ht="12" customHeight="1">
      <c r="A570" s="25">
        <v>41249</v>
      </c>
      <c r="B570" s="225" t="s">
        <v>1982</v>
      </c>
      <c r="C570" s="221" t="s">
        <v>162</v>
      </c>
      <c r="D570" s="225" t="s">
        <v>1890</v>
      </c>
      <c r="E570" s="415" t="s">
        <v>3037</v>
      </c>
      <c r="F570" s="131">
        <v>20</v>
      </c>
      <c r="G570" s="151" t="s">
        <v>1446</v>
      </c>
      <c r="H570" s="31">
        <v>181.36</v>
      </c>
      <c r="I570" s="27">
        <f t="shared" si="18"/>
        <v>3627.2000000000003</v>
      </c>
      <c r="J570" s="28" t="s">
        <v>167</v>
      </c>
      <c r="K570" s="25">
        <v>41249</v>
      </c>
      <c r="M570" s="56">
        <v>41232</v>
      </c>
      <c r="N570" s="29" t="s">
        <v>1436</v>
      </c>
      <c r="O570" s="28" t="s">
        <v>1453</v>
      </c>
      <c r="P570" s="32">
        <v>3627</v>
      </c>
      <c r="Q570" s="56">
        <v>41253</v>
      </c>
    </row>
    <row r="571" spans="1:33" ht="12" customHeight="1">
      <c r="A571" s="25">
        <v>41250</v>
      </c>
      <c r="B571" s="225" t="s">
        <v>1987</v>
      </c>
      <c r="C571" s="219" t="s">
        <v>162</v>
      </c>
      <c r="D571" s="225" t="s">
        <v>1945</v>
      </c>
      <c r="E571" s="196">
        <v>52000183617</v>
      </c>
      <c r="F571" s="153">
        <v>100</v>
      </c>
      <c r="G571" s="153" t="s">
        <v>171</v>
      </c>
      <c r="H571" s="31">
        <v>17.57</v>
      </c>
      <c r="I571" s="27">
        <f t="shared" si="18"/>
        <v>1757</v>
      </c>
      <c r="J571" s="28" t="s">
        <v>1452</v>
      </c>
      <c r="K571" s="25">
        <v>41250</v>
      </c>
      <c r="M571" s="94">
        <v>41250</v>
      </c>
      <c r="N571" s="97" t="s">
        <v>166</v>
      </c>
      <c r="O571" s="28" t="s">
        <v>1456</v>
      </c>
      <c r="P571" s="32">
        <v>1757</v>
      </c>
      <c r="Q571" s="56">
        <v>41253</v>
      </c>
      <c r="R571" s="153"/>
      <c r="S571" s="153"/>
      <c r="T571" s="153"/>
      <c r="U571" s="153"/>
      <c r="V571" s="153"/>
      <c r="W571" s="153"/>
      <c r="X571" s="153"/>
      <c r="Y571" s="153"/>
      <c r="Z571" s="153"/>
      <c r="AA571" s="153"/>
      <c r="AB571" s="153"/>
      <c r="AC571" s="153"/>
      <c r="AD571" s="153"/>
      <c r="AE571" s="153"/>
      <c r="AF571" s="153"/>
      <c r="AG571" s="153"/>
    </row>
    <row r="572" spans="1:33" ht="12" customHeight="1">
      <c r="A572" s="25">
        <v>41250</v>
      </c>
      <c r="B572" s="225" t="s">
        <v>1980</v>
      </c>
      <c r="C572" s="220" t="s">
        <v>7</v>
      </c>
      <c r="D572" s="95" t="s">
        <v>5008</v>
      </c>
      <c r="E572" s="196" t="s">
        <v>1447</v>
      </c>
      <c r="F572" s="153">
        <v>144</v>
      </c>
      <c r="G572" s="190" t="s">
        <v>827</v>
      </c>
      <c r="H572" s="31">
        <v>10</v>
      </c>
      <c r="I572" s="27">
        <f t="shared" si="18"/>
        <v>1440</v>
      </c>
      <c r="J572" s="28" t="s">
        <v>167</v>
      </c>
      <c r="K572" s="25">
        <v>41253</v>
      </c>
      <c r="M572" s="94">
        <v>41250</v>
      </c>
      <c r="N572" s="97" t="s">
        <v>166</v>
      </c>
      <c r="O572" s="28" t="s">
        <v>1465</v>
      </c>
      <c r="P572" s="32">
        <v>1440</v>
      </c>
      <c r="Q572" s="56">
        <v>41253</v>
      </c>
      <c r="R572" s="153"/>
      <c r="S572" s="153"/>
      <c r="T572" s="153"/>
      <c r="U572" s="153"/>
      <c r="V572" s="153"/>
      <c r="W572" s="153"/>
      <c r="X572" s="153"/>
      <c r="Y572" s="153"/>
      <c r="Z572" s="153"/>
      <c r="AA572" s="153"/>
      <c r="AB572" s="153"/>
      <c r="AC572" s="153"/>
      <c r="AD572" s="153"/>
      <c r="AE572" s="153"/>
      <c r="AF572" s="153"/>
      <c r="AG572" s="153"/>
    </row>
    <row r="573" spans="1:33" ht="12" customHeight="1">
      <c r="A573" s="25">
        <v>41250</v>
      </c>
      <c r="B573" s="225" t="s">
        <v>2000</v>
      </c>
      <c r="C573" s="219" t="s">
        <v>162</v>
      </c>
      <c r="D573" s="225" t="s">
        <v>1712</v>
      </c>
      <c r="E573" s="196">
        <v>9010</v>
      </c>
      <c r="F573" s="153">
        <v>80</v>
      </c>
      <c r="G573" s="190" t="s">
        <v>684</v>
      </c>
      <c r="H573" s="31">
        <v>2.88</v>
      </c>
      <c r="I573" s="27">
        <f t="shared" si="18"/>
        <v>230.39999999999998</v>
      </c>
      <c r="J573" s="28" t="s">
        <v>167</v>
      </c>
      <c r="K573" s="25">
        <v>41253</v>
      </c>
      <c r="M573" s="94">
        <v>41250</v>
      </c>
      <c r="N573" s="97" t="s">
        <v>166</v>
      </c>
      <c r="O573" s="28" t="s">
        <v>1796</v>
      </c>
      <c r="P573" s="32">
        <v>10898.5</v>
      </c>
      <c r="Q573" s="56">
        <v>41295</v>
      </c>
      <c r="R573" s="153"/>
      <c r="S573" s="153"/>
      <c r="T573" s="153"/>
      <c r="U573" s="153"/>
      <c r="V573" s="153"/>
      <c r="W573" s="153"/>
      <c r="X573" s="153"/>
      <c r="Y573" s="153"/>
      <c r="Z573" s="153"/>
      <c r="AA573" s="153"/>
      <c r="AB573" s="153"/>
      <c r="AC573" s="153"/>
      <c r="AD573" s="153"/>
      <c r="AE573" s="153"/>
      <c r="AF573" s="153"/>
      <c r="AG573" s="153"/>
    </row>
    <row r="574" spans="1:33" ht="12" customHeight="1">
      <c r="A574" s="25">
        <v>41250</v>
      </c>
      <c r="B574" s="225" t="s">
        <v>1985</v>
      </c>
      <c r="C574" s="219" t="s">
        <v>162</v>
      </c>
      <c r="D574" s="225" t="s">
        <v>625</v>
      </c>
      <c r="E574" s="196">
        <v>9132</v>
      </c>
      <c r="F574" s="152">
        <v>2100</v>
      </c>
      <c r="G574" s="152" t="s">
        <v>171</v>
      </c>
      <c r="H574" s="31">
        <v>2.64</v>
      </c>
      <c r="I574" s="27">
        <f t="shared" si="18"/>
        <v>5544</v>
      </c>
      <c r="J574" s="28" t="s">
        <v>1448</v>
      </c>
      <c r="K574" s="25">
        <v>41255</v>
      </c>
      <c r="M574" s="56">
        <v>41250</v>
      </c>
      <c r="N574" s="29" t="s">
        <v>165</v>
      </c>
      <c r="O574" s="28" t="s">
        <v>175</v>
      </c>
      <c r="R574" s="152"/>
      <c r="S574" s="152"/>
      <c r="T574" s="152"/>
      <c r="U574" s="152"/>
      <c r="V574" s="152"/>
      <c r="W574" s="152"/>
      <c r="X574" s="152"/>
      <c r="Y574" s="152"/>
      <c r="Z574" s="152"/>
      <c r="AA574" s="152"/>
      <c r="AB574" s="152"/>
      <c r="AC574" s="152"/>
      <c r="AD574" s="152"/>
      <c r="AE574" s="152"/>
      <c r="AF574" s="152"/>
      <c r="AG574" s="152"/>
    </row>
    <row r="575" spans="1:33" ht="12" customHeight="1">
      <c r="A575" s="25">
        <v>41250</v>
      </c>
      <c r="B575" s="225" t="s">
        <v>1975</v>
      </c>
      <c r="C575" s="219" t="s">
        <v>162</v>
      </c>
      <c r="D575" s="225" t="s">
        <v>1946</v>
      </c>
      <c r="E575" s="28">
        <v>4620</v>
      </c>
      <c r="F575" s="131">
        <v>75</v>
      </c>
      <c r="G575" s="152" t="s">
        <v>174</v>
      </c>
      <c r="H575" s="31">
        <v>17.79</v>
      </c>
      <c r="I575" s="27">
        <f t="shared" si="18"/>
        <v>1334.25</v>
      </c>
      <c r="J575" s="28" t="s">
        <v>1451</v>
      </c>
      <c r="K575" s="25">
        <v>41250</v>
      </c>
      <c r="M575" s="56">
        <v>41288</v>
      </c>
      <c r="N575" s="29" t="s">
        <v>166</v>
      </c>
      <c r="O575" s="28" t="s">
        <v>5296</v>
      </c>
      <c r="P575" s="32">
        <v>52934.25</v>
      </c>
      <c r="Q575" s="56">
        <v>41333</v>
      </c>
    </row>
    <row r="576" spans="1:33" ht="12" customHeight="1">
      <c r="A576" s="25">
        <v>41253</v>
      </c>
      <c r="B576" s="225" t="s">
        <v>2001</v>
      </c>
      <c r="C576" s="219" t="s">
        <v>162</v>
      </c>
      <c r="D576" s="225" t="s">
        <v>625</v>
      </c>
      <c r="E576" s="196">
        <v>9132</v>
      </c>
      <c r="F576" s="156">
        <v>600</v>
      </c>
      <c r="G576" s="156" t="s">
        <v>171</v>
      </c>
      <c r="H576" s="31">
        <v>2.92</v>
      </c>
      <c r="I576" s="27">
        <v>1752</v>
      </c>
      <c r="J576" s="28" t="s">
        <v>167</v>
      </c>
      <c r="K576" s="25">
        <v>41255</v>
      </c>
      <c r="M576" s="56">
        <v>41253</v>
      </c>
      <c r="N576" s="97" t="s">
        <v>166</v>
      </c>
      <c r="R576" s="156"/>
      <c r="S576" s="156"/>
      <c r="T576" s="156"/>
      <c r="U576" s="156"/>
      <c r="V576" s="156"/>
      <c r="W576" s="156"/>
      <c r="X576" s="156"/>
      <c r="Y576" s="156"/>
      <c r="Z576" s="156"/>
      <c r="AA576" s="156"/>
      <c r="AB576" s="156"/>
      <c r="AC576" s="156"/>
      <c r="AD576" s="156"/>
      <c r="AE576" s="156"/>
      <c r="AF576" s="156"/>
      <c r="AG576" s="156"/>
    </row>
    <row r="577" spans="1:33" ht="12" customHeight="1">
      <c r="A577" s="25">
        <v>41253</v>
      </c>
      <c r="B577" s="225" t="s">
        <v>1985</v>
      </c>
      <c r="C577" s="219" t="s">
        <v>162</v>
      </c>
      <c r="D577" s="225" t="s">
        <v>625</v>
      </c>
      <c r="E577" s="196">
        <v>9132</v>
      </c>
      <c r="F577" s="157">
        <v>2100</v>
      </c>
      <c r="G577" s="157" t="s">
        <v>171</v>
      </c>
      <c r="H577" s="31">
        <v>2.64</v>
      </c>
      <c r="I577" s="27">
        <f t="shared" ref="I577:I596" si="19">H577*F577</f>
        <v>5544</v>
      </c>
      <c r="J577" s="28" t="s">
        <v>167</v>
      </c>
      <c r="K577" s="25">
        <v>41256</v>
      </c>
      <c r="M577" s="56">
        <v>41253</v>
      </c>
      <c r="N577" s="97" t="s">
        <v>165</v>
      </c>
      <c r="O577" s="28" t="s">
        <v>175</v>
      </c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</row>
    <row r="578" spans="1:33" ht="12" customHeight="1">
      <c r="A578" s="25">
        <v>41254</v>
      </c>
      <c r="B578" s="225" t="s">
        <v>1979</v>
      </c>
      <c r="C578" s="219" t="s">
        <v>162</v>
      </c>
      <c r="D578" s="225" t="s">
        <v>1947</v>
      </c>
      <c r="E578" s="196" t="s">
        <v>167</v>
      </c>
      <c r="F578" s="131">
        <v>1</v>
      </c>
      <c r="G578" s="155" t="s">
        <v>1474</v>
      </c>
      <c r="H578" s="31">
        <v>7.6</v>
      </c>
      <c r="I578" s="27">
        <f t="shared" si="19"/>
        <v>7.6</v>
      </c>
      <c r="J578" s="28" t="s">
        <v>1475</v>
      </c>
      <c r="K578" s="25">
        <v>41254</v>
      </c>
      <c r="M578" s="56">
        <v>41305</v>
      </c>
      <c r="N578" s="29" t="s">
        <v>166</v>
      </c>
    </row>
    <row r="579" spans="1:33" ht="12" customHeight="1">
      <c r="A579" s="25">
        <v>41255</v>
      </c>
      <c r="B579" s="225" t="s">
        <v>1999</v>
      </c>
      <c r="C579" s="219" t="s">
        <v>1013</v>
      </c>
      <c r="D579" s="225" t="s">
        <v>1476</v>
      </c>
      <c r="E579" s="196" t="s">
        <v>1478</v>
      </c>
      <c r="F579" s="157">
        <v>1</v>
      </c>
      <c r="G579" s="179" t="s">
        <v>1015</v>
      </c>
      <c r="H579" s="31">
        <v>3862</v>
      </c>
      <c r="I579" s="27">
        <f t="shared" si="19"/>
        <v>3862</v>
      </c>
      <c r="J579" s="28" t="s">
        <v>167</v>
      </c>
      <c r="K579" s="25" t="s">
        <v>5464</v>
      </c>
      <c r="M579" s="56">
        <v>41256</v>
      </c>
      <c r="N579" s="97" t="s">
        <v>1489</v>
      </c>
      <c r="O579" s="28" t="s">
        <v>1597</v>
      </c>
      <c r="P579" s="32">
        <v>3862</v>
      </c>
      <c r="Q579" s="56">
        <v>41269</v>
      </c>
      <c r="R579" s="157"/>
      <c r="S579" s="157"/>
      <c r="T579" s="157"/>
      <c r="U579" s="157"/>
      <c r="V579" s="157"/>
      <c r="W579" s="157"/>
      <c r="X579" s="157"/>
      <c r="Y579" s="157"/>
      <c r="Z579" s="157"/>
      <c r="AA579" s="157"/>
      <c r="AB579" s="157"/>
      <c r="AC579" s="157"/>
      <c r="AD579" s="157"/>
      <c r="AE579" s="157"/>
      <c r="AF579" s="157"/>
      <c r="AG579" s="157"/>
    </row>
    <row r="580" spans="1:33" ht="12" customHeight="1">
      <c r="A580" s="25">
        <v>41258</v>
      </c>
      <c r="B580" s="225" t="s">
        <v>1993</v>
      </c>
      <c r="C580" s="219" t="s">
        <v>162</v>
      </c>
      <c r="D580" s="225" t="s">
        <v>1914</v>
      </c>
      <c r="E580" s="196">
        <v>82518</v>
      </c>
      <c r="F580" s="159">
        <v>6</v>
      </c>
      <c r="G580" s="159" t="s">
        <v>1490</v>
      </c>
      <c r="H580" s="31">
        <v>127</v>
      </c>
      <c r="I580" s="27">
        <f t="shared" si="19"/>
        <v>762</v>
      </c>
      <c r="J580" s="28" t="s">
        <v>1855</v>
      </c>
      <c r="K580" s="25">
        <v>41263</v>
      </c>
      <c r="M580" s="56">
        <v>41260</v>
      </c>
      <c r="N580" s="29" t="s">
        <v>1489</v>
      </c>
      <c r="O580" s="28" t="s">
        <v>1554</v>
      </c>
      <c r="P580" s="32">
        <v>38862</v>
      </c>
      <c r="Q580" s="56">
        <v>41263</v>
      </c>
      <c r="R580" s="159"/>
      <c r="S580" s="159"/>
      <c r="T580" s="159"/>
      <c r="U580" s="159"/>
      <c r="V580" s="159"/>
      <c r="W580" s="159"/>
      <c r="X580" s="159"/>
      <c r="Y580" s="159"/>
      <c r="Z580" s="159"/>
      <c r="AA580" s="159"/>
      <c r="AB580" s="159"/>
      <c r="AC580" s="159"/>
      <c r="AD580" s="159"/>
      <c r="AE580" s="159"/>
      <c r="AF580" s="159"/>
      <c r="AG580" s="159"/>
    </row>
    <row r="581" spans="1:33" ht="12" customHeight="1">
      <c r="A581" s="25">
        <v>41261</v>
      </c>
      <c r="B581" s="225" t="s">
        <v>1975</v>
      </c>
      <c r="C581" s="219" t="s">
        <v>162</v>
      </c>
      <c r="D581" s="1" t="s">
        <v>1210</v>
      </c>
      <c r="E581" s="28">
        <v>3200</v>
      </c>
      <c r="F581" s="131">
        <v>60</v>
      </c>
      <c r="G581" s="158" t="s">
        <v>170</v>
      </c>
      <c r="H581" s="31">
        <v>23.94</v>
      </c>
      <c r="I581" s="27">
        <f t="shared" si="19"/>
        <v>1436.4</v>
      </c>
      <c r="J581" s="28" t="s">
        <v>1499</v>
      </c>
      <c r="K581" s="25">
        <v>41261</v>
      </c>
      <c r="M581" s="56">
        <v>41288</v>
      </c>
      <c r="N581" s="29" t="s">
        <v>166</v>
      </c>
      <c r="O581" s="28" t="s">
        <v>5296</v>
      </c>
      <c r="P581" s="32">
        <v>52934.25</v>
      </c>
      <c r="Q581" s="56">
        <v>41333</v>
      </c>
    </row>
    <row r="582" spans="1:33" ht="12" customHeight="1">
      <c r="A582" s="25">
        <v>41261</v>
      </c>
      <c r="B582" s="225" t="s">
        <v>1975</v>
      </c>
      <c r="C582" s="219" t="s">
        <v>162</v>
      </c>
      <c r="D582" s="225" t="s">
        <v>232</v>
      </c>
      <c r="E582" s="28" t="s">
        <v>1498</v>
      </c>
      <c r="F582" s="205">
        <v>500</v>
      </c>
      <c r="G582" s="158" t="s">
        <v>1496</v>
      </c>
      <c r="H582" s="31">
        <v>1.54</v>
      </c>
      <c r="I582" s="27">
        <f t="shared" si="19"/>
        <v>770</v>
      </c>
      <c r="J582" s="28" t="s">
        <v>1499</v>
      </c>
      <c r="K582" s="25">
        <v>41261</v>
      </c>
      <c r="M582" s="56">
        <v>41288</v>
      </c>
      <c r="N582" s="29" t="s">
        <v>166</v>
      </c>
      <c r="O582" s="28" t="s">
        <v>5296</v>
      </c>
      <c r="P582" s="32">
        <v>52934.25</v>
      </c>
      <c r="Q582" s="56">
        <v>41333</v>
      </c>
    </row>
    <row r="583" spans="1:33" ht="12" customHeight="1">
      <c r="A583" s="25">
        <v>41261</v>
      </c>
      <c r="B583" s="225" t="s">
        <v>1975</v>
      </c>
      <c r="C583" s="219" t="s">
        <v>162</v>
      </c>
      <c r="D583" s="225" t="s">
        <v>305</v>
      </c>
      <c r="E583" s="28">
        <v>1270</v>
      </c>
      <c r="F583" s="131">
        <v>100</v>
      </c>
      <c r="G583" s="190" t="s">
        <v>239</v>
      </c>
      <c r="H583" s="31">
        <v>4.3099999999999996</v>
      </c>
      <c r="I583" s="27">
        <f t="shared" si="19"/>
        <v>430.99999999999994</v>
      </c>
      <c r="J583" s="28" t="s">
        <v>1499</v>
      </c>
      <c r="K583" s="25">
        <v>41261</v>
      </c>
      <c r="M583" s="56">
        <v>41288</v>
      </c>
      <c r="N583" s="29" t="s">
        <v>166</v>
      </c>
      <c r="O583" s="28" t="s">
        <v>5296</v>
      </c>
      <c r="P583" s="32">
        <v>52934.25</v>
      </c>
      <c r="Q583" s="56">
        <v>41333</v>
      </c>
    </row>
    <row r="584" spans="1:33" ht="12" customHeight="1">
      <c r="A584" s="25">
        <v>41261</v>
      </c>
      <c r="B584" s="225" t="s">
        <v>1980</v>
      </c>
      <c r="C584" s="219" t="s">
        <v>162</v>
      </c>
      <c r="D584" s="225" t="s">
        <v>270</v>
      </c>
      <c r="E584" s="196">
        <v>7501</v>
      </c>
      <c r="F584" s="158">
        <v>10</v>
      </c>
      <c r="G584" s="158" t="s">
        <v>1495</v>
      </c>
      <c r="H584" s="31">
        <v>112</v>
      </c>
      <c r="I584" s="27">
        <f t="shared" si="19"/>
        <v>1120</v>
      </c>
      <c r="J584" s="28" t="s">
        <v>167</v>
      </c>
      <c r="K584" s="25">
        <v>41261</v>
      </c>
      <c r="M584" s="56">
        <v>41261</v>
      </c>
      <c r="N584" s="97" t="s">
        <v>166</v>
      </c>
      <c r="O584" s="28" t="s">
        <v>1500</v>
      </c>
      <c r="P584" s="32">
        <v>5044.6499999999996</v>
      </c>
      <c r="Q584" s="56">
        <v>41261</v>
      </c>
      <c r="R584" s="158"/>
      <c r="S584" s="158"/>
      <c r="T584" s="158"/>
      <c r="U584" s="158"/>
      <c r="V584" s="158"/>
      <c r="W584" s="158"/>
      <c r="X584" s="158"/>
      <c r="Y584" s="158"/>
      <c r="Z584" s="158"/>
      <c r="AA584" s="158"/>
      <c r="AB584" s="158"/>
      <c r="AC584" s="158"/>
      <c r="AD584" s="158"/>
      <c r="AE584" s="158"/>
      <c r="AF584" s="158"/>
      <c r="AG584" s="158"/>
    </row>
    <row r="585" spans="1:33" ht="12" customHeight="1">
      <c r="A585" s="25">
        <v>41261</v>
      </c>
      <c r="B585" s="225" t="s">
        <v>1980</v>
      </c>
      <c r="C585" s="219" t="s">
        <v>162</v>
      </c>
      <c r="D585" s="225" t="s">
        <v>350</v>
      </c>
      <c r="E585" s="196">
        <v>7502</v>
      </c>
      <c r="F585" s="158">
        <v>10</v>
      </c>
      <c r="G585" s="158" t="s">
        <v>1495</v>
      </c>
      <c r="H585" s="31">
        <v>105</v>
      </c>
      <c r="I585" s="27">
        <f t="shared" si="19"/>
        <v>1050</v>
      </c>
      <c r="J585" s="28" t="s">
        <v>167</v>
      </c>
      <c r="K585" s="25">
        <v>41261</v>
      </c>
      <c r="M585" s="56">
        <v>41261</v>
      </c>
      <c r="N585" s="97" t="s">
        <v>166</v>
      </c>
      <c r="O585" s="28" t="s">
        <v>1500</v>
      </c>
      <c r="P585" s="32">
        <v>5044.6499999999996</v>
      </c>
      <c r="Q585" s="56">
        <v>41261</v>
      </c>
      <c r="R585" s="158"/>
      <c r="S585" s="158"/>
      <c r="T585" s="158"/>
      <c r="U585" s="158"/>
      <c r="V585" s="158"/>
      <c r="W585" s="158"/>
      <c r="X585" s="158"/>
      <c r="Y585" s="158"/>
      <c r="Z585" s="158"/>
      <c r="AA585" s="158"/>
      <c r="AB585" s="158"/>
      <c r="AC585" s="158"/>
      <c r="AD585" s="158"/>
      <c r="AE585" s="158"/>
      <c r="AF585" s="158"/>
      <c r="AG585" s="158"/>
    </row>
    <row r="586" spans="1:33" ht="12" customHeight="1">
      <c r="A586" s="25">
        <v>41261</v>
      </c>
      <c r="B586" s="225" t="s">
        <v>1980</v>
      </c>
      <c r="C586" s="219" t="s">
        <v>162</v>
      </c>
      <c r="D586" s="1" t="s">
        <v>1867</v>
      </c>
      <c r="E586" s="196">
        <v>6006</v>
      </c>
      <c r="F586" s="158">
        <v>20</v>
      </c>
      <c r="G586" s="158" t="s">
        <v>1495</v>
      </c>
      <c r="H586" s="31">
        <v>49.5</v>
      </c>
      <c r="I586" s="27">
        <f t="shared" si="19"/>
        <v>990</v>
      </c>
      <c r="J586" s="28" t="s">
        <v>167</v>
      </c>
      <c r="K586" s="25">
        <v>41261</v>
      </c>
      <c r="M586" s="56">
        <v>41261</v>
      </c>
      <c r="N586" s="97" t="s">
        <v>166</v>
      </c>
      <c r="O586" s="28" t="s">
        <v>1500</v>
      </c>
      <c r="P586" s="32">
        <v>5044.6499999999996</v>
      </c>
      <c r="Q586" s="56">
        <v>41261</v>
      </c>
      <c r="R586" s="158"/>
      <c r="S586" s="158"/>
      <c r="T586" s="158"/>
      <c r="U586" s="158"/>
      <c r="V586" s="158"/>
      <c r="W586" s="158"/>
      <c r="X586" s="158"/>
      <c r="Y586" s="158"/>
      <c r="Z586" s="158"/>
      <c r="AA586" s="158"/>
      <c r="AB586" s="158"/>
      <c r="AC586" s="158"/>
      <c r="AD586" s="158"/>
      <c r="AE586" s="158"/>
      <c r="AF586" s="158"/>
      <c r="AG586" s="158"/>
    </row>
    <row r="587" spans="1:33" ht="12" customHeight="1">
      <c r="A587" s="25">
        <v>41261</v>
      </c>
      <c r="B587" s="225" t="s">
        <v>1980</v>
      </c>
      <c r="C587" s="220" t="s">
        <v>7</v>
      </c>
      <c r="D587" s="1" t="s">
        <v>1948</v>
      </c>
      <c r="E587" s="196" t="s">
        <v>1494</v>
      </c>
      <c r="F587" s="158">
        <v>25</v>
      </c>
      <c r="G587" s="158" t="s">
        <v>1497</v>
      </c>
      <c r="H587" s="31">
        <v>5.69</v>
      </c>
      <c r="I587" s="27">
        <f t="shared" si="19"/>
        <v>142.25</v>
      </c>
      <c r="J587" s="28" t="s">
        <v>167</v>
      </c>
      <c r="K587" s="25">
        <v>41261</v>
      </c>
      <c r="M587" s="56">
        <v>41261</v>
      </c>
      <c r="N587" s="97" t="s">
        <v>166</v>
      </c>
      <c r="O587" s="28" t="s">
        <v>1500</v>
      </c>
      <c r="P587" s="32">
        <v>5044.6499999999996</v>
      </c>
      <c r="Q587" s="56">
        <v>41261</v>
      </c>
      <c r="R587" s="158"/>
      <c r="S587" s="158"/>
      <c r="T587" s="158"/>
      <c r="U587" s="158"/>
      <c r="V587" s="158"/>
      <c r="W587" s="158"/>
      <c r="X587" s="158"/>
      <c r="Y587" s="158"/>
      <c r="Z587" s="158"/>
      <c r="AA587" s="158"/>
      <c r="AB587" s="158"/>
      <c r="AC587" s="158"/>
      <c r="AD587" s="158"/>
      <c r="AE587" s="158"/>
      <c r="AF587" s="158"/>
      <c r="AG587" s="158"/>
    </row>
    <row r="588" spans="1:33" ht="12" customHeight="1">
      <c r="A588" s="25">
        <v>41261</v>
      </c>
      <c r="B588" s="225" t="s">
        <v>1980</v>
      </c>
      <c r="C588" s="219" t="s">
        <v>162</v>
      </c>
      <c r="D588" s="225" t="s">
        <v>1870</v>
      </c>
      <c r="E588" s="196">
        <v>8210</v>
      </c>
      <c r="F588" s="158">
        <v>480</v>
      </c>
      <c r="G588" s="158" t="s">
        <v>1496</v>
      </c>
      <c r="H588" s="31">
        <v>3.63</v>
      </c>
      <c r="I588" s="27">
        <f t="shared" si="19"/>
        <v>1742.3999999999999</v>
      </c>
      <c r="J588" s="28" t="s">
        <v>167</v>
      </c>
      <c r="K588" s="25">
        <v>41261</v>
      </c>
      <c r="M588" s="56">
        <v>41261</v>
      </c>
      <c r="N588" s="97" t="s">
        <v>166</v>
      </c>
      <c r="O588" s="28" t="s">
        <v>1500</v>
      </c>
      <c r="P588" s="32">
        <v>5044.6499999999996</v>
      </c>
      <c r="Q588" s="56">
        <v>41261</v>
      </c>
      <c r="R588" s="158"/>
      <c r="S588" s="158"/>
      <c r="T588" s="158"/>
      <c r="U588" s="158"/>
      <c r="V588" s="158"/>
      <c r="W588" s="158"/>
      <c r="X588" s="158"/>
      <c r="Y588" s="158"/>
      <c r="Z588" s="158"/>
      <c r="AA588" s="158"/>
      <c r="AB588" s="158"/>
      <c r="AC588" s="158"/>
      <c r="AD588" s="158"/>
      <c r="AE588" s="158"/>
      <c r="AF588" s="158"/>
      <c r="AG588" s="158"/>
    </row>
    <row r="589" spans="1:33" ht="12" customHeight="1">
      <c r="A589" s="25">
        <v>41262</v>
      </c>
      <c r="B589" s="225" t="s">
        <v>1981</v>
      </c>
      <c r="C589" s="219" t="s">
        <v>162</v>
      </c>
      <c r="D589" s="225" t="s">
        <v>1716</v>
      </c>
      <c r="E589" s="196">
        <v>8576</v>
      </c>
      <c r="F589" s="176">
        <v>80</v>
      </c>
      <c r="G589" s="176" t="s">
        <v>171</v>
      </c>
      <c r="H589" s="31">
        <v>28.5</v>
      </c>
      <c r="I589" s="27">
        <f t="shared" si="19"/>
        <v>2280</v>
      </c>
      <c r="J589" s="28" t="s">
        <v>1576</v>
      </c>
      <c r="K589" s="25">
        <v>41267</v>
      </c>
      <c r="M589" s="56">
        <v>41262</v>
      </c>
      <c r="N589" s="29" t="s">
        <v>166</v>
      </c>
      <c r="O589" s="28" t="s">
        <v>1688</v>
      </c>
      <c r="P589" s="32">
        <v>4780</v>
      </c>
      <c r="Q589" s="56">
        <v>41279</v>
      </c>
      <c r="R589" s="176"/>
      <c r="S589" s="176"/>
      <c r="T589" s="176"/>
      <c r="U589" s="176"/>
      <c r="V589" s="176"/>
      <c r="W589" s="176"/>
      <c r="X589" s="176"/>
      <c r="Y589" s="176"/>
      <c r="Z589" s="176"/>
      <c r="AA589" s="176"/>
      <c r="AB589" s="176"/>
      <c r="AC589" s="176"/>
      <c r="AD589" s="176"/>
      <c r="AE589" s="176"/>
      <c r="AF589" s="176"/>
      <c r="AG589" s="176"/>
    </row>
    <row r="590" spans="1:33" ht="12" customHeight="1">
      <c r="A590" s="25">
        <v>41262</v>
      </c>
      <c r="B590" s="225" t="s">
        <v>1981</v>
      </c>
      <c r="C590" s="219" t="s">
        <v>162</v>
      </c>
      <c r="D590" s="1" t="s">
        <v>1213</v>
      </c>
      <c r="E590" s="196" t="s">
        <v>1503</v>
      </c>
      <c r="F590" s="176">
        <v>200</v>
      </c>
      <c r="G590" s="176" t="s">
        <v>172</v>
      </c>
      <c r="H590" s="31">
        <v>12.5</v>
      </c>
      <c r="I590" s="27">
        <f t="shared" si="19"/>
        <v>2500</v>
      </c>
      <c r="J590" s="28" t="s">
        <v>1576</v>
      </c>
      <c r="K590" s="25">
        <v>41267</v>
      </c>
      <c r="M590" s="56">
        <v>41262</v>
      </c>
      <c r="N590" s="29" t="s">
        <v>166</v>
      </c>
      <c r="O590" s="28" t="s">
        <v>1688</v>
      </c>
      <c r="P590" s="32">
        <v>4780</v>
      </c>
      <c r="Q590" s="56">
        <v>41279</v>
      </c>
      <c r="R590" s="176"/>
      <c r="S590" s="176"/>
      <c r="T590" s="176"/>
      <c r="U590" s="176"/>
      <c r="V590" s="176"/>
      <c r="W590" s="176"/>
      <c r="X590" s="176"/>
      <c r="Y590" s="176"/>
      <c r="Z590" s="176"/>
      <c r="AA590" s="176"/>
      <c r="AB590" s="176"/>
      <c r="AC590" s="176"/>
      <c r="AD590" s="176"/>
      <c r="AE590" s="176"/>
      <c r="AF590" s="176"/>
      <c r="AG590" s="176"/>
    </row>
    <row r="591" spans="1:33" ht="12" customHeight="1">
      <c r="A591" s="25">
        <v>41262</v>
      </c>
      <c r="B591" s="225" t="s">
        <v>2002</v>
      </c>
      <c r="C591" s="219" t="s">
        <v>1504</v>
      </c>
      <c r="D591" s="225" t="s">
        <v>1949</v>
      </c>
      <c r="E591" s="196" t="s">
        <v>1505</v>
      </c>
      <c r="F591" s="161">
        <v>1</v>
      </c>
      <c r="G591" s="161" t="s">
        <v>170</v>
      </c>
      <c r="H591" s="31">
        <v>85</v>
      </c>
      <c r="I591" s="27">
        <f t="shared" si="19"/>
        <v>85</v>
      </c>
      <c r="J591" s="28" t="s">
        <v>167</v>
      </c>
      <c r="K591" s="25">
        <v>41263</v>
      </c>
      <c r="M591" s="56">
        <v>41262</v>
      </c>
      <c r="N591" s="29" t="s">
        <v>165</v>
      </c>
      <c r="O591" s="28" t="s">
        <v>1682</v>
      </c>
      <c r="P591" s="32">
        <v>6035</v>
      </c>
      <c r="Q591" s="56">
        <v>41280</v>
      </c>
      <c r="R591" s="161"/>
      <c r="S591" s="161"/>
      <c r="T591" s="161"/>
      <c r="U591" s="161"/>
      <c r="V591" s="161"/>
      <c r="W591" s="161"/>
      <c r="X591" s="161"/>
      <c r="Y591" s="161"/>
      <c r="Z591" s="161"/>
      <c r="AA591" s="161"/>
      <c r="AB591" s="161"/>
      <c r="AC591" s="161"/>
      <c r="AD591" s="161"/>
      <c r="AE591" s="161"/>
      <c r="AF591" s="161"/>
      <c r="AG591" s="161"/>
    </row>
    <row r="592" spans="1:33" ht="12" customHeight="1">
      <c r="A592" s="25">
        <v>41263</v>
      </c>
      <c r="B592" s="225" t="s">
        <v>1975</v>
      </c>
      <c r="C592" s="219" t="s">
        <v>162</v>
      </c>
      <c r="D592" s="1" t="s">
        <v>1749</v>
      </c>
      <c r="E592" s="28">
        <v>1621</v>
      </c>
      <c r="F592" s="159">
        <v>4</v>
      </c>
      <c r="G592" s="159" t="s">
        <v>1546</v>
      </c>
      <c r="H592" s="31">
        <v>8.84</v>
      </c>
      <c r="I592" s="27">
        <f t="shared" si="19"/>
        <v>35.36</v>
      </c>
      <c r="J592" s="28" t="s">
        <v>1547</v>
      </c>
      <c r="K592" s="25">
        <v>41263</v>
      </c>
      <c r="M592" s="56">
        <v>41288</v>
      </c>
      <c r="N592" s="29" t="s">
        <v>166</v>
      </c>
      <c r="O592" s="28" t="s">
        <v>5296</v>
      </c>
      <c r="P592" s="32">
        <v>52934.25</v>
      </c>
      <c r="Q592" s="56">
        <v>41333</v>
      </c>
      <c r="R592" s="159"/>
      <c r="S592" s="159"/>
      <c r="T592" s="159"/>
      <c r="U592" s="159"/>
      <c r="V592" s="159"/>
      <c r="W592" s="159"/>
      <c r="X592" s="159"/>
      <c r="Y592" s="159"/>
      <c r="Z592" s="159"/>
      <c r="AA592" s="159"/>
      <c r="AB592" s="159"/>
      <c r="AC592" s="159"/>
      <c r="AD592" s="159"/>
      <c r="AE592" s="159"/>
      <c r="AF592" s="159"/>
      <c r="AG592" s="159"/>
    </row>
    <row r="593" spans="1:33" ht="12" customHeight="1">
      <c r="A593" s="25">
        <v>41263</v>
      </c>
      <c r="B593" s="225" t="s">
        <v>1975</v>
      </c>
      <c r="C593" s="219" t="s">
        <v>162</v>
      </c>
      <c r="D593" s="1" t="s">
        <v>1749</v>
      </c>
      <c r="E593" s="28">
        <v>1621</v>
      </c>
      <c r="F593" s="161">
        <v>23</v>
      </c>
      <c r="G593" s="161" t="s">
        <v>172</v>
      </c>
      <c r="H593" s="31">
        <v>8.84</v>
      </c>
      <c r="I593" s="27">
        <f t="shared" si="19"/>
        <v>203.32</v>
      </c>
      <c r="J593" s="28" t="s">
        <v>1573</v>
      </c>
      <c r="K593" s="25">
        <v>41263</v>
      </c>
      <c r="M593" s="56">
        <v>41288</v>
      </c>
      <c r="N593" s="29" t="s">
        <v>166</v>
      </c>
      <c r="O593" s="28" t="s">
        <v>5296</v>
      </c>
      <c r="P593" s="32">
        <v>52934.25</v>
      </c>
      <c r="Q593" s="56">
        <v>41333</v>
      </c>
      <c r="R593" s="161"/>
      <c r="S593" s="161"/>
      <c r="T593" s="161"/>
      <c r="U593" s="161"/>
      <c r="V593" s="161"/>
      <c r="W593" s="161"/>
      <c r="X593" s="161"/>
      <c r="Y593" s="161"/>
      <c r="Z593" s="161"/>
      <c r="AA593" s="161"/>
      <c r="AB593" s="161"/>
      <c r="AC593" s="161"/>
      <c r="AD593" s="161"/>
      <c r="AE593" s="161"/>
      <c r="AF593" s="161"/>
      <c r="AG593" s="161"/>
    </row>
    <row r="594" spans="1:33" ht="12" customHeight="1">
      <c r="A594" s="25">
        <v>41263</v>
      </c>
      <c r="B594" s="225" t="s">
        <v>2003</v>
      </c>
      <c r="C594" s="219" t="s">
        <v>162</v>
      </c>
      <c r="D594" s="225" t="s">
        <v>1950</v>
      </c>
      <c r="E594" s="196" t="s">
        <v>1548</v>
      </c>
      <c r="F594" s="176">
        <v>2</v>
      </c>
      <c r="G594" s="176" t="s">
        <v>170</v>
      </c>
      <c r="H594" s="31">
        <v>781</v>
      </c>
      <c r="I594" s="27">
        <f t="shared" si="19"/>
        <v>1562</v>
      </c>
      <c r="J594" s="28" t="s">
        <v>167</v>
      </c>
      <c r="K594" s="25">
        <v>41267</v>
      </c>
      <c r="M594" s="56">
        <v>41263</v>
      </c>
      <c r="N594" s="29" t="s">
        <v>166</v>
      </c>
      <c r="O594" s="28" t="s">
        <v>1627</v>
      </c>
      <c r="P594" s="32">
        <v>5012</v>
      </c>
      <c r="Q594" s="56">
        <v>41271</v>
      </c>
      <c r="R594" s="176"/>
      <c r="S594" s="176"/>
      <c r="T594" s="176"/>
      <c r="U594" s="176"/>
      <c r="V594" s="176"/>
      <c r="W594" s="176"/>
      <c r="X594" s="176"/>
      <c r="Y594" s="176"/>
      <c r="Z594" s="176"/>
      <c r="AA594" s="176"/>
      <c r="AB594" s="176"/>
      <c r="AC594" s="176"/>
      <c r="AD594" s="176"/>
      <c r="AE594" s="176"/>
      <c r="AF594" s="176"/>
      <c r="AG594" s="176"/>
    </row>
    <row r="595" spans="1:33" ht="12" customHeight="1">
      <c r="A595" s="25">
        <v>41263</v>
      </c>
      <c r="B595" s="225" t="s">
        <v>2003</v>
      </c>
      <c r="C595" s="219" t="s">
        <v>162</v>
      </c>
      <c r="D595" s="225" t="s">
        <v>1951</v>
      </c>
      <c r="E595" s="196" t="s">
        <v>1549</v>
      </c>
      <c r="F595" s="176">
        <v>2</v>
      </c>
      <c r="G595" s="176" t="s">
        <v>170</v>
      </c>
      <c r="H595" s="31">
        <v>378</v>
      </c>
      <c r="I595" s="27">
        <f t="shared" si="19"/>
        <v>756</v>
      </c>
      <c r="J595" s="28" t="s">
        <v>167</v>
      </c>
      <c r="K595" s="25">
        <v>41267</v>
      </c>
      <c r="M595" s="56">
        <v>41263</v>
      </c>
      <c r="N595" s="29" t="s">
        <v>166</v>
      </c>
      <c r="O595" s="28" t="s">
        <v>1627</v>
      </c>
      <c r="P595" s="32">
        <v>5012</v>
      </c>
      <c r="Q595" s="56">
        <v>41271</v>
      </c>
      <c r="R595" s="176"/>
      <c r="S595" s="176"/>
      <c r="T595" s="176"/>
      <c r="U595" s="176"/>
      <c r="V595" s="176"/>
      <c r="W595" s="176"/>
      <c r="X595" s="176"/>
      <c r="Y595" s="176"/>
      <c r="Z595" s="176"/>
      <c r="AA595" s="176"/>
      <c r="AB595" s="176"/>
      <c r="AC595" s="176"/>
      <c r="AD595" s="176"/>
      <c r="AE595" s="176"/>
      <c r="AF595" s="176"/>
      <c r="AG595" s="176"/>
    </row>
    <row r="596" spans="1:33" ht="12" customHeight="1">
      <c r="A596" s="25">
        <v>41263</v>
      </c>
      <c r="B596" s="225" t="s">
        <v>2003</v>
      </c>
      <c r="C596" s="219" t="s">
        <v>162</v>
      </c>
      <c r="D596" s="225" t="s">
        <v>1952</v>
      </c>
      <c r="E596" s="196" t="s">
        <v>1550</v>
      </c>
      <c r="F596" s="176">
        <v>2</v>
      </c>
      <c r="G596" s="176" t="s">
        <v>170</v>
      </c>
      <c r="H596" s="31">
        <v>1347</v>
      </c>
      <c r="I596" s="27">
        <f t="shared" si="19"/>
        <v>2694</v>
      </c>
      <c r="J596" s="28" t="s">
        <v>167</v>
      </c>
      <c r="K596" s="25">
        <v>41267</v>
      </c>
      <c r="M596" s="56">
        <v>41263</v>
      </c>
      <c r="N596" s="29" t="s">
        <v>166</v>
      </c>
      <c r="O596" s="28" t="s">
        <v>1627</v>
      </c>
      <c r="P596" s="32">
        <v>5012</v>
      </c>
      <c r="Q596" s="56">
        <v>41271</v>
      </c>
      <c r="R596" s="176"/>
      <c r="S596" s="176"/>
      <c r="T596" s="176"/>
      <c r="U596" s="176"/>
      <c r="V596" s="176"/>
      <c r="W596" s="176"/>
      <c r="X596" s="176"/>
      <c r="Y596" s="176"/>
      <c r="Z596" s="176"/>
      <c r="AA596" s="176"/>
      <c r="AB596" s="176"/>
      <c r="AC596" s="176"/>
      <c r="AD596" s="176"/>
      <c r="AE596" s="176"/>
      <c r="AF596" s="176"/>
      <c r="AG596" s="176"/>
    </row>
    <row r="597" spans="1:33" ht="12" customHeight="1">
      <c r="A597" s="25">
        <v>41263</v>
      </c>
      <c r="B597" s="225" t="s">
        <v>2004</v>
      </c>
      <c r="C597" s="219" t="s">
        <v>162</v>
      </c>
      <c r="D597" s="225" t="s">
        <v>1873</v>
      </c>
      <c r="E597" s="196">
        <v>4941</v>
      </c>
      <c r="F597" s="160" t="s">
        <v>1551</v>
      </c>
      <c r="G597" s="160" t="s">
        <v>193</v>
      </c>
      <c r="H597" s="31">
        <v>359</v>
      </c>
      <c r="I597" s="27">
        <f>H597*5*0.8</f>
        <v>1436</v>
      </c>
      <c r="J597" s="28" t="s">
        <v>167</v>
      </c>
      <c r="K597" s="25">
        <v>41263</v>
      </c>
      <c r="M597" s="56">
        <v>41263</v>
      </c>
      <c r="N597" s="29" t="s">
        <v>168</v>
      </c>
      <c r="O597" s="28" t="s">
        <v>6500</v>
      </c>
      <c r="P597" s="32">
        <v>7108</v>
      </c>
      <c r="Q597" s="56">
        <v>41389</v>
      </c>
      <c r="R597" s="160"/>
      <c r="S597" s="160"/>
      <c r="T597" s="160"/>
      <c r="U597" s="160"/>
      <c r="V597" s="160"/>
      <c r="W597" s="160"/>
      <c r="X597" s="160"/>
      <c r="Y597" s="160"/>
      <c r="Z597" s="160"/>
      <c r="AA597" s="160"/>
      <c r="AB597" s="160"/>
      <c r="AC597" s="160"/>
      <c r="AD597" s="160"/>
      <c r="AE597" s="160"/>
      <c r="AF597" s="160"/>
      <c r="AG597" s="160"/>
    </row>
    <row r="598" spans="1:33" ht="12" customHeight="1">
      <c r="A598" s="25">
        <v>41264</v>
      </c>
      <c r="B598" s="225" t="s">
        <v>1981</v>
      </c>
      <c r="C598" s="219" t="s">
        <v>162</v>
      </c>
      <c r="D598" s="1" t="s">
        <v>1213</v>
      </c>
      <c r="E598" s="196" t="s">
        <v>178</v>
      </c>
      <c r="F598" s="180">
        <v>200</v>
      </c>
      <c r="G598" s="180" t="s">
        <v>172</v>
      </c>
      <c r="H598" s="31">
        <v>12.5</v>
      </c>
      <c r="I598" s="27">
        <f>F598*H598</f>
        <v>2500</v>
      </c>
      <c r="J598" s="28" t="s">
        <v>167</v>
      </c>
      <c r="K598" s="25">
        <v>41270</v>
      </c>
      <c r="M598" s="56">
        <v>41264</v>
      </c>
      <c r="N598" s="29" t="s">
        <v>166</v>
      </c>
      <c r="O598" s="28" t="s">
        <v>1689</v>
      </c>
      <c r="P598" s="32">
        <v>2632</v>
      </c>
      <c r="Q598" s="56">
        <v>41279</v>
      </c>
      <c r="R598" s="180"/>
      <c r="S598" s="180"/>
      <c r="T598" s="180"/>
      <c r="U598" s="180"/>
      <c r="V598" s="180"/>
      <c r="W598" s="180"/>
      <c r="X598" s="180"/>
      <c r="Y598" s="180"/>
      <c r="Z598" s="180"/>
      <c r="AA598" s="180"/>
      <c r="AB598" s="180"/>
      <c r="AC598" s="180"/>
      <c r="AD598" s="180"/>
      <c r="AE598" s="180"/>
      <c r="AF598" s="180"/>
      <c r="AG598" s="180"/>
    </row>
    <row r="599" spans="1:33" ht="12" customHeight="1">
      <c r="A599" s="25">
        <v>41264</v>
      </c>
      <c r="B599" s="225" t="s">
        <v>1981</v>
      </c>
      <c r="C599" s="219" t="s">
        <v>162</v>
      </c>
      <c r="D599" s="225" t="s">
        <v>1953</v>
      </c>
      <c r="E599" s="196">
        <v>4515</v>
      </c>
      <c r="F599" s="180">
        <v>10</v>
      </c>
      <c r="G599" s="180" t="s">
        <v>174</v>
      </c>
      <c r="H599" s="31">
        <v>13.2</v>
      </c>
      <c r="I599" s="27">
        <f>F599*H599</f>
        <v>132</v>
      </c>
      <c r="J599" s="28" t="s">
        <v>167</v>
      </c>
      <c r="K599" s="25">
        <v>41270</v>
      </c>
      <c r="M599" s="56">
        <v>41264</v>
      </c>
      <c r="N599" s="29" t="s">
        <v>166</v>
      </c>
      <c r="O599" s="28" t="s">
        <v>1689</v>
      </c>
      <c r="P599" s="32">
        <v>2632</v>
      </c>
      <c r="Q599" s="56">
        <v>41279</v>
      </c>
      <c r="R599" s="180"/>
      <c r="S599" s="180"/>
      <c r="T599" s="180"/>
      <c r="U599" s="180"/>
      <c r="V599" s="180"/>
      <c r="W599" s="180"/>
      <c r="X599" s="180"/>
      <c r="Y599" s="180"/>
      <c r="Z599" s="180"/>
      <c r="AA599" s="180"/>
      <c r="AB599" s="180"/>
      <c r="AC599" s="180"/>
      <c r="AD599" s="180"/>
      <c r="AE599" s="180"/>
      <c r="AF599" s="180"/>
      <c r="AG599" s="180"/>
    </row>
    <row r="600" spans="1:33" ht="12" customHeight="1">
      <c r="A600" s="25">
        <v>41264</v>
      </c>
      <c r="B600" s="225" t="s">
        <v>1985</v>
      </c>
      <c r="C600" s="219" t="s">
        <v>162</v>
      </c>
      <c r="D600" s="225" t="s">
        <v>1874</v>
      </c>
      <c r="E600" s="225" t="s">
        <v>1862</v>
      </c>
      <c r="F600" s="188">
        <v>100</v>
      </c>
      <c r="G600" s="188" t="s">
        <v>171</v>
      </c>
      <c r="H600" s="31">
        <v>8.7200000000000006</v>
      </c>
      <c r="I600" s="27">
        <f>H600*F600</f>
        <v>872.00000000000011</v>
      </c>
      <c r="J600" s="28" t="s">
        <v>1692</v>
      </c>
      <c r="K600" s="25">
        <v>41271</v>
      </c>
      <c r="M600" s="56">
        <v>41267</v>
      </c>
      <c r="N600" s="29" t="s">
        <v>166</v>
      </c>
      <c r="O600" s="28" t="s">
        <v>1825</v>
      </c>
      <c r="P600" s="32">
        <v>27144</v>
      </c>
      <c r="Q600" s="56">
        <v>41297</v>
      </c>
      <c r="R600" s="188"/>
      <c r="S600" s="188"/>
      <c r="T600" s="188"/>
      <c r="U600" s="188"/>
      <c r="V600" s="188"/>
      <c r="W600" s="188"/>
      <c r="X600" s="188"/>
      <c r="Y600" s="188"/>
      <c r="Z600" s="188"/>
      <c r="AA600" s="188"/>
      <c r="AB600" s="188"/>
      <c r="AC600" s="188"/>
      <c r="AD600" s="188"/>
      <c r="AE600" s="188"/>
      <c r="AF600" s="188"/>
      <c r="AG600" s="188"/>
    </row>
    <row r="601" spans="1:33" ht="12" customHeight="1">
      <c r="A601" s="25">
        <v>41264</v>
      </c>
      <c r="B601" s="225" t="s">
        <v>1975</v>
      </c>
      <c r="C601" s="219" t="s">
        <v>162</v>
      </c>
      <c r="D601" s="225" t="s">
        <v>1946</v>
      </c>
      <c r="E601" s="28">
        <v>4620</v>
      </c>
      <c r="F601" s="161">
        <v>10</v>
      </c>
      <c r="G601" s="161" t="s">
        <v>174</v>
      </c>
      <c r="H601" s="31">
        <v>17.79</v>
      </c>
      <c r="I601" s="27">
        <f>F601*H601</f>
        <v>177.89999999999998</v>
      </c>
      <c r="J601" s="28" t="s">
        <v>1575</v>
      </c>
      <c r="K601" s="25">
        <v>41264</v>
      </c>
      <c r="M601" s="56">
        <v>41288</v>
      </c>
      <c r="N601" s="29" t="s">
        <v>166</v>
      </c>
      <c r="O601" s="28" t="s">
        <v>5296</v>
      </c>
      <c r="P601" s="32">
        <v>52934.25</v>
      </c>
      <c r="Q601" s="56">
        <v>41333</v>
      </c>
      <c r="R601" s="161"/>
      <c r="S601" s="161"/>
      <c r="T601" s="161"/>
      <c r="U601" s="161"/>
      <c r="V601" s="161"/>
      <c r="W601" s="161"/>
      <c r="X601" s="161"/>
      <c r="Y601" s="161"/>
      <c r="Z601" s="161"/>
      <c r="AA601" s="161"/>
      <c r="AB601" s="161"/>
      <c r="AC601" s="161"/>
      <c r="AD601" s="161"/>
      <c r="AE601" s="161"/>
      <c r="AF601" s="161"/>
      <c r="AG601" s="161"/>
    </row>
    <row r="602" spans="1:33" ht="12" customHeight="1">
      <c r="A602" s="25">
        <v>41264</v>
      </c>
      <c r="B602" s="228" t="s">
        <v>1996</v>
      </c>
      <c r="C602" s="219" t="s">
        <v>162</v>
      </c>
      <c r="D602" s="5" t="s">
        <v>1954</v>
      </c>
      <c r="E602" s="196" t="s">
        <v>1528</v>
      </c>
      <c r="F602" s="131">
        <v>200</v>
      </c>
      <c r="G602" s="161" t="s">
        <v>172</v>
      </c>
      <c r="H602" s="31">
        <v>10</v>
      </c>
      <c r="I602" s="27">
        <f>F602*H602</f>
        <v>2000</v>
      </c>
      <c r="J602" s="28" t="s">
        <v>167</v>
      </c>
      <c r="K602" s="25">
        <v>41264</v>
      </c>
      <c r="M602" s="56">
        <v>41261</v>
      </c>
      <c r="N602" s="29" t="s">
        <v>166</v>
      </c>
      <c r="O602" s="28" t="s">
        <v>1705</v>
      </c>
      <c r="P602" s="32">
        <v>16445.5</v>
      </c>
      <c r="Q602" s="56">
        <v>41284</v>
      </c>
      <c r="S602" s="189" t="s">
        <v>1706</v>
      </c>
    </row>
    <row r="603" spans="1:33" ht="12" customHeight="1">
      <c r="A603" s="25">
        <v>41267</v>
      </c>
      <c r="B603" s="225" t="s">
        <v>1975</v>
      </c>
      <c r="C603" s="219" t="s">
        <v>162</v>
      </c>
      <c r="D603" s="225" t="s">
        <v>1931</v>
      </c>
      <c r="E603" s="28">
        <v>3700</v>
      </c>
      <c r="F603" s="178">
        <v>100</v>
      </c>
      <c r="G603" s="178" t="s">
        <v>684</v>
      </c>
      <c r="H603" s="31">
        <v>3.09</v>
      </c>
      <c r="I603" s="27">
        <f>H603*F603</f>
        <v>309</v>
      </c>
      <c r="J603" s="28" t="s">
        <v>1588</v>
      </c>
      <c r="K603" s="25">
        <v>41267</v>
      </c>
      <c r="M603" s="56">
        <v>41288</v>
      </c>
      <c r="N603" s="29" t="s">
        <v>166</v>
      </c>
      <c r="O603" s="28" t="s">
        <v>5296</v>
      </c>
      <c r="P603" s="32">
        <v>52934.25</v>
      </c>
      <c r="Q603" s="56">
        <v>41333</v>
      </c>
      <c r="R603" s="178"/>
      <c r="S603" s="178"/>
      <c r="T603" s="178"/>
      <c r="U603" s="178"/>
      <c r="V603" s="178"/>
      <c r="W603" s="178"/>
      <c r="X603" s="178"/>
      <c r="Y603" s="178"/>
      <c r="Z603" s="178"/>
      <c r="AA603" s="178"/>
      <c r="AB603" s="178"/>
      <c r="AC603" s="178"/>
      <c r="AD603" s="178"/>
      <c r="AE603" s="178"/>
      <c r="AF603" s="178"/>
      <c r="AG603" s="178"/>
    </row>
    <row r="604" spans="1:33" ht="12" customHeight="1">
      <c r="A604" s="25">
        <v>41268</v>
      </c>
      <c r="B604" s="225" t="s">
        <v>1977</v>
      </c>
      <c r="C604" s="219" t="s">
        <v>164</v>
      </c>
      <c r="D604" s="225" t="s">
        <v>287</v>
      </c>
      <c r="E604" s="196">
        <v>10434</v>
      </c>
      <c r="F604" s="131">
        <v>100</v>
      </c>
      <c r="G604" s="178" t="s">
        <v>1587</v>
      </c>
      <c r="H604" s="31">
        <v>13.8</v>
      </c>
      <c r="I604" s="27">
        <f t="shared" ref="I604:I615" si="20">F604*H604</f>
        <v>1380</v>
      </c>
      <c r="J604" s="28" t="s">
        <v>1585</v>
      </c>
      <c r="K604" s="25">
        <v>41268</v>
      </c>
      <c r="M604" s="56">
        <v>41268</v>
      </c>
      <c r="N604" s="29" t="s">
        <v>1584</v>
      </c>
      <c r="O604" s="28" t="s">
        <v>1586</v>
      </c>
      <c r="P604" s="32">
        <v>3090.5</v>
      </c>
      <c r="Q604" s="56">
        <v>41268</v>
      </c>
    </row>
    <row r="605" spans="1:33" ht="12" customHeight="1">
      <c r="A605" s="25">
        <v>41268</v>
      </c>
      <c r="B605" s="225" t="s">
        <v>1975</v>
      </c>
      <c r="C605" s="219" t="s">
        <v>162</v>
      </c>
      <c r="D605" s="225" t="s">
        <v>305</v>
      </c>
      <c r="E605" s="28">
        <v>1270</v>
      </c>
      <c r="F605" s="131">
        <v>20</v>
      </c>
      <c r="G605" s="190" t="s">
        <v>239</v>
      </c>
      <c r="H605" s="31">
        <v>4.3099999999999996</v>
      </c>
      <c r="I605" s="27">
        <f t="shared" si="20"/>
        <v>86.199999999999989</v>
      </c>
      <c r="J605" s="28" t="s">
        <v>1589</v>
      </c>
      <c r="K605" s="25">
        <v>41268</v>
      </c>
      <c r="M605" s="56">
        <v>41288</v>
      </c>
      <c r="N605" s="29" t="s">
        <v>166</v>
      </c>
      <c r="O605" s="28" t="s">
        <v>5296</v>
      </c>
      <c r="P605" s="32">
        <v>52934.25</v>
      </c>
      <c r="Q605" s="56">
        <v>41333</v>
      </c>
    </row>
    <row r="606" spans="1:33" ht="12" customHeight="1">
      <c r="A606" s="25">
        <v>41268</v>
      </c>
      <c r="B606" s="225" t="s">
        <v>1979</v>
      </c>
      <c r="C606" s="219" t="s">
        <v>162</v>
      </c>
      <c r="D606" s="225" t="s">
        <v>1955</v>
      </c>
      <c r="E606" s="196" t="s">
        <v>167</v>
      </c>
      <c r="F606" s="131">
        <v>1</v>
      </c>
      <c r="G606" s="178" t="s">
        <v>1590</v>
      </c>
      <c r="H606" s="31">
        <v>7</v>
      </c>
      <c r="I606" s="27">
        <f t="shared" si="20"/>
        <v>7</v>
      </c>
      <c r="J606" s="28" t="s">
        <v>1591</v>
      </c>
      <c r="K606" s="25">
        <v>41268</v>
      </c>
      <c r="M606" s="56" t="s">
        <v>1746</v>
      </c>
      <c r="N606" s="56" t="s">
        <v>1564</v>
      </c>
      <c r="O606" s="28" t="s">
        <v>1564</v>
      </c>
      <c r="R606" s="180"/>
    </row>
    <row r="607" spans="1:33" ht="12" customHeight="1">
      <c r="A607" s="25">
        <v>41268</v>
      </c>
      <c r="B607" s="225" t="s">
        <v>1979</v>
      </c>
      <c r="C607" s="219" t="s">
        <v>162</v>
      </c>
      <c r="D607" s="225" t="s">
        <v>1956</v>
      </c>
      <c r="E607" s="196" t="s">
        <v>167</v>
      </c>
      <c r="F607" s="131">
        <v>1</v>
      </c>
      <c r="G607" s="178" t="s">
        <v>1590</v>
      </c>
      <c r="H607" s="31">
        <v>3.5</v>
      </c>
      <c r="I607" s="27">
        <f t="shared" si="20"/>
        <v>3.5</v>
      </c>
      <c r="J607" s="28" t="s">
        <v>1591</v>
      </c>
      <c r="K607" s="25">
        <v>41268</v>
      </c>
      <c r="M607" s="56" t="s">
        <v>1746</v>
      </c>
      <c r="N607" s="56" t="s">
        <v>1564</v>
      </c>
      <c r="O607" s="28" t="s">
        <v>1564</v>
      </c>
      <c r="R607" s="180"/>
    </row>
    <row r="608" spans="1:33" ht="12" customHeight="1">
      <c r="A608" s="25">
        <v>41268</v>
      </c>
      <c r="B608" s="225" t="s">
        <v>1979</v>
      </c>
      <c r="C608" s="219" t="s">
        <v>162</v>
      </c>
      <c r="D608" s="225" t="s">
        <v>1957</v>
      </c>
      <c r="E608" s="196" t="s">
        <v>167</v>
      </c>
      <c r="F608" s="131">
        <v>1</v>
      </c>
      <c r="G608" s="178" t="s">
        <v>1590</v>
      </c>
      <c r="H608" s="31">
        <v>3.5</v>
      </c>
      <c r="I608" s="27">
        <f t="shared" si="20"/>
        <v>3.5</v>
      </c>
      <c r="J608" s="28" t="s">
        <v>1591</v>
      </c>
      <c r="K608" s="25">
        <v>41268</v>
      </c>
      <c r="M608" s="56" t="s">
        <v>1746</v>
      </c>
      <c r="N608" s="56" t="s">
        <v>1564</v>
      </c>
      <c r="O608" s="28" t="s">
        <v>1564</v>
      </c>
      <c r="R608" s="180"/>
    </row>
    <row r="609" spans="1:33" ht="12" customHeight="1">
      <c r="A609" s="25">
        <v>41268</v>
      </c>
      <c r="B609" s="225" t="s">
        <v>1979</v>
      </c>
      <c r="C609" s="219" t="s">
        <v>162</v>
      </c>
      <c r="D609" s="225" t="s">
        <v>1958</v>
      </c>
      <c r="E609" s="196" t="s">
        <v>167</v>
      </c>
      <c r="F609" s="185">
        <v>1</v>
      </c>
      <c r="G609" s="185" t="s">
        <v>1071</v>
      </c>
      <c r="H609" s="31">
        <v>1.9</v>
      </c>
      <c r="I609" s="27">
        <f t="shared" si="20"/>
        <v>1.9</v>
      </c>
      <c r="J609" s="28" t="s">
        <v>1591</v>
      </c>
      <c r="K609" s="25">
        <v>41268</v>
      </c>
      <c r="M609" s="56" t="s">
        <v>1746</v>
      </c>
      <c r="N609" s="56" t="s">
        <v>1564</v>
      </c>
      <c r="O609" s="28" t="s">
        <v>1564</v>
      </c>
      <c r="R609" s="185"/>
      <c r="S609" s="185"/>
      <c r="T609" s="185"/>
      <c r="U609" s="185"/>
      <c r="V609" s="185"/>
      <c r="W609" s="185"/>
      <c r="X609" s="185"/>
      <c r="Y609" s="185"/>
      <c r="Z609" s="185"/>
      <c r="AA609" s="185"/>
      <c r="AB609" s="185"/>
      <c r="AC609" s="185"/>
      <c r="AD609" s="185"/>
      <c r="AE609" s="185"/>
      <c r="AF609" s="185"/>
      <c r="AG609" s="185"/>
    </row>
    <row r="610" spans="1:33" ht="12" customHeight="1">
      <c r="A610" s="25">
        <v>41268</v>
      </c>
      <c r="B610" s="225" t="s">
        <v>1979</v>
      </c>
      <c r="C610" s="219" t="s">
        <v>162</v>
      </c>
      <c r="D610" s="225" t="s">
        <v>1959</v>
      </c>
      <c r="E610" s="196" t="s">
        <v>167</v>
      </c>
      <c r="F610" s="185">
        <v>1</v>
      </c>
      <c r="G610" s="185" t="s">
        <v>1071</v>
      </c>
      <c r="H610" s="31">
        <v>4.5</v>
      </c>
      <c r="I610" s="27">
        <f t="shared" si="20"/>
        <v>4.5</v>
      </c>
      <c r="J610" s="28" t="s">
        <v>1591</v>
      </c>
      <c r="K610" s="25">
        <v>41268</v>
      </c>
      <c r="M610" s="56" t="s">
        <v>1746</v>
      </c>
      <c r="N610" s="56" t="s">
        <v>1564</v>
      </c>
      <c r="O610" s="28" t="s">
        <v>1564</v>
      </c>
      <c r="R610" s="185"/>
      <c r="S610" s="185"/>
      <c r="T610" s="185"/>
      <c r="U610" s="185"/>
      <c r="V610" s="185"/>
      <c r="W610" s="185"/>
      <c r="X610" s="185"/>
      <c r="Y610" s="185"/>
      <c r="Z610" s="185"/>
      <c r="AA610" s="185"/>
      <c r="AB610" s="185"/>
      <c r="AC610" s="185"/>
      <c r="AD610" s="185"/>
      <c r="AE610" s="185"/>
      <c r="AF610" s="185"/>
      <c r="AG610" s="185"/>
    </row>
    <row r="611" spans="1:33" ht="12" customHeight="1">
      <c r="A611" s="25">
        <v>41288</v>
      </c>
      <c r="B611" s="225" t="s">
        <v>1979</v>
      </c>
      <c r="C611" s="219" t="s">
        <v>162</v>
      </c>
      <c r="D611" s="225" t="s">
        <v>1748</v>
      </c>
      <c r="E611" s="196" t="s">
        <v>167</v>
      </c>
      <c r="F611" s="193">
        <v>-5</v>
      </c>
      <c r="G611" s="193" t="s">
        <v>1071</v>
      </c>
      <c r="H611" s="31">
        <v>4.08</v>
      </c>
      <c r="I611" s="27">
        <f t="shared" si="20"/>
        <v>-20.399999999999999</v>
      </c>
      <c r="J611" s="28" t="s">
        <v>5178</v>
      </c>
      <c r="K611" s="25" t="s">
        <v>5178</v>
      </c>
      <c r="M611" s="56" t="s">
        <v>1564</v>
      </c>
      <c r="N611" s="56" t="s">
        <v>1564</v>
      </c>
      <c r="O611" s="28" t="s">
        <v>1564</v>
      </c>
      <c r="R611" s="193"/>
      <c r="S611" s="193"/>
      <c r="T611" s="193"/>
      <c r="U611" s="193"/>
      <c r="V611" s="193"/>
      <c r="W611" s="193"/>
      <c r="X611" s="193"/>
      <c r="Y611" s="193"/>
      <c r="Z611" s="193"/>
      <c r="AA611" s="193"/>
      <c r="AB611" s="193"/>
      <c r="AC611" s="193"/>
      <c r="AD611" s="193"/>
      <c r="AE611" s="193"/>
      <c r="AF611" s="193"/>
      <c r="AG611" s="193"/>
    </row>
    <row r="612" spans="1:33" ht="12" customHeight="1">
      <c r="A612" s="25">
        <v>41268</v>
      </c>
      <c r="B612" s="225" t="s">
        <v>1982</v>
      </c>
      <c r="C612" s="219" t="s">
        <v>162</v>
      </c>
      <c r="D612" s="225" t="s">
        <v>1888</v>
      </c>
      <c r="E612" s="196" t="s">
        <v>1560</v>
      </c>
      <c r="F612" s="185">
        <v>3300</v>
      </c>
      <c r="G612" s="185" t="s">
        <v>192</v>
      </c>
      <c r="H612" s="31">
        <v>27.143999999999998</v>
      </c>
      <c r="I612" s="27">
        <f t="shared" si="20"/>
        <v>89575.2</v>
      </c>
      <c r="J612" s="28" t="s">
        <v>167</v>
      </c>
      <c r="K612" s="25">
        <v>41280</v>
      </c>
      <c r="M612" s="56">
        <v>41268</v>
      </c>
      <c r="N612" s="29" t="s">
        <v>166</v>
      </c>
      <c r="O612" s="28" t="s">
        <v>1631</v>
      </c>
      <c r="P612" s="32">
        <v>89575.2</v>
      </c>
      <c r="Q612" s="56">
        <v>41278</v>
      </c>
      <c r="R612" s="185"/>
      <c r="S612" s="185"/>
      <c r="T612" s="185"/>
      <c r="U612" s="185"/>
      <c r="V612" s="185"/>
      <c r="W612" s="185"/>
      <c r="X612" s="185"/>
      <c r="Y612" s="185"/>
      <c r="Z612" s="185"/>
      <c r="AA612" s="185"/>
      <c r="AB612" s="185"/>
      <c r="AC612" s="185"/>
      <c r="AD612" s="185"/>
      <c r="AE612" s="185"/>
      <c r="AF612" s="185"/>
      <c r="AG612" s="185"/>
    </row>
    <row r="613" spans="1:33" ht="12" customHeight="1">
      <c r="A613" s="25">
        <v>41268</v>
      </c>
      <c r="B613" s="225" t="s">
        <v>1982</v>
      </c>
      <c r="C613" s="219" t="s">
        <v>162</v>
      </c>
      <c r="D613" s="225" t="s">
        <v>1889</v>
      </c>
      <c r="E613" s="196" t="s">
        <v>1567</v>
      </c>
      <c r="F613" s="185">
        <v>100</v>
      </c>
      <c r="G613" s="185" t="s">
        <v>192</v>
      </c>
      <c r="H613" s="31">
        <v>34.866</v>
      </c>
      <c r="I613" s="27">
        <f t="shared" si="20"/>
        <v>3486.6</v>
      </c>
      <c r="J613" s="28" t="s">
        <v>167</v>
      </c>
      <c r="K613" s="25">
        <v>41280</v>
      </c>
      <c r="M613" s="56">
        <v>41268</v>
      </c>
      <c r="N613" s="29" t="s">
        <v>166</v>
      </c>
      <c r="O613" s="28" t="s">
        <v>1697</v>
      </c>
      <c r="P613" s="32">
        <v>3486</v>
      </c>
      <c r="Q613" s="56">
        <v>41283</v>
      </c>
      <c r="R613" s="185"/>
      <c r="S613" s="185"/>
      <c r="T613" s="185"/>
      <c r="U613" s="185"/>
      <c r="V613" s="185"/>
      <c r="W613" s="185"/>
      <c r="X613" s="185"/>
      <c r="Y613" s="185"/>
      <c r="Z613" s="185"/>
      <c r="AA613" s="185"/>
      <c r="AB613" s="185"/>
      <c r="AC613" s="185"/>
      <c r="AD613" s="185"/>
      <c r="AE613" s="185"/>
      <c r="AF613" s="185"/>
      <c r="AG613" s="185"/>
    </row>
    <row r="614" spans="1:33" ht="12" customHeight="1">
      <c r="A614" s="25">
        <v>41268</v>
      </c>
      <c r="B614" s="225" t="s">
        <v>1980</v>
      </c>
      <c r="C614" s="219" t="s">
        <v>162</v>
      </c>
      <c r="D614" s="225" t="s">
        <v>1934</v>
      </c>
      <c r="E614" s="196">
        <v>1110</v>
      </c>
      <c r="F614" s="185">
        <v>2500</v>
      </c>
      <c r="G614" s="185" t="s">
        <v>172</v>
      </c>
      <c r="H614" s="31">
        <v>0.73</v>
      </c>
      <c r="I614" s="27">
        <f t="shared" si="20"/>
        <v>1825</v>
      </c>
      <c r="J614" s="28" t="s">
        <v>167</v>
      </c>
      <c r="K614" s="25">
        <v>41268</v>
      </c>
      <c r="M614" s="56">
        <v>41268</v>
      </c>
      <c r="N614" s="29" t="s">
        <v>688</v>
      </c>
      <c r="O614" s="28" t="s">
        <v>1592</v>
      </c>
      <c r="R614" s="185"/>
      <c r="S614" s="185"/>
      <c r="T614" s="185"/>
      <c r="U614" s="185"/>
      <c r="V614" s="185"/>
      <c r="W614" s="185"/>
      <c r="X614" s="185"/>
      <c r="Y614" s="185"/>
      <c r="Z614" s="185"/>
      <c r="AA614" s="185"/>
      <c r="AB614" s="185"/>
      <c r="AC614" s="185"/>
      <c r="AD614" s="185"/>
      <c r="AE614" s="185"/>
      <c r="AF614" s="185"/>
      <c r="AG614" s="185"/>
    </row>
    <row r="615" spans="1:33" ht="12" customHeight="1">
      <c r="A615" s="25">
        <v>41268</v>
      </c>
      <c r="B615" s="225" t="s">
        <v>1980</v>
      </c>
      <c r="C615" s="219" t="s">
        <v>162</v>
      </c>
      <c r="D615" s="225" t="s">
        <v>1874</v>
      </c>
      <c r="E615" s="196" t="s">
        <v>194</v>
      </c>
      <c r="F615" s="185">
        <v>200</v>
      </c>
      <c r="G615" s="194" t="s">
        <v>231</v>
      </c>
      <c r="H615" s="31">
        <v>4.7699999999999996</v>
      </c>
      <c r="I615" s="27">
        <f t="shared" si="20"/>
        <v>953.99999999999989</v>
      </c>
      <c r="J615" s="28" t="s">
        <v>167</v>
      </c>
      <c r="K615" s="25">
        <v>41268</v>
      </c>
      <c r="M615" s="56">
        <v>41268</v>
      </c>
      <c r="N615" s="29" t="s">
        <v>688</v>
      </c>
      <c r="O615" s="28" t="s">
        <v>1824</v>
      </c>
      <c r="P615" s="32">
        <v>51133</v>
      </c>
      <c r="Q615" s="56">
        <v>41296</v>
      </c>
      <c r="R615" s="185"/>
      <c r="S615" s="185"/>
      <c r="T615" s="185"/>
      <c r="U615" s="185"/>
      <c r="V615" s="185"/>
      <c r="W615" s="185"/>
      <c r="X615" s="185"/>
      <c r="Y615" s="185"/>
      <c r="Z615" s="185"/>
      <c r="AA615" s="185"/>
      <c r="AB615" s="185"/>
      <c r="AC615" s="185"/>
      <c r="AD615" s="185"/>
      <c r="AE615" s="185"/>
      <c r="AF615" s="185"/>
      <c r="AG615" s="185"/>
    </row>
    <row r="616" spans="1:33" ht="12" customHeight="1">
      <c r="A616" s="25">
        <v>41268</v>
      </c>
      <c r="B616" s="225" t="s">
        <v>1982</v>
      </c>
      <c r="C616" s="219" t="s">
        <v>162</v>
      </c>
      <c r="D616" s="225" t="s">
        <v>1940</v>
      </c>
      <c r="E616" s="196" t="s">
        <v>1632</v>
      </c>
      <c r="F616" s="185">
        <v>800</v>
      </c>
      <c r="G616" s="185" t="s">
        <v>192</v>
      </c>
      <c r="H616" s="31">
        <v>48.555</v>
      </c>
      <c r="I616" s="27">
        <f t="shared" ref="I616:I636" si="21">H616*F616</f>
        <v>38844</v>
      </c>
      <c r="J616" s="28" t="s">
        <v>167</v>
      </c>
      <c r="K616" s="25">
        <v>41280</v>
      </c>
      <c r="M616" s="56">
        <v>41269</v>
      </c>
      <c r="N616" s="29" t="s">
        <v>166</v>
      </c>
      <c r="O616" s="28" t="s">
        <v>1698</v>
      </c>
      <c r="P616" s="32" t="s">
        <v>1699</v>
      </c>
      <c r="Q616" s="56">
        <v>41283</v>
      </c>
      <c r="R616" s="185"/>
      <c r="S616" s="185"/>
      <c r="T616" s="185"/>
      <c r="U616" s="185"/>
      <c r="V616" s="185"/>
      <c r="W616" s="185"/>
      <c r="X616" s="185"/>
      <c r="Y616" s="185"/>
      <c r="Z616" s="185"/>
      <c r="AA616" s="185"/>
      <c r="AB616" s="185"/>
      <c r="AC616" s="185"/>
      <c r="AD616" s="185"/>
      <c r="AE616" s="185"/>
      <c r="AF616" s="185"/>
      <c r="AG616" s="185"/>
    </row>
    <row r="617" spans="1:33" ht="12" customHeight="1">
      <c r="A617" s="25">
        <v>41269</v>
      </c>
      <c r="B617" s="225" t="s">
        <v>1993</v>
      </c>
      <c r="C617" s="219" t="s">
        <v>162</v>
      </c>
      <c r="D617" s="225" t="s">
        <v>1914</v>
      </c>
      <c r="E617" s="196">
        <v>82518</v>
      </c>
      <c r="F617" s="185">
        <v>12</v>
      </c>
      <c r="G617" s="185" t="s">
        <v>171</v>
      </c>
      <c r="H617" s="31">
        <v>127</v>
      </c>
      <c r="I617" s="27">
        <f t="shared" si="21"/>
        <v>1524</v>
      </c>
      <c r="J617" s="28" t="s">
        <v>167</v>
      </c>
      <c r="K617" s="25">
        <v>41270</v>
      </c>
      <c r="M617" s="56">
        <v>41269</v>
      </c>
      <c r="N617" s="29" t="s">
        <v>166</v>
      </c>
      <c r="O617" s="28" t="s">
        <v>1601</v>
      </c>
      <c r="P617" s="32">
        <v>1524</v>
      </c>
      <c r="Q617" s="56">
        <v>41270</v>
      </c>
      <c r="R617" s="185"/>
      <c r="S617" s="185"/>
      <c r="T617" s="185"/>
      <c r="U617" s="185"/>
      <c r="V617" s="185"/>
      <c r="W617" s="185"/>
      <c r="X617" s="185"/>
      <c r="Y617" s="185"/>
      <c r="Z617" s="185"/>
      <c r="AA617" s="185"/>
      <c r="AB617" s="185"/>
      <c r="AC617" s="185"/>
      <c r="AD617" s="185"/>
      <c r="AE617" s="185"/>
      <c r="AF617" s="185"/>
      <c r="AG617" s="185"/>
    </row>
    <row r="618" spans="1:33" ht="12" customHeight="1">
      <c r="A618" s="25">
        <v>41269</v>
      </c>
      <c r="B618" s="225" t="s">
        <v>1996</v>
      </c>
      <c r="C618" s="219" t="s">
        <v>162</v>
      </c>
      <c r="D618" s="225" t="s">
        <v>1960</v>
      </c>
      <c r="E618" s="196">
        <v>1426</v>
      </c>
      <c r="F618" s="185">
        <v>30</v>
      </c>
      <c r="G618" s="185" t="s">
        <v>172</v>
      </c>
      <c r="H618" s="31">
        <v>19.8</v>
      </c>
      <c r="I618" s="27">
        <f t="shared" si="21"/>
        <v>594</v>
      </c>
      <c r="J618" s="28" t="s">
        <v>167</v>
      </c>
      <c r="K618" s="25">
        <v>41274</v>
      </c>
      <c r="M618" s="56">
        <v>41269</v>
      </c>
      <c r="N618" s="29" t="s">
        <v>166</v>
      </c>
      <c r="O618" s="28" t="s">
        <v>1705</v>
      </c>
      <c r="P618" s="32">
        <v>16445.5</v>
      </c>
      <c r="Q618" s="56">
        <v>41284</v>
      </c>
      <c r="R618" s="185"/>
      <c r="S618" s="189" t="s">
        <v>1706</v>
      </c>
      <c r="T618" s="185"/>
      <c r="U618" s="185"/>
      <c r="V618" s="185"/>
      <c r="W618" s="185"/>
      <c r="X618" s="185"/>
      <c r="Y618" s="185"/>
      <c r="Z618" s="185"/>
      <c r="AA618" s="185"/>
      <c r="AB618" s="185"/>
      <c r="AC618" s="185"/>
      <c r="AD618" s="185"/>
      <c r="AE618" s="185"/>
      <c r="AF618" s="185"/>
      <c r="AG618" s="185"/>
    </row>
    <row r="619" spans="1:33" ht="12" customHeight="1">
      <c r="A619" s="25">
        <v>41269</v>
      </c>
      <c r="B619" s="225" t="s">
        <v>1996</v>
      </c>
      <c r="C619" s="219" t="s">
        <v>162</v>
      </c>
      <c r="D619" s="225" t="s">
        <v>1919</v>
      </c>
      <c r="E619" s="196">
        <v>8577</v>
      </c>
      <c r="F619" s="185">
        <v>170</v>
      </c>
      <c r="G619" s="185" t="s">
        <v>171</v>
      </c>
      <c r="H619" s="31">
        <v>28.3</v>
      </c>
      <c r="I619" s="27">
        <f t="shared" si="21"/>
        <v>4811</v>
      </c>
      <c r="J619" s="28" t="s">
        <v>167</v>
      </c>
      <c r="K619" s="25">
        <v>41274</v>
      </c>
      <c r="M619" s="56">
        <v>41269</v>
      </c>
      <c r="N619" s="29" t="s">
        <v>166</v>
      </c>
      <c r="O619" s="28" t="s">
        <v>1705</v>
      </c>
      <c r="P619" s="32">
        <v>16445.5</v>
      </c>
      <c r="Q619" s="56">
        <v>41284</v>
      </c>
      <c r="R619" s="185"/>
      <c r="S619" s="189" t="s">
        <v>1706</v>
      </c>
      <c r="T619" s="185"/>
      <c r="U619" s="185"/>
      <c r="V619" s="185"/>
      <c r="W619" s="185"/>
      <c r="X619" s="185"/>
      <c r="Y619" s="185"/>
      <c r="Z619" s="185"/>
      <c r="AA619" s="185"/>
      <c r="AB619" s="185"/>
      <c r="AC619" s="185"/>
      <c r="AD619" s="185"/>
      <c r="AE619" s="185"/>
      <c r="AF619" s="185"/>
      <c r="AG619" s="185"/>
    </row>
    <row r="620" spans="1:33" ht="12" customHeight="1">
      <c r="A620" s="25">
        <v>41269</v>
      </c>
      <c r="B620" s="225" t="s">
        <v>1996</v>
      </c>
      <c r="C620" s="219" t="s">
        <v>162</v>
      </c>
      <c r="D620" s="5" t="s">
        <v>1897</v>
      </c>
      <c r="E620" s="196" t="s">
        <v>16</v>
      </c>
      <c r="F620" s="185">
        <v>600</v>
      </c>
      <c r="G620" s="190" t="s">
        <v>172</v>
      </c>
      <c r="H620" s="31">
        <v>3.7</v>
      </c>
      <c r="I620" s="27">
        <f t="shared" si="21"/>
        <v>2220</v>
      </c>
      <c r="J620" s="28" t="s">
        <v>167</v>
      </c>
      <c r="K620" s="25">
        <v>41274</v>
      </c>
      <c r="M620" s="56">
        <v>41269</v>
      </c>
      <c r="N620" s="29" t="s">
        <v>166</v>
      </c>
      <c r="O620" s="28" t="s">
        <v>1705</v>
      </c>
      <c r="P620" s="32">
        <v>16445.5</v>
      </c>
      <c r="Q620" s="56">
        <v>41284</v>
      </c>
      <c r="R620" s="185"/>
      <c r="S620" s="189" t="s">
        <v>1706</v>
      </c>
      <c r="T620" s="185"/>
      <c r="U620" s="185"/>
      <c r="V620" s="185"/>
      <c r="W620" s="185"/>
      <c r="X620" s="185"/>
      <c r="Y620" s="185"/>
      <c r="Z620" s="185"/>
      <c r="AA620" s="185"/>
      <c r="AB620" s="185"/>
      <c r="AC620" s="185"/>
      <c r="AD620" s="185"/>
      <c r="AE620" s="185"/>
      <c r="AF620" s="185"/>
      <c r="AG620" s="185"/>
    </row>
    <row r="621" spans="1:33" ht="12" customHeight="1">
      <c r="A621" s="25">
        <v>41269</v>
      </c>
      <c r="B621" s="225" t="s">
        <v>1996</v>
      </c>
      <c r="C621" s="219" t="s">
        <v>1598</v>
      </c>
      <c r="D621" s="225" t="s">
        <v>1961</v>
      </c>
      <c r="E621" s="196" t="s">
        <v>1599</v>
      </c>
      <c r="F621" s="185">
        <v>2</v>
      </c>
      <c r="G621" s="185" t="s">
        <v>172</v>
      </c>
      <c r="H621" s="31">
        <v>468</v>
      </c>
      <c r="I621" s="27">
        <f t="shared" si="21"/>
        <v>936</v>
      </c>
      <c r="J621" s="28" t="s">
        <v>167</v>
      </c>
      <c r="K621" s="25">
        <v>41274</v>
      </c>
      <c r="M621" s="56">
        <v>41269</v>
      </c>
      <c r="N621" s="29" t="s">
        <v>166</v>
      </c>
      <c r="O621" s="28" t="s">
        <v>1705</v>
      </c>
      <c r="P621" s="32">
        <v>16445.5</v>
      </c>
      <c r="Q621" s="56">
        <v>41284</v>
      </c>
      <c r="R621" s="185"/>
      <c r="S621" s="189" t="s">
        <v>1706</v>
      </c>
      <c r="T621" s="185"/>
      <c r="U621" s="185"/>
      <c r="V621" s="185"/>
      <c r="W621" s="185"/>
      <c r="X621" s="185"/>
      <c r="Y621" s="185"/>
      <c r="Z621" s="185"/>
      <c r="AA621" s="185"/>
      <c r="AB621" s="185"/>
      <c r="AC621" s="185"/>
      <c r="AD621" s="185"/>
      <c r="AE621" s="185"/>
      <c r="AF621" s="185"/>
      <c r="AG621" s="185"/>
    </row>
    <row r="622" spans="1:33" ht="12" customHeight="1">
      <c r="A622" s="25">
        <v>41269</v>
      </c>
      <c r="B622" s="225" t="s">
        <v>1996</v>
      </c>
      <c r="C622" s="219" t="s">
        <v>162</v>
      </c>
      <c r="D622" s="225" t="s">
        <v>1877</v>
      </c>
      <c r="E622" s="196">
        <v>4680</v>
      </c>
      <c r="F622" s="185">
        <v>4</v>
      </c>
      <c r="G622" s="185" t="s">
        <v>174</v>
      </c>
      <c r="H622" s="31">
        <v>81.5</v>
      </c>
      <c r="I622" s="27">
        <f t="shared" si="21"/>
        <v>326</v>
      </c>
      <c r="J622" s="28" t="s">
        <v>167</v>
      </c>
      <c r="K622" s="25">
        <v>41274</v>
      </c>
      <c r="M622" s="56">
        <v>41269</v>
      </c>
      <c r="N622" s="29" t="s">
        <v>166</v>
      </c>
      <c r="O622" s="28" t="s">
        <v>1705</v>
      </c>
      <c r="P622" s="32">
        <v>16445.5</v>
      </c>
      <c r="Q622" s="56">
        <v>41284</v>
      </c>
      <c r="R622" s="185"/>
      <c r="S622" s="189" t="s">
        <v>1706</v>
      </c>
      <c r="T622" s="185"/>
      <c r="U622" s="185"/>
      <c r="V622" s="185"/>
      <c r="W622" s="185"/>
      <c r="X622" s="185"/>
      <c r="Y622" s="185"/>
      <c r="Z622" s="185"/>
      <c r="AA622" s="185"/>
      <c r="AB622" s="185"/>
      <c r="AC622" s="185"/>
      <c r="AD622" s="185"/>
      <c r="AE622" s="185"/>
      <c r="AF622" s="185"/>
      <c r="AG622" s="185"/>
    </row>
    <row r="623" spans="1:33" ht="12" customHeight="1">
      <c r="A623" s="25">
        <v>41269</v>
      </c>
      <c r="B623" s="225" t="s">
        <v>1977</v>
      </c>
      <c r="C623" s="219" t="s">
        <v>162</v>
      </c>
      <c r="D623" s="225" t="s">
        <v>1882</v>
      </c>
      <c r="E623" s="196" t="s">
        <v>145</v>
      </c>
      <c r="F623" s="185">
        <v>240</v>
      </c>
      <c r="G623" s="185" t="s">
        <v>170</v>
      </c>
      <c r="H623" s="31">
        <v>16.5</v>
      </c>
      <c r="I623" s="27">
        <f t="shared" si="21"/>
        <v>3960</v>
      </c>
      <c r="J623" s="28" t="s">
        <v>1600</v>
      </c>
      <c r="K623" s="25">
        <v>41269</v>
      </c>
      <c r="M623" s="56">
        <v>41269</v>
      </c>
      <c r="N623" s="29" t="s">
        <v>166</v>
      </c>
      <c r="O623" s="28" t="s">
        <v>1616</v>
      </c>
      <c r="P623" s="32">
        <v>3960</v>
      </c>
      <c r="Q623" s="56">
        <v>41270</v>
      </c>
      <c r="R623" s="185"/>
      <c r="S623" s="185"/>
      <c r="T623" s="185"/>
      <c r="U623" s="185"/>
      <c r="V623" s="185"/>
      <c r="W623" s="185"/>
      <c r="X623" s="185"/>
      <c r="Y623" s="185"/>
      <c r="Z623" s="185"/>
      <c r="AA623" s="185"/>
      <c r="AB623" s="185"/>
      <c r="AC623" s="185"/>
      <c r="AD623" s="185"/>
      <c r="AE623" s="185"/>
      <c r="AF623" s="185"/>
      <c r="AG623" s="185"/>
    </row>
    <row r="624" spans="1:33" ht="12" customHeight="1">
      <c r="A624" s="25">
        <v>41269</v>
      </c>
      <c r="B624" s="225" t="s">
        <v>1985</v>
      </c>
      <c r="C624" s="219" t="s">
        <v>162</v>
      </c>
      <c r="D624" s="225" t="s">
        <v>1962</v>
      </c>
      <c r="E624" s="196">
        <v>82501</v>
      </c>
      <c r="F624" s="205">
        <v>23</v>
      </c>
      <c r="G624" s="185" t="s">
        <v>170</v>
      </c>
      <c r="H624" s="31">
        <v>113.9</v>
      </c>
      <c r="I624" s="27">
        <f t="shared" si="21"/>
        <v>2619.7000000000003</v>
      </c>
      <c r="J624" s="28" t="s">
        <v>167</v>
      </c>
      <c r="K624" s="25">
        <v>41274</v>
      </c>
      <c r="M624" s="56">
        <v>41269</v>
      </c>
      <c r="N624" s="29" t="s">
        <v>166</v>
      </c>
      <c r="O624" s="28" t="s">
        <v>1825</v>
      </c>
      <c r="P624" s="32">
        <v>27144</v>
      </c>
      <c r="Q624" s="56">
        <v>41297</v>
      </c>
      <c r="R624" s="185"/>
      <c r="S624" s="185"/>
      <c r="T624" s="185"/>
      <c r="U624" s="185"/>
      <c r="V624" s="185"/>
      <c r="W624" s="185"/>
      <c r="X624" s="185"/>
      <c r="Y624" s="185"/>
      <c r="Z624" s="185"/>
      <c r="AA624" s="185"/>
      <c r="AB624" s="185"/>
      <c r="AC624" s="185"/>
      <c r="AD624" s="185"/>
      <c r="AE624" s="185"/>
      <c r="AF624" s="185"/>
      <c r="AG624" s="185"/>
    </row>
    <row r="625" spans="1:33" ht="12" customHeight="1">
      <c r="A625" s="25">
        <v>41270</v>
      </c>
      <c r="B625" s="225" t="s">
        <v>1985</v>
      </c>
      <c r="C625" s="219" t="s">
        <v>162</v>
      </c>
      <c r="D625" s="225" t="s">
        <v>1944</v>
      </c>
      <c r="E625" s="205">
        <v>8515</v>
      </c>
      <c r="F625" s="205">
        <v>150</v>
      </c>
      <c r="G625" s="376" t="s">
        <v>170</v>
      </c>
      <c r="H625" s="31">
        <v>17</v>
      </c>
      <c r="I625" s="27">
        <f t="shared" si="21"/>
        <v>2550</v>
      </c>
      <c r="J625" s="28" t="s">
        <v>1673</v>
      </c>
      <c r="K625" s="25">
        <v>41274</v>
      </c>
      <c r="M625" s="56">
        <v>41270</v>
      </c>
      <c r="N625" s="29" t="s">
        <v>165</v>
      </c>
      <c r="O625" s="28" t="s">
        <v>1609</v>
      </c>
      <c r="R625" s="185"/>
      <c r="S625" s="185"/>
      <c r="T625" s="185"/>
      <c r="U625" s="185"/>
      <c r="V625" s="185"/>
      <c r="W625" s="185"/>
      <c r="X625" s="185"/>
      <c r="Y625" s="185"/>
      <c r="Z625" s="185"/>
      <c r="AA625" s="185"/>
      <c r="AB625" s="185"/>
      <c r="AC625" s="185"/>
      <c r="AD625" s="185"/>
      <c r="AE625" s="185"/>
      <c r="AF625" s="185"/>
      <c r="AG625" s="185"/>
    </row>
    <row r="626" spans="1:33" ht="12" customHeight="1">
      <c r="A626" s="25">
        <v>41270</v>
      </c>
      <c r="B626" s="225" t="s">
        <v>2005</v>
      </c>
      <c r="C626" s="219" t="s">
        <v>162</v>
      </c>
      <c r="D626" s="225" t="s">
        <v>1963</v>
      </c>
      <c r="E626" s="205" t="s">
        <v>1613</v>
      </c>
      <c r="F626" s="205">
        <v>120</v>
      </c>
      <c r="G626" s="187" t="s">
        <v>170</v>
      </c>
      <c r="H626" s="31">
        <v>19.8</v>
      </c>
      <c r="I626" s="27">
        <f t="shared" si="21"/>
        <v>2376</v>
      </c>
      <c r="J626" s="28" t="s">
        <v>167</v>
      </c>
      <c r="K626" s="25">
        <v>41278</v>
      </c>
      <c r="M626" s="56">
        <v>41270</v>
      </c>
      <c r="N626" s="29" t="s">
        <v>166</v>
      </c>
      <c r="O626" s="28" t="s">
        <v>5147</v>
      </c>
      <c r="P626" s="32">
        <v>2376</v>
      </c>
      <c r="Q626" s="56">
        <v>41330</v>
      </c>
      <c r="R626" s="187"/>
      <c r="S626" s="187"/>
      <c r="T626" s="187"/>
      <c r="U626" s="187"/>
      <c r="V626" s="187"/>
      <c r="W626" s="187"/>
      <c r="X626" s="187"/>
      <c r="Y626" s="187"/>
      <c r="Z626" s="187"/>
      <c r="AA626" s="187"/>
      <c r="AB626" s="187"/>
      <c r="AC626" s="187"/>
      <c r="AD626" s="187"/>
      <c r="AE626" s="187"/>
      <c r="AF626" s="187"/>
      <c r="AG626" s="187"/>
    </row>
    <row r="627" spans="1:33" ht="12" customHeight="1">
      <c r="A627" s="25">
        <v>41270</v>
      </c>
      <c r="B627" s="225" t="s">
        <v>2006</v>
      </c>
      <c r="C627" s="219" t="s">
        <v>162</v>
      </c>
      <c r="D627" s="225" t="s">
        <v>1964</v>
      </c>
      <c r="E627" s="205" t="s">
        <v>1675</v>
      </c>
      <c r="F627" s="205">
        <v>70</v>
      </c>
      <c r="G627" s="181" t="s">
        <v>170</v>
      </c>
      <c r="H627" s="31">
        <v>25</v>
      </c>
      <c r="I627" s="27">
        <f t="shared" si="21"/>
        <v>1750</v>
      </c>
      <c r="J627" s="28" t="s">
        <v>1628</v>
      </c>
      <c r="K627" s="25">
        <v>41274</v>
      </c>
      <c r="M627" s="56">
        <v>41270</v>
      </c>
      <c r="N627" s="29" t="s">
        <v>166</v>
      </c>
      <c r="O627" s="28" t="s">
        <v>1629</v>
      </c>
      <c r="P627" s="32">
        <v>1830</v>
      </c>
      <c r="Q627" s="56">
        <v>41278</v>
      </c>
      <c r="R627" s="181"/>
      <c r="S627" s="181"/>
      <c r="T627" s="181"/>
      <c r="U627" s="181"/>
      <c r="V627" s="181"/>
      <c r="W627" s="181"/>
      <c r="X627" s="181"/>
      <c r="Y627" s="181"/>
      <c r="Z627" s="181"/>
      <c r="AA627" s="181"/>
      <c r="AB627" s="181"/>
      <c r="AC627" s="181"/>
      <c r="AD627" s="181"/>
      <c r="AE627" s="181"/>
      <c r="AF627" s="181"/>
      <c r="AG627" s="181"/>
    </row>
    <row r="628" spans="1:33" ht="12" customHeight="1">
      <c r="A628" s="25">
        <v>41270</v>
      </c>
      <c r="B628" s="225" t="s">
        <v>1996</v>
      </c>
      <c r="C628" s="219" t="s">
        <v>162</v>
      </c>
      <c r="D628" s="225" t="s">
        <v>1915</v>
      </c>
      <c r="E628" s="223" t="s">
        <v>1847</v>
      </c>
      <c r="F628" s="205">
        <v>30</v>
      </c>
      <c r="G628" s="181" t="s">
        <v>170</v>
      </c>
      <c r="H628" s="31">
        <v>28.75</v>
      </c>
      <c r="I628" s="27">
        <f t="shared" si="21"/>
        <v>862.5</v>
      </c>
      <c r="J628" s="28" t="s">
        <v>1630</v>
      </c>
      <c r="K628" s="25">
        <v>41274</v>
      </c>
      <c r="M628" s="56">
        <v>41270</v>
      </c>
      <c r="N628" s="29" t="s">
        <v>166</v>
      </c>
      <c r="O628" s="28" t="s">
        <v>1705</v>
      </c>
      <c r="P628" s="32">
        <v>16445.5</v>
      </c>
      <c r="Q628" s="56">
        <v>41284</v>
      </c>
      <c r="R628" s="181"/>
      <c r="S628" s="189" t="s">
        <v>1706</v>
      </c>
      <c r="T628" s="181"/>
      <c r="U628" s="181"/>
      <c r="V628" s="181"/>
      <c r="W628" s="181"/>
      <c r="X628" s="181"/>
      <c r="Y628" s="181"/>
      <c r="Z628" s="181"/>
      <c r="AA628" s="181"/>
      <c r="AB628" s="181"/>
      <c r="AC628" s="181"/>
      <c r="AD628" s="181"/>
      <c r="AE628" s="181"/>
      <c r="AF628" s="181"/>
      <c r="AG628" s="181"/>
    </row>
    <row r="629" spans="1:33" ht="12" customHeight="1">
      <c r="A629" s="25">
        <v>41270</v>
      </c>
      <c r="B629" s="225" t="s">
        <v>1980</v>
      </c>
      <c r="C629" s="219" t="s">
        <v>162</v>
      </c>
      <c r="D629" s="1" t="s">
        <v>1871</v>
      </c>
      <c r="E629" s="205">
        <v>8247</v>
      </c>
      <c r="F629" s="205">
        <v>120</v>
      </c>
      <c r="G629" s="182" t="s">
        <v>171</v>
      </c>
      <c r="H629" s="31">
        <v>12.35</v>
      </c>
      <c r="I629" s="27">
        <f t="shared" si="21"/>
        <v>1482</v>
      </c>
      <c r="J629" s="28" t="s">
        <v>705</v>
      </c>
      <c r="K629" s="25">
        <v>41271</v>
      </c>
      <c r="M629" s="56">
        <v>41271</v>
      </c>
      <c r="N629" s="29" t="s">
        <v>1625</v>
      </c>
      <c r="O629" s="28" t="s">
        <v>1824</v>
      </c>
      <c r="P629" s="32">
        <v>51133</v>
      </c>
      <c r="Q629" s="56">
        <v>41296</v>
      </c>
      <c r="R629" s="182"/>
      <c r="S629" s="182"/>
      <c r="T629" s="182"/>
      <c r="U629" s="182"/>
      <c r="V629" s="182"/>
      <c r="W629" s="182"/>
      <c r="X629" s="182"/>
      <c r="Y629" s="182"/>
      <c r="Z629" s="182"/>
      <c r="AA629" s="182"/>
      <c r="AB629" s="182"/>
      <c r="AC629" s="182"/>
      <c r="AD629" s="182"/>
      <c r="AE629" s="182"/>
      <c r="AF629" s="182"/>
      <c r="AG629" s="182"/>
    </row>
    <row r="630" spans="1:33" ht="12" customHeight="1">
      <c r="A630" s="25">
        <v>41270</v>
      </c>
      <c r="B630" s="225" t="s">
        <v>2007</v>
      </c>
      <c r="C630" s="219" t="s">
        <v>162</v>
      </c>
      <c r="D630" s="225" t="s">
        <v>1965</v>
      </c>
      <c r="E630" s="205" t="s">
        <v>1615</v>
      </c>
      <c r="F630" s="205">
        <v>70</v>
      </c>
      <c r="G630" s="183" t="s">
        <v>1071</v>
      </c>
      <c r="H630" s="31">
        <v>17.82</v>
      </c>
      <c r="I630" s="27">
        <f t="shared" si="21"/>
        <v>1247.4000000000001</v>
      </c>
      <c r="J630" s="28" t="s">
        <v>167</v>
      </c>
      <c r="K630" s="25">
        <v>41278</v>
      </c>
      <c r="M630" s="56">
        <v>41270</v>
      </c>
      <c r="N630" s="29" t="s">
        <v>166</v>
      </c>
      <c r="O630" s="28" t="s">
        <v>1795</v>
      </c>
      <c r="P630" s="32">
        <v>1247.4000000000001</v>
      </c>
      <c r="R630" s="183"/>
      <c r="S630" s="183"/>
      <c r="T630" s="183"/>
      <c r="U630" s="183"/>
      <c r="V630" s="183"/>
      <c r="W630" s="183"/>
      <c r="X630" s="183"/>
      <c r="Y630" s="183"/>
      <c r="Z630" s="183"/>
      <c r="AA630" s="183"/>
      <c r="AB630" s="183"/>
      <c r="AC630" s="183"/>
      <c r="AD630" s="183"/>
      <c r="AE630" s="183"/>
      <c r="AF630" s="183"/>
      <c r="AG630" s="183"/>
    </row>
    <row r="631" spans="1:33" ht="12" customHeight="1">
      <c r="A631" s="25">
        <v>41271</v>
      </c>
      <c r="B631" s="225" t="s">
        <v>2002</v>
      </c>
      <c r="C631" s="219" t="s">
        <v>1624</v>
      </c>
      <c r="D631" s="225" t="s">
        <v>1949</v>
      </c>
      <c r="E631" s="205" t="s">
        <v>1505</v>
      </c>
      <c r="F631" s="205">
        <v>70</v>
      </c>
      <c r="G631" s="181" t="s">
        <v>1626</v>
      </c>
      <c r="H631" s="31">
        <v>85</v>
      </c>
      <c r="I631" s="27">
        <f t="shared" si="21"/>
        <v>5950</v>
      </c>
      <c r="J631" s="28" t="s">
        <v>1630</v>
      </c>
      <c r="K631" s="25">
        <v>41274</v>
      </c>
      <c r="M631" s="56">
        <v>41271</v>
      </c>
      <c r="N631" s="29" t="s">
        <v>165</v>
      </c>
      <c r="O631" s="28" t="s">
        <v>1682</v>
      </c>
      <c r="P631" s="32">
        <v>6035</v>
      </c>
      <c r="Q631" s="56">
        <v>41280</v>
      </c>
      <c r="R631" s="181"/>
      <c r="S631" s="181"/>
      <c r="T631" s="181"/>
      <c r="U631" s="181"/>
      <c r="V631" s="181"/>
      <c r="W631" s="181"/>
      <c r="X631" s="181"/>
      <c r="Y631" s="181"/>
      <c r="Z631" s="181"/>
      <c r="AA631" s="181"/>
      <c r="AB631" s="181"/>
      <c r="AC631" s="181"/>
      <c r="AD631" s="181"/>
      <c r="AE631" s="181"/>
      <c r="AF631" s="181"/>
      <c r="AG631" s="181"/>
    </row>
    <row r="632" spans="1:33" ht="12" customHeight="1">
      <c r="A632" s="25">
        <v>41279</v>
      </c>
      <c r="B632" s="225" t="s">
        <v>1980</v>
      </c>
      <c r="C632" s="219" t="s">
        <v>162</v>
      </c>
      <c r="D632" s="1" t="s">
        <v>1867</v>
      </c>
      <c r="E632" s="205">
        <v>6006</v>
      </c>
      <c r="F632" s="205">
        <v>30</v>
      </c>
      <c r="G632" s="184" t="s">
        <v>1658</v>
      </c>
      <c r="H632" s="31">
        <v>49.5</v>
      </c>
      <c r="I632" s="27">
        <f t="shared" si="21"/>
        <v>1485</v>
      </c>
      <c r="J632" s="28" t="s">
        <v>1672</v>
      </c>
      <c r="K632" s="25">
        <v>41279</v>
      </c>
      <c r="M632" s="56">
        <v>41279</v>
      </c>
      <c r="N632" s="29" t="s">
        <v>166</v>
      </c>
      <c r="O632" s="28" t="s">
        <v>1773</v>
      </c>
      <c r="P632" s="32">
        <v>6624</v>
      </c>
      <c r="Q632" s="56">
        <v>41289</v>
      </c>
    </row>
    <row r="633" spans="1:33" ht="12" customHeight="1">
      <c r="A633" s="25">
        <v>41279</v>
      </c>
      <c r="B633" s="225" t="s">
        <v>1980</v>
      </c>
      <c r="C633" s="220" t="s">
        <v>7</v>
      </c>
      <c r="D633" s="225" t="s">
        <v>1966</v>
      </c>
      <c r="E633" s="205" t="s">
        <v>1659</v>
      </c>
      <c r="F633" s="205">
        <v>10</v>
      </c>
      <c r="G633" s="190" t="s">
        <v>827</v>
      </c>
      <c r="H633" s="31">
        <v>69.5</v>
      </c>
      <c r="I633" s="27">
        <f t="shared" si="21"/>
        <v>695</v>
      </c>
      <c r="J633" s="28" t="s">
        <v>1672</v>
      </c>
      <c r="K633" s="25">
        <v>41279</v>
      </c>
      <c r="M633" s="56">
        <v>41279</v>
      </c>
      <c r="N633" s="29" t="s">
        <v>166</v>
      </c>
      <c r="O633" s="28" t="s">
        <v>1773</v>
      </c>
      <c r="P633" s="32">
        <v>6624</v>
      </c>
      <c r="Q633" s="56">
        <v>41289</v>
      </c>
    </row>
    <row r="634" spans="1:33" ht="12" customHeight="1">
      <c r="A634" s="25">
        <v>41279</v>
      </c>
      <c r="B634" s="225" t="s">
        <v>1980</v>
      </c>
      <c r="C634" s="219" t="s">
        <v>162</v>
      </c>
      <c r="D634" s="225" t="s">
        <v>1967</v>
      </c>
      <c r="E634" s="205" t="s">
        <v>1541</v>
      </c>
      <c r="F634" s="205">
        <v>2</v>
      </c>
      <c r="G634" s="184" t="s">
        <v>1660</v>
      </c>
      <c r="H634" s="31">
        <v>86</v>
      </c>
      <c r="I634" s="27">
        <f t="shared" si="21"/>
        <v>172</v>
      </c>
      <c r="J634" s="28" t="s">
        <v>1672</v>
      </c>
      <c r="K634" s="25">
        <v>41279</v>
      </c>
      <c r="M634" s="56">
        <v>41279</v>
      </c>
      <c r="N634" s="29" t="s">
        <v>166</v>
      </c>
      <c r="O634" s="28" t="s">
        <v>1773</v>
      </c>
      <c r="P634" s="32">
        <v>6624</v>
      </c>
      <c r="Q634" s="56">
        <v>41289</v>
      </c>
    </row>
    <row r="635" spans="1:33" ht="12" customHeight="1">
      <c r="A635" s="25">
        <v>41279</v>
      </c>
      <c r="B635" s="225" t="s">
        <v>1975</v>
      </c>
      <c r="C635" s="219" t="s">
        <v>162</v>
      </c>
      <c r="D635" s="225" t="s">
        <v>350</v>
      </c>
      <c r="E635" s="28">
        <v>7502</v>
      </c>
      <c r="F635" s="205">
        <v>8</v>
      </c>
      <c r="G635" s="185" t="s">
        <v>1662</v>
      </c>
      <c r="H635" s="31">
        <v>122.8</v>
      </c>
      <c r="I635" s="27">
        <f t="shared" si="21"/>
        <v>982.4</v>
      </c>
      <c r="J635" s="28" t="s">
        <v>1671</v>
      </c>
      <c r="K635" s="25">
        <v>41279</v>
      </c>
      <c r="M635" s="56">
        <v>41310</v>
      </c>
      <c r="N635" s="29" t="s">
        <v>166</v>
      </c>
      <c r="O635" s="28" t="s">
        <v>5296</v>
      </c>
      <c r="P635" s="32">
        <v>52934.25</v>
      </c>
      <c r="Q635" s="56">
        <v>41333</v>
      </c>
    </row>
    <row r="636" spans="1:33" ht="12" customHeight="1">
      <c r="A636" s="25">
        <v>41280</v>
      </c>
      <c r="B636" s="225" t="s">
        <v>1975</v>
      </c>
      <c r="C636" s="219" t="s">
        <v>162</v>
      </c>
      <c r="D636" s="5" t="s">
        <v>347</v>
      </c>
      <c r="E636" s="28" t="s">
        <v>1565</v>
      </c>
      <c r="F636" s="205">
        <v>500</v>
      </c>
      <c r="G636" s="186" t="s">
        <v>1668</v>
      </c>
      <c r="H636" s="31">
        <v>1.65</v>
      </c>
      <c r="I636" s="27">
        <f t="shared" si="21"/>
        <v>825</v>
      </c>
      <c r="J636" s="28" t="s">
        <v>1670</v>
      </c>
      <c r="K636" s="25">
        <v>41280</v>
      </c>
      <c r="M636" s="56">
        <v>41310</v>
      </c>
      <c r="N636" s="29" t="s">
        <v>166</v>
      </c>
      <c r="O636" s="28" t="s">
        <v>5296</v>
      </c>
      <c r="P636" s="32">
        <v>52934.25</v>
      </c>
      <c r="Q636" s="56">
        <v>41333</v>
      </c>
    </row>
    <row r="637" spans="1:33" ht="12" customHeight="1">
      <c r="A637" s="25">
        <v>41280</v>
      </c>
      <c r="B637" s="225" t="s">
        <v>1975</v>
      </c>
      <c r="C637" s="219" t="s">
        <v>162</v>
      </c>
      <c r="D637" s="225" t="s">
        <v>1946</v>
      </c>
      <c r="E637" s="28">
        <v>4620</v>
      </c>
      <c r="F637" s="205">
        <v>10</v>
      </c>
      <c r="G637" s="186" t="s">
        <v>1669</v>
      </c>
      <c r="H637" s="31">
        <v>17.79</v>
      </c>
      <c r="I637" s="27">
        <f>F637*H637</f>
        <v>177.89999999999998</v>
      </c>
      <c r="J637" s="28" t="s">
        <v>1670</v>
      </c>
      <c r="K637" s="25">
        <v>41280</v>
      </c>
      <c r="M637" s="56">
        <v>41310</v>
      </c>
      <c r="N637" s="29" t="s">
        <v>166</v>
      </c>
      <c r="O637" s="28" t="s">
        <v>5296</v>
      </c>
      <c r="P637" s="32">
        <v>52934.25</v>
      </c>
      <c r="Q637" s="56">
        <v>41333</v>
      </c>
    </row>
    <row r="638" spans="1:33" ht="12" customHeight="1">
      <c r="A638" s="25">
        <v>41280</v>
      </c>
      <c r="B638" s="225" t="s">
        <v>1978</v>
      </c>
      <c r="C638" s="219" t="s">
        <v>162</v>
      </c>
      <c r="D638" s="5" t="s">
        <v>2012</v>
      </c>
      <c r="E638" s="205" t="s">
        <v>180</v>
      </c>
      <c r="F638" s="205">
        <v>2500</v>
      </c>
      <c r="G638" s="198" t="s">
        <v>229</v>
      </c>
      <c r="H638" s="31">
        <v>1.4</v>
      </c>
      <c r="I638" s="27">
        <f>F638*H638</f>
        <v>3500</v>
      </c>
      <c r="J638" s="28" t="s">
        <v>1771</v>
      </c>
      <c r="K638" s="25">
        <v>41281</v>
      </c>
      <c r="M638" s="56">
        <v>41280</v>
      </c>
      <c r="N638" s="29" t="s">
        <v>166</v>
      </c>
      <c r="O638" s="28" t="s">
        <v>6212</v>
      </c>
      <c r="P638" s="32">
        <v>37744</v>
      </c>
      <c r="Q638" s="56">
        <v>41375</v>
      </c>
      <c r="R638" s="336"/>
      <c r="S638" s="187"/>
      <c r="T638" s="187"/>
      <c r="U638" s="187"/>
      <c r="V638" s="187"/>
      <c r="W638" s="187"/>
      <c r="X638" s="187"/>
      <c r="Y638" s="187"/>
      <c r="Z638" s="187"/>
      <c r="AA638" s="187"/>
      <c r="AB638" s="187"/>
      <c r="AC638" s="187"/>
      <c r="AD638" s="187"/>
      <c r="AE638" s="187"/>
      <c r="AF638" s="187"/>
      <c r="AG638" s="187"/>
    </row>
    <row r="639" spans="1:33" ht="12" customHeight="1">
      <c r="A639" s="25">
        <v>41280</v>
      </c>
      <c r="B639" s="225" t="s">
        <v>1980</v>
      </c>
      <c r="C639" s="219" t="s">
        <v>162</v>
      </c>
      <c r="D639" s="5" t="s">
        <v>1221</v>
      </c>
      <c r="E639" s="205" t="s">
        <v>146</v>
      </c>
      <c r="F639" s="205">
        <v>120</v>
      </c>
      <c r="G639" s="186" t="s">
        <v>684</v>
      </c>
      <c r="H639" s="31">
        <v>35.6</v>
      </c>
      <c r="I639" s="27">
        <f>F639*H639</f>
        <v>4272</v>
      </c>
      <c r="J639" s="28" t="s">
        <v>1676</v>
      </c>
      <c r="K639" s="25">
        <v>41280</v>
      </c>
      <c r="M639" s="56">
        <v>41280</v>
      </c>
      <c r="N639" s="29" t="s">
        <v>166</v>
      </c>
      <c r="O639" s="28" t="s">
        <v>1773</v>
      </c>
      <c r="P639" s="32">
        <v>6624</v>
      </c>
      <c r="Q639" s="56">
        <v>41289</v>
      </c>
    </row>
    <row r="640" spans="1:33" ht="12" customHeight="1">
      <c r="A640" s="25">
        <v>41280</v>
      </c>
      <c r="B640" s="225" t="s">
        <v>1987</v>
      </c>
      <c r="C640" s="219" t="s">
        <v>162</v>
      </c>
      <c r="D640" s="225" t="s">
        <v>1901</v>
      </c>
      <c r="E640" s="205">
        <v>52000183617</v>
      </c>
      <c r="F640" s="205">
        <v>1</v>
      </c>
      <c r="G640" s="187" t="s">
        <v>1683</v>
      </c>
      <c r="H640" s="31">
        <v>938</v>
      </c>
      <c r="I640" s="27">
        <f>F640*H640</f>
        <v>938</v>
      </c>
      <c r="J640" s="28" t="s">
        <v>1684</v>
      </c>
      <c r="K640" s="25">
        <v>41281</v>
      </c>
      <c r="M640" s="56">
        <v>41281</v>
      </c>
      <c r="N640" s="97" t="s">
        <v>166</v>
      </c>
      <c r="O640" s="28" t="s">
        <v>1846</v>
      </c>
      <c r="P640" s="32">
        <v>2814</v>
      </c>
      <c r="Q640" s="56">
        <v>41298</v>
      </c>
    </row>
    <row r="641" spans="1:33" ht="12" customHeight="1">
      <c r="A641" s="25">
        <v>41281</v>
      </c>
      <c r="B641" s="225" t="s">
        <v>1975</v>
      </c>
      <c r="C641" s="219" t="s">
        <v>162</v>
      </c>
      <c r="D641" s="225" t="s">
        <v>232</v>
      </c>
      <c r="E641" s="28" t="s">
        <v>1686</v>
      </c>
      <c r="F641" s="205">
        <v>1000</v>
      </c>
      <c r="G641" s="187" t="s">
        <v>171</v>
      </c>
      <c r="H641" s="31">
        <v>1.54</v>
      </c>
      <c r="I641" s="27">
        <f t="shared" ref="I641:I701" si="22">H641*F641</f>
        <v>1540</v>
      </c>
      <c r="J641" s="28" t="s">
        <v>1687</v>
      </c>
      <c r="K641" s="25">
        <v>41281</v>
      </c>
      <c r="M641" s="56">
        <v>41310</v>
      </c>
      <c r="N641" s="29" t="s">
        <v>166</v>
      </c>
      <c r="O641" s="28" t="s">
        <v>5296</v>
      </c>
      <c r="P641" s="32">
        <v>52934.25</v>
      </c>
      <c r="Q641" s="56">
        <v>41333</v>
      </c>
    </row>
    <row r="642" spans="1:33" ht="12" customHeight="1">
      <c r="A642" s="25">
        <v>41282</v>
      </c>
      <c r="B642" s="225" t="s">
        <v>1975</v>
      </c>
      <c r="C642" s="219" t="s">
        <v>162</v>
      </c>
      <c r="D642" s="225" t="s">
        <v>305</v>
      </c>
      <c r="E642" s="28">
        <v>1270</v>
      </c>
      <c r="F642" s="205">
        <v>200</v>
      </c>
      <c r="G642" s="190" t="s">
        <v>239</v>
      </c>
      <c r="H642" s="31">
        <v>4.1399999999999997</v>
      </c>
      <c r="I642" s="27">
        <f t="shared" si="22"/>
        <v>827.99999999999989</v>
      </c>
      <c r="J642" s="28" t="s">
        <v>1693</v>
      </c>
      <c r="K642" s="25">
        <v>41282</v>
      </c>
      <c r="M642" s="56">
        <v>41310</v>
      </c>
      <c r="N642" s="29" t="s">
        <v>165</v>
      </c>
      <c r="O642" s="28" t="s">
        <v>1694</v>
      </c>
    </row>
    <row r="643" spans="1:33" ht="12" customHeight="1">
      <c r="A643" s="25">
        <v>41282</v>
      </c>
      <c r="B643" s="225" t="s">
        <v>1975</v>
      </c>
      <c r="C643" s="219" t="s">
        <v>162</v>
      </c>
      <c r="D643" s="225" t="s">
        <v>247</v>
      </c>
      <c r="E643" s="28">
        <v>11394</v>
      </c>
      <c r="F643" s="205">
        <v>80</v>
      </c>
      <c r="G643" s="188" t="s">
        <v>172</v>
      </c>
      <c r="H643" s="31">
        <v>19.43</v>
      </c>
      <c r="I643" s="27">
        <f t="shared" si="22"/>
        <v>1554.4</v>
      </c>
      <c r="J643" s="28" t="s">
        <v>1693</v>
      </c>
      <c r="K643" s="25">
        <v>41282</v>
      </c>
      <c r="M643" s="56">
        <v>41310</v>
      </c>
      <c r="N643" s="29" t="s">
        <v>165</v>
      </c>
      <c r="O643" s="28" t="s">
        <v>1694</v>
      </c>
    </row>
    <row r="644" spans="1:33" ht="12" customHeight="1">
      <c r="A644" s="25">
        <v>41282</v>
      </c>
      <c r="B644" s="225" t="s">
        <v>1975</v>
      </c>
      <c r="C644" s="219" t="s">
        <v>162</v>
      </c>
      <c r="D644" s="225" t="s">
        <v>232</v>
      </c>
      <c r="E644" s="28" t="s">
        <v>186</v>
      </c>
      <c r="F644" s="205">
        <v>1000</v>
      </c>
      <c r="G644" s="188" t="s">
        <v>1695</v>
      </c>
      <c r="H644" s="31">
        <v>1.54</v>
      </c>
      <c r="I644" s="27">
        <f t="shared" si="22"/>
        <v>1540</v>
      </c>
      <c r="J644" s="28" t="s">
        <v>1693</v>
      </c>
      <c r="K644" s="25">
        <v>41282</v>
      </c>
      <c r="M644" s="56">
        <v>41310</v>
      </c>
      <c r="N644" s="29" t="s">
        <v>165</v>
      </c>
      <c r="O644" s="28" t="s">
        <v>1694</v>
      </c>
    </row>
    <row r="645" spans="1:33" ht="12" customHeight="1">
      <c r="A645" s="25">
        <v>41283</v>
      </c>
      <c r="B645" s="225" t="s">
        <v>2000</v>
      </c>
      <c r="C645" s="219" t="s">
        <v>162</v>
      </c>
      <c r="D645" s="225" t="s">
        <v>1874</v>
      </c>
      <c r="E645" s="225" t="s">
        <v>1862</v>
      </c>
      <c r="F645" s="205">
        <v>1000</v>
      </c>
      <c r="G645" s="192" t="s">
        <v>171</v>
      </c>
      <c r="H645" s="31">
        <v>9.15</v>
      </c>
      <c r="I645" s="27">
        <f t="shared" si="22"/>
        <v>9150</v>
      </c>
      <c r="J645" s="28" t="s">
        <v>1757</v>
      </c>
      <c r="K645" s="25">
        <v>41288</v>
      </c>
      <c r="M645" s="56">
        <v>41283</v>
      </c>
      <c r="N645" s="97" t="s">
        <v>166</v>
      </c>
      <c r="O645" s="28" t="s">
        <v>1796</v>
      </c>
      <c r="P645" s="32">
        <v>10898.5</v>
      </c>
      <c r="Q645" s="56">
        <v>41295</v>
      </c>
      <c r="R645" s="192"/>
      <c r="S645" s="192"/>
      <c r="T645" s="192"/>
      <c r="U645" s="192"/>
      <c r="V645" s="192"/>
      <c r="W645" s="192"/>
      <c r="X645" s="192"/>
      <c r="Y645" s="192"/>
      <c r="Z645" s="192"/>
      <c r="AA645" s="192"/>
      <c r="AB645" s="192"/>
      <c r="AC645" s="192"/>
      <c r="AD645" s="192"/>
      <c r="AE645" s="192"/>
      <c r="AF645" s="192"/>
      <c r="AG645" s="192"/>
    </row>
    <row r="646" spans="1:33" ht="12" customHeight="1">
      <c r="A646" s="25">
        <v>41284</v>
      </c>
      <c r="B646" s="225" t="s">
        <v>1985</v>
      </c>
      <c r="C646" s="220" t="s">
        <v>7</v>
      </c>
      <c r="D646" s="95" t="s">
        <v>5008</v>
      </c>
      <c r="E646" s="205" t="s">
        <v>1704</v>
      </c>
      <c r="F646" s="205">
        <v>1728</v>
      </c>
      <c r="G646" s="190" t="s">
        <v>827</v>
      </c>
      <c r="H646" s="31">
        <v>9.9</v>
      </c>
      <c r="I646" s="27">
        <f t="shared" si="22"/>
        <v>17107.2</v>
      </c>
      <c r="J646" s="28" t="s">
        <v>1765</v>
      </c>
      <c r="K646" s="25">
        <v>41290</v>
      </c>
      <c r="M646" s="56">
        <v>41284</v>
      </c>
      <c r="N646" s="97" t="s">
        <v>166</v>
      </c>
      <c r="O646" s="28" t="s">
        <v>1825</v>
      </c>
      <c r="P646" s="32">
        <v>27144</v>
      </c>
      <c r="Q646" s="56">
        <v>41297</v>
      </c>
    </row>
    <row r="647" spans="1:33" ht="12" customHeight="1">
      <c r="A647" s="25">
        <v>41285</v>
      </c>
      <c r="B647" s="225" t="s">
        <v>1975</v>
      </c>
      <c r="C647" s="219" t="s">
        <v>162</v>
      </c>
      <c r="D647" s="225" t="s">
        <v>1865</v>
      </c>
      <c r="E647" s="28" t="s">
        <v>234</v>
      </c>
      <c r="F647" s="205">
        <v>1000</v>
      </c>
      <c r="G647" s="190" t="s">
        <v>1708</v>
      </c>
      <c r="H647" s="31">
        <v>1.08</v>
      </c>
      <c r="I647" s="27">
        <f t="shared" si="22"/>
        <v>1080</v>
      </c>
      <c r="J647" s="28" t="s">
        <v>1719</v>
      </c>
      <c r="K647" s="25">
        <v>41285</v>
      </c>
      <c r="M647" s="56">
        <v>41310</v>
      </c>
      <c r="N647" s="29" t="s">
        <v>166</v>
      </c>
      <c r="O647" s="28" t="s">
        <v>5296</v>
      </c>
      <c r="P647" s="32">
        <v>52934.25</v>
      </c>
      <c r="Q647" s="56">
        <v>41333</v>
      </c>
    </row>
    <row r="648" spans="1:33" ht="12" customHeight="1">
      <c r="A648" s="25">
        <v>41285</v>
      </c>
      <c r="B648" s="225" t="s">
        <v>1996</v>
      </c>
      <c r="C648" s="219" t="s">
        <v>162</v>
      </c>
      <c r="D648" s="225" t="s">
        <v>1968</v>
      </c>
      <c r="E648" s="205">
        <v>8233</v>
      </c>
      <c r="F648" s="205">
        <v>20</v>
      </c>
      <c r="G648" s="190" t="s">
        <v>1720</v>
      </c>
      <c r="H648" s="31">
        <v>73.2</v>
      </c>
      <c r="I648" s="27">
        <f t="shared" si="22"/>
        <v>1464</v>
      </c>
      <c r="J648" s="28" t="s">
        <v>1744</v>
      </c>
      <c r="K648" s="25">
        <v>41288</v>
      </c>
      <c r="M648" s="56">
        <v>41288</v>
      </c>
      <c r="N648" s="97" t="s">
        <v>166</v>
      </c>
      <c r="S648" s="193" t="s">
        <v>1745</v>
      </c>
    </row>
    <row r="649" spans="1:33" ht="12" customHeight="1">
      <c r="A649" s="25">
        <v>41285</v>
      </c>
      <c r="B649" s="225" t="s">
        <v>1985</v>
      </c>
      <c r="C649" s="219" t="s">
        <v>162</v>
      </c>
      <c r="D649" s="225" t="s">
        <v>1917</v>
      </c>
      <c r="E649" s="205" t="s">
        <v>1742</v>
      </c>
      <c r="F649" s="205">
        <v>2500</v>
      </c>
      <c r="G649" s="192" t="s">
        <v>1743</v>
      </c>
      <c r="H649" s="31">
        <v>0.54</v>
      </c>
      <c r="I649" s="27">
        <f t="shared" si="22"/>
        <v>1350</v>
      </c>
      <c r="J649" s="28" t="s">
        <v>1772</v>
      </c>
      <c r="K649" s="25">
        <v>41289</v>
      </c>
      <c r="M649" s="56">
        <v>41288</v>
      </c>
      <c r="N649" s="97" t="s">
        <v>166</v>
      </c>
      <c r="O649" s="28" t="s">
        <v>1825</v>
      </c>
      <c r="P649" s="32">
        <v>27144</v>
      </c>
      <c r="Q649" s="56">
        <v>41297</v>
      </c>
    </row>
    <row r="650" spans="1:33" ht="12" customHeight="1">
      <c r="A650" s="25">
        <v>41288</v>
      </c>
      <c r="B650" s="225" t="s">
        <v>1985</v>
      </c>
      <c r="C650" s="219" t="s">
        <v>162</v>
      </c>
      <c r="D650" s="225" t="s">
        <v>1901</v>
      </c>
      <c r="E650" s="205">
        <v>52000183617</v>
      </c>
      <c r="F650" s="205">
        <v>5</v>
      </c>
      <c r="G650" s="193" t="s">
        <v>1747</v>
      </c>
      <c r="H650" s="31">
        <v>862.5</v>
      </c>
      <c r="I650" s="27">
        <f t="shared" si="22"/>
        <v>4312.5</v>
      </c>
      <c r="J650" s="28" t="s">
        <v>1855</v>
      </c>
      <c r="K650" s="25">
        <v>41289</v>
      </c>
      <c r="M650" s="56">
        <v>41288</v>
      </c>
      <c r="N650" s="97" t="s">
        <v>166</v>
      </c>
      <c r="O650" s="28" t="s">
        <v>1825</v>
      </c>
      <c r="P650" s="32">
        <v>27144</v>
      </c>
      <c r="Q650" s="56">
        <v>41297</v>
      </c>
    </row>
    <row r="651" spans="1:33" ht="12" customHeight="1">
      <c r="A651" s="25">
        <v>41289</v>
      </c>
      <c r="B651" s="225" t="s">
        <v>1987</v>
      </c>
      <c r="C651" s="219" t="s">
        <v>162</v>
      </c>
      <c r="D651" s="225" t="s">
        <v>1901</v>
      </c>
      <c r="E651" s="205">
        <v>52000183617</v>
      </c>
      <c r="F651" s="205">
        <v>2</v>
      </c>
      <c r="G651" s="194" t="s">
        <v>170</v>
      </c>
      <c r="H651" s="31">
        <v>938</v>
      </c>
      <c r="I651" s="27">
        <f t="shared" si="22"/>
        <v>1876</v>
      </c>
      <c r="J651" s="28" t="s">
        <v>1750</v>
      </c>
      <c r="K651" s="25">
        <v>41289</v>
      </c>
      <c r="M651" s="56">
        <v>41299</v>
      </c>
      <c r="N651" s="97" t="s">
        <v>166</v>
      </c>
      <c r="O651" s="28" t="s">
        <v>1846</v>
      </c>
      <c r="P651" s="32">
        <v>2814</v>
      </c>
      <c r="Q651" s="56">
        <v>41298</v>
      </c>
    </row>
    <row r="652" spans="1:33" ht="12" customHeight="1">
      <c r="A652" s="25">
        <v>41289</v>
      </c>
      <c r="B652" s="225" t="s">
        <v>1980</v>
      </c>
      <c r="C652" s="219" t="s">
        <v>162</v>
      </c>
      <c r="D652" s="342" t="s">
        <v>240</v>
      </c>
      <c r="E652" s="205">
        <v>6200</v>
      </c>
      <c r="F652" s="205">
        <v>120</v>
      </c>
      <c r="G652" s="194" t="s">
        <v>1751</v>
      </c>
      <c r="H652" s="31">
        <v>42.5</v>
      </c>
      <c r="I652" s="27">
        <f t="shared" si="22"/>
        <v>5100</v>
      </c>
      <c r="J652" s="28" t="s">
        <v>1759</v>
      </c>
      <c r="K652" s="25">
        <v>41289</v>
      </c>
      <c r="M652" s="56">
        <v>41291</v>
      </c>
      <c r="N652" s="29" t="s">
        <v>166</v>
      </c>
      <c r="O652" s="28" t="s">
        <v>1775</v>
      </c>
      <c r="P652" s="32">
        <v>46002.239999999998</v>
      </c>
      <c r="Q652" s="56">
        <v>41289</v>
      </c>
      <c r="R652" s="194"/>
      <c r="S652" s="194"/>
      <c r="T652" s="194"/>
      <c r="U652" s="194"/>
      <c r="V652" s="194"/>
      <c r="W652" s="194"/>
      <c r="X652" s="194"/>
      <c r="Y652" s="194"/>
      <c r="Z652" s="194"/>
      <c r="AA652" s="194"/>
      <c r="AB652" s="194"/>
      <c r="AC652" s="194"/>
      <c r="AD652" s="194"/>
      <c r="AE652" s="194"/>
      <c r="AF652" s="194"/>
      <c r="AG652" s="194"/>
    </row>
    <row r="653" spans="1:33" ht="12" customHeight="1">
      <c r="A653" s="25">
        <v>41289</v>
      </c>
      <c r="B653" s="225" t="s">
        <v>1980</v>
      </c>
      <c r="C653" s="219" t="s">
        <v>162</v>
      </c>
      <c r="D653" s="225" t="s">
        <v>1882</v>
      </c>
      <c r="E653" s="205" t="s">
        <v>145</v>
      </c>
      <c r="F653" s="205">
        <v>420</v>
      </c>
      <c r="G653" s="194" t="s">
        <v>1751</v>
      </c>
      <c r="H653" s="31">
        <v>17</v>
      </c>
      <c r="I653" s="27">
        <f t="shared" si="22"/>
        <v>7140</v>
      </c>
      <c r="J653" s="28" t="s">
        <v>1759</v>
      </c>
      <c r="K653" s="25">
        <v>41289</v>
      </c>
      <c r="M653" s="56">
        <v>41291</v>
      </c>
      <c r="N653" s="29" t="s">
        <v>166</v>
      </c>
      <c r="O653" s="28" t="s">
        <v>1775</v>
      </c>
      <c r="P653" s="32">
        <v>46002.239999999998</v>
      </c>
      <c r="Q653" s="56">
        <v>41289</v>
      </c>
    </row>
    <row r="654" spans="1:33" ht="12" customHeight="1">
      <c r="A654" s="25">
        <v>41289</v>
      </c>
      <c r="B654" s="225" t="s">
        <v>1980</v>
      </c>
      <c r="C654" s="219" t="s">
        <v>162</v>
      </c>
      <c r="D654" s="225" t="s">
        <v>273</v>
      </c>
      <c r="E654" s="205" t="s">
        <v>156</v>
      </c>
      <c r="F654" s="205">
        <v>720</v>
      </c>
      <c r="G654" s="194" t="s">
        <v>1751</v>
      </c>
      <c r="H654" s="31">
        <v>29.2</v>
      </c>
      <c r="I654" s="27">
        <f t="shared" si="22"/>
        <v>21024</v>
      </c>
      <c r="J654" s="28" t="s">
        <v>1759</v>
      </c>
      <c r="K654" s="25">
        <v>41289</v>
      </c>
      <c r="M654" s="56">
        <v>41291</v>
      </c>
      <c r="N654" s="29" t="s">
        <v>166</v>
      </c>
      <c r="O654" s="28" t="s">
        <v>1775</v>
      </c>
      <c r="P654" s="32">
        <v>46002.239999999998</v>
      </c>
      <c r="Q654" s="56">
        <v>41289</v>
      </c>
    </row>
    <row r="655" spans="1:33" ht="12" customHeight="1">
      <c r="A655" s="25">
        <v>41289</v>
      </c>
      <c r="B655" s="225" t="s">
        <v>1980</v>
      </c>
      <c r="C655" s="219" t="s">
        <v>162</v>
      </c>
      <c r="D655" s="225" t="s">
        <v>1874</v>
      </c>
      <c r="E655" s="205" t="s">
        <v>194</v>
      </c>
      <c r="F655" s="205">
        <v>2200</v>
      </c>
      <c r="G655" s="194" t="s">
        <v>231</v>
      </c>
      <c r="H655" s="31">
        <v>4.75</v>
      </c>
      <c r="I655" s="27">
        <f t="shared" si="22"/>
        <v>10450</v>
      </c>
      <c r="J655" s="28" t="s">
        <v>1759</v>
      </c>
      <c r="K655" s="25">
        <v>41289</v>
      </c>
      <c r="M655" s="56">
        <v>41291</v>
      </c>
      <c r="N655" s="29" t="s">
        <v>166</v>
      </c>
      <c r="O655" s="28" t="s">
        <v>1775</v>
      </c>
      <c r="P655" s="32">
        <v>46002.239999999998</v>
      </c>
      <c r="Q655" s="56">
        <v>41289</v>
      </c>
      <c r="R655" s="194"/>
      <c r="S655" s="194"/>
      <c r="T655" s="194"/>
      <c r="U655" s="194"/>
      <c r="V655" s="194"/>
      <c r="W655" s="194"/>
      <c r="X655" s="194"/>
      <c r="Y655" s="194"/>
      <c r="Z655" s="194"/>
      <c r="AA655" s="194"/>
      <c r="AB655" s="194"/>
      <c r="AC655" s="194"/>
      <c r="AD655" s="194"/>
      <c r="AE655" s="194"/>
      <c r="AF655" s="194"/>
      <c r="AG655" s="194"/>
    </row>
    <row r="656" spans="1:33" ht="12" customHeight="1">
      <c r="A656" s="25">
        <v>41289</v>
      </c>
      <c r="B656" s="225" t="s">
        <v>1980</v>
      </c>
      <c r="C656" s="219" t="s">
        <v>162</v>
      </c>
      <c r="D656" s="225" t="s">
        <v>1969</v>
      </c>
      <c r="E656" s="205" t="s">
        <v>1754</v>
      </c>
      <c r="F656" s="205">
        <v>144</v>
      </c>
      <c r="G656" s="194" t="s">
        <v>1755</v>
      </c>
      <c r="H656" s="31">
        <v>13.96</v>
      </c>
      <c r="I656" s="27">
        <f t="shared" si="22"/>
        <v>2010.2400000000002</v>
      </c>
      <c r="J656" s="28" t="s">
        <v>1759</v>
      </c>
      <c r="K656" s="25">
        <v>41289</v>
      </c>
      <c r="M656" s="56">
        <v>41291</v>
      </c>
      <c r="N656" s="29" t="s">
        <v>166</v>
      </c>
      <c r="O656" s="28" t="s">
        <v>1775</v>
      </c>
      <c r="P656" s="32">
        <v>46002.239999999998</v>
      </c>
      <c r="Q656" s="56">
        <v>41289</v>
      </c>
      <c r="R656" s="194"/>
      <c r="S656" s="194"/>
      <c r="T656" s="194"/>
      <c r="U656" s="194"/>
      <c r="V656" s="194"/>
      <c r="W656" s="194"/>
      <c r="X656" s="194"/>
      <c r="Y656" s="194"/>
      <c r="Z656" s="194"/>
      <c r="AA656" s="194"/>
      <c r="AB656" s="194"/>
      <c r="AC656" s="194"/>
      <c r="AD656" s="194"/>
      <c r="AE656" s="194"/>
      <c r="AF656" s="194"/>
      <c r="AG656" s="194"/>
    </row>
    <row r="657" spans="1:33" ht="12" customHeight="1">
      <c r="A657" s="25">
        <v>41289</v>
      </c>
      <c r="B657" s="225" t="s">
        <v>1980</v>
      </c>
      <c r="C657" s="219" t="s">
        <v>162</v>
      </c>
      <c r="D657" s="225" t="s">
        <v>1869</v>
      </c>
      <c r="E657" s="205">
        <v>501</v>
      </c>
      <c r="F657" s="205">
        <v>200</v>
      </c>
      <c r="G657" s="194" t="s">
        <v>170</v>
      </c>
      <c r="H657" s="31">
        <v>1.39</v>
      </c>
      <c r="I657" s="27">
        <f t="shared" si="22"/>
        <v>278</v>
      </c>
      <c r="J657" s="28" t="s">
        <v>1759</v>
      </c>
      <c r="K657" s="25">
        <v>41289</v>
      </c>
      <c r="M657" s="56">
        <v>41291</v>
      </c>
      <c r="N657" s="29" t="s">
        <v>166</v>
      </c>
      <c r="O657" s="28" t="s">
        <v>1775</v>
      </c>
      <c r="P657" s="32">
        <v>46002.239999999998</v>
      </c>
      <c r="Q657" s="56">
        <v>41289</v>
      </c>
      <c r="R657" s="194"/>
      <c r="S657" s="194"/>
      <c r="T657" s="194"/>
      <c r="U657" s="194"/>
      <c r="V657" s="194"/>
      <c r="W657" s="194"/>
      <c r="X657" s="194"/>
      <c r="Y657" s="194"/>
      <c r="Z657" s="194"/>
      <c r="AA657" s="194"/>
      <c r="AB657" s="194"/>
      <c r="AC657" s="194"/>
      <c r="AD657" s="194"/>
      <c r="AE657" s="194"/>
      <c r="AF657" s="194"/>
      <c r="AG657" s="194"/>
    </row>
    <row r="658" spans="1:33" ht="12" customHeight="1">
      <c r="A658" s="25">
        <v>41289</v>
      </c>
      <c r="B658" s="225" t="s">
        <v>1980</v>
      </c>
      <c r="C658" s="219" t="s">
        <v>162</v>
      </c>
      <c r="D658" s="1" t="s">
        <v>1867</v>
      </c>
      <c r="E658" s="205">
        <v>6006</v>
      </c>
      <c r="F658" s="205">
        <v>720</v>
      </c>
      <c r="G658" s="194" t="s">
        <v>1751</v>
      </c>
      <c r="H658" s="31">
        <v>49.5</v>
      </c>
      <c r="I658" s="27">
        <f t="shared" si="22"/>
        <v>35640</v>
      </c>
      <c r="J658" s="28" t="s">
        <v>1819</v>
      </c>
      <c r="K658" s="25">
        <v>41296</v>
      </c>
      <c r="M658" s="56">
        <v>41299</v>
      </c>
      <c r="N658" s="29" t="s">
        <v>166</v>
      </c>
      <c r="O658" s="28" t="s">
        <v>1824</v>
      </c>
      <c r="P658" s="32">
        <v>51133</v>
      </c>
      <c r="Q658" s="56">
        <v>41296</v>
      </c>
    </row>
    <row r="659" spans="1:33" ht="12" customHeight="1">
      <c r="A659" s="25">
        <v>41289</v>
      </c>
      <c r="B659" s="226" t="s">
        <v>1980</v>
      </c>
      <c r="C659" s="219" t="s">
        <v>162</v>
      </c>
      <c r="D659" s="1" t="s">
        <v>1213</v>
      </c>
      <c r="E659" s="226" t="s">
        <v>178</v>
      </c>
      <c r="F659" s="226">
        <v>100</v>
      </c>
      <c r="G659" s="226" t="s">
        <v>170</v>
      </c>
      <c r="H659" s="31">
        <v>12.6</v>
      </c>
      <c r="I659" s="27">
        <f t="shared" si="22"/>
        <v>1260</v>
      </c>
      <c r="K659" s="25">
        <v>41296</v>
      </c>
      <c r="M659" s="56">
        <v>41303</v>
      </c>
      <c r="N659" s="29" t="s">
        <v>166</v>
      </c>
      <c r="O659" s="28" t="s">
        <v>1824</v>
      </c>
      <c r="P659" s="32">
        <v>51133</v>
      </c>
      <c r="Q659" s="56">
        <v>41296</v>
      </c>
      <c r="R659" s="226"/>
      <c r="S659" s="226"/>
      <c r="T659" s="226"/>
      <c r="U659" s="226"/>
      <c r="V659" s="226"/>
      <c r="W659" s="226"/>
      <c r="X659" s="226"/>
      <c r="Y659" s="226"/>
      <c r="Z659" s="226"/>
      <c r="AA659" s="226"/>
      <c r="AB659" s="226"/>
      <c r="AC659" s="226"/>
      <c r="AD659" s="226"/>
      <c r="AE659" s="226"/>
      <c r="AF659" s="226"/>
      <c r="AG659" s="226"/>
    </row>
    <row r="660" spans="1:33" ht="12" customHeight="1">
      <c r="A660" s="25">
        <v>41289</v>
      </c>
      <c r="B660" s="225" t="s">
        <v>1975</v>
      </c>
      <c r="C660" s="219" t="s">
        <v>162</v>
      </c>
      <c r="D660" s="225" t="s">
        <v>305</v>
      </c>
      <c r="E660" s="28">
        <v>1270</v>
      </c>
      <c r="F660" s="205">
        <v>10</v>
      </c>
      <c r="G660" s="194" t="s">
        <v>1753</v>
      </c>
      <c r="H660" s="31">
        <v>4.3099999999999996</v>
      </c>
      <c r="I660" s="27">
        <f t="shared" si="22"/>
        <v>43.099999999999994</v>
      </c>
      <c r="J660" s="28" t="s">
        <v>1756</v>
      </c>
      <c r="K660" s="25">
        <v>41289</v>
      </c>
      <c r="M660" s="56">
        <v>41310</v>
      </c>
      <c r="N660" s="29" t="s">
        <v>166</v>
      </c>
      <c r="O660" s="28" t="s">
        <v>5296</v>
      </c>
      <c r="P660" s="32">
        <v>52934.25</v>
      </c>
      <c r="Q660" s="56">
        <v>41333</v>
      </c>
    </row>
    <row r="661" spans="1:33" ht="12" customHeight="1">
      <c r="A661" s="25">
        <v>41289</v>
      </c>
      <c r="B661" s="225" t="s">
        <v>1979</v>
      </c>
      <c r="C661" s="219" t="s">
        <v>162</v>
      </c>
      <c r="D661" s="342" t="s">
        <v>240</v>
      </c>
      <c r="E661" s="205">
        <v>6200</v>
      </c>
      <c r="F661" s="205">
        <v>5</v>
      </c>
      <c r="G661" s="195" t="s">
        <v>170</v>
      </c>
      <c r="H661" s="31">
        <v>43.7</v>
      </c>
      <c r="I661" s="27">
        <f t="shared" si="22"/>
        <v>218.5</v>
      </c>
      <c r="J661" s="28" t="s">
        <v>1758</v>
      </c>
      <c r="K661" s="25">
        <v>41289</v>
      </c>
      <c r="M661" s="56">
        <v>41305</v>
      </c>
      <c r="N661" s="29" t="s">
        <v>166</v>
      </c>
      <c r="O661" s="28" t="s">
        <v>6120</v>
      </c>
      <c r="P661" s="32">
        <v>35658.1</v>
      </c>
      <c r="Q661" s="56">
        <v>41374</v>
      </c>
    </row>
    <row r="662" spans="1:33" ht="12" customHeight="1">
      <c r="A662" s="25">
        <v>41289</v>
      </c>
      <c r="B662" s="225" t="s">
        <v>1985</v>
      </c>
      <c r="C662" s="219" t="s">
        <v>162</v>
      </c>
      <c r="D662" s="225" t="s">
        <v>1934</v>
      </c>
      <c r="E662" s="205">
        <v>1110</v>
      </c>
      <c r="F662" s="205">
        <v>500</v>
      </c>
      <c r="G662" s="195" t="s">
        <v>172</v>
      </c>
      <c r="H662" s="31">
        <v>0.69</v>
      </c>
      <c r="I662" s="27">
        <f t="shared" si="22"/>
        <v>345</v>
      </c>
      <c r="J662" s="28" t="s">
        <v>1855</v>
      </c>
      <c r="K662" s="25">
        <v>41292</v>
      </c>
      <c r="M662" s="28" t="s">
        <v>1844</v>
      </c>
      <c r="N662" s="97" t="s">
        <v>166</v>
      </c>
      <c r="O662" s="28" t="s">
        <v>1825</v>
      </c>
      <c r="P662" s="32">
        <v>27144</v>
      </c>
      <c r="Q662" s="56">
        <v>41297</v>
      </c>
    </row>
    <row r="663" spans="1:33" ht="12" customHeight="1">
      <c r="A663" s="25">
        <v>41290</v>
      </c>
      <c r="B663" s="225" t="s">
        <v>1975</v>
      </c>
      <c r="C663" s="219" t="s">
        <v>162</v>
      </c>
      <c r="D663" s="225" t="s">
        <v>305</v>
      </c>
      <c r="E663" s="28">
        <v>1270</v>
      </c>
      <c r="F663" s="205">
        <v>500</v>
      </c>
      <c r="G663" s="197" t="s">
        <v>172</v>
      </c>
      <c r="H663" s="31">
        <v>4.3099999999999996</v>
      </c>
      <c r="I663" s="27">
        <f t="shared" si="22"/>
        <v>2155</v>
      </c>
      <c r="J663" s="28" t="s">
        <v>1766</v>
      </c>
      <c r="K663" s="25">
        <v>41290</v>
      </c>
      <c r="M663" s="56">
        <v>41310</v>
      </c>
      <c r="N663" s="29" t="s">
        <v>166</v>
      </c>
      <c r="O663" s="28" t="s">
        <v>5296</v>
      </c>
      <c r="P663" s="32">
        <v>52934.25</v>
      </c>
      <c r="Q663" s="56">
        <v>41333</v>
      </c>
    </row>
    <row r="664" spans="1:33" ht="12" customHeight="1">
      <c r="A664" s="25">
        <v>41290</v>
      </c>
      <c r="B664" s="225" t="s">
        <v>1978</v>
      </c>
      <c r="C664" s="219" t="s">
        <v>162</v>
      </c>
      <c r="D664" s="225" t="s">
        <v>1882</v>
      </c>
      <c r="E664" s="205" t="s">
        <v>1767</v>
      </c>
      <c r="F664" s="205">
        <v>200</v>
      </c>
      <c r="G664" s="197" t="s">
        <v>170</v>
      </c>
      <c r="H664" s="31">
        <v>16.5</v>
      </c>
      <c r="I664" s="27">
        <f t="shared" si="22"/>
        <v>3300</v>
      </c>
      <c r="J664" s="28" t="s">
        <v>1768</v>
      </c>
      <c r="K664" s="25">
        <v>41290</v>
      </c>
      <c r="M664" s="56">
        <v>41292</v>
      </c>
      <c r="N664" s="29" t="s">
        <v>166</v>
      </c>
      <c r="O664" s="28" t="s">
        <v>6212</v>
      </c>
      <c r="P664" s="32">
        <v>37744</v>
      </c>
      <c r="Q664" s="56">
        <v>41375</v>
      </c>
    </row>
    <row r="665" spans="1:33" ht="12" customHeight="1">
      <c r="A665" s="25">
        <v>41290</v>
      </c>
      <c r="B665" s="225" t="s">
        <v>1978</v>
      </c>
      <c r="C665" s="219" t="s">
        <v>162</v>
      </c>
      <c r="D665" s="1" t="s">
        <v>1219</v>
      </c>
      <c r="E665" s="205" t="s">
        <v>1769</v>
      </c>
      <c r="F665" s="205">
        <v>500</v>
      </c>
      <c r="G665" s="197" t="s">
        <v>170</v>
      </c>
      <c r="H665" s="31">
        <v>3.6</v>
      </c>
      <c r="I665" s="27">
        <f t="shared" si="22"/>
        <v>1800</v>
      </c>
      <c r="J665" s="28" t="s">
        <v>1768</v>
      </c>
      <c r="K665" s="25">
        <v>41290</v>
      </c>
      <c r="M665" s="56">
        <v>41292</v>
      </c>
      <c r="N665" s="29" t="s">
        <v>166</v>
      </c>
      <c r="O665" s="28" t="s">
        <v>6212</v>
      </c>
      <c r="P665" s="32">
        <v>37744</v>
      </c>
      <c r="Q665" s="56">
        <v>41375</v>
      </c>
    </row>
    <row r="666" spans="1:33" ht="12" customHeight="1">
      <c r="A666" s="25">
        <v>41290</v>
      </c>
      <c r="B666" s="225" t="s">
        <v>1978</v>
      </c>
      <c r="C666" s="219" t="s">
        <v>162</v>
      </c>
      <c r="D666" s="5" t="s">
        <v>2012</v>
      </c>
      <c r="E666" s="197" t="s">
        <v>1770</v>
      </c>
      <c r="F666" s="205">
        <v>2000</v>
      </c>
      <c r="G666" s="198" t="s">
        <v>229</v>
      </c>
      <c r="H666" s="31">
        <v>1.4</v>
      </c>
      <c r="I666" s="27">
        <f t="shared" si="22"/>
        <v>2800</v>
      </c>
      <c r="J666" s="28" t="s">
        <v>1768</v>
      </c>
      <c r="K666" s="25">
        <v>41290</v>
      </c>
      <c r="M666" s="56">
        <v>41292</v>
      </c>
      <c r="N666" s="29" t="s">
        <v>166</v>
      </c>
      <c r="O666" s="28" t="s">
        <v>6212</v>
      </c>
      <c r="P666" s="32">
        <v>37744</v>
      </c>
      <c r="Q666" s="56">
        <v>41375</v>
      </c>
    </row>
    <row r="667" spans="1:33" ht="12" customHeight="1">
      <c r="A667" s="25">
        <v>41291</v>
      </c>
      <c r="B667" s="225" t="s">
        <v>1980</v>
      </c>
      <c r="C667" s="219" t="s">
        <v>162</v>
      </c>
      <c r="D667" s="1" t="s">
        <v>1213</v>
      </c>
      <c r="E667" s="197" t="s">
        <v>1774</v>
      </c>
      <c r="F667" s="205">
        <v>300</v>
      </c>
      <c r="G667" s="197" t="s">
        <v>172</v>
      </c>
      <c r="H667" s="31">
        <v>12.6</v>
      </c>
      <c r="I667" s="27">
        <f t="shared" si="22"/>
        <v>3780</v>
      </c>
      <c r="J667" s="28" t="s">
        <v>1779</v>
      </c>
      <c r="K667" s="25">
        <v>41291</v>
      </c>
      <c r="M667" s="56">
        <v>41291</v>
      </c>
      <c r="N667" s="29" t="s">
        <v>166</v>
      </c>
      <c r="O667" s="28" t="s">
        <v>1824</v>
      </c>
      <c r="P667" s="32">
        <v>51133</v>
      </c>
      <c r="Q667" s="56">
        <v>41296</v>
      </c>
      <c r="R667" s="204"/>
    </row>
    <row r="668" spans="1:33" ht="12" customHeight="1">
      <c r="A668" s="25">
        <v>41291</v>
      </c>
      <c r="B668" s="225" t="s">
        <v>1980</v>
      </c>
      <c r="C668" s="219" t="s">
        <v>162</v>
      </c>
      <c r="D668" s="1" t="s">
        <v>1871</v>
      </c>
      <c r="E668" s="196">
        <v>8247</v>
      </c>
      <c r="F668" s="205">
        <v>120</v>
      </c>
      <c r="G668" s="197" t="s">
        <v>170</v>
      </c>
      <c r="H668" s="31">
        <v>12.35</v>
      </c>
      <c r="I668" s="27">
        <f t="shared" si="22"/>
        <v>1482</v>
      </c>
      <c r="J668" s="28" t="s">
        <v>1779</v>
      </c>
      <c r="K668" s="25">
        <v>41291</v>
      </c>
      <c r="M668" s="56">
        <v>41291</v>
      </c>
      <c r="N668" s="29" t="s">
        <v>166</v>
      </c>
      <c r="O668" s="28" t="s">
        <v>1824</v>
      </c>
      <c r="P668" s="32">
        <v>51133</v>
      </c>
      <c r="Q668" s="56">
        <v>41296</v>
      </c>
    </row>
    <row r="669" spans="1:33" ht="12" customHeight="1">
      <c r="A669" s="25">
        <v>41291</v>
      </c>
      <c r="B669" s="225" t="s">
        <v>2008</v>
      </c>
      <c r="C669" s="219" t="s">
        <v>162</v>
      </c>
      <c r="D669" s="225" t="s">
        <v>1970</v>
      </c>
      <c r="E669" s="198" t="s">
        <v>1785</v>
      </c>
      <c r="F669" s="205">
        <v>8000</v>
      </c>
      <c r="G669" s="198" t="s">
        <v>229</v>
      </c>
      <c r="H669" s="31">
        <v>1.55</v>
      </c>
      <c r="I669" s="27">
        <f t="shared" si="22"/>
        <v>12400</v>
      </c>
      <c r="J669" s="28" t="s">
        <v>1855</v>
      </c>
      <c r="K669" s="25">
        <v>41296</v>
      </c>
      <c r="M669" s="56">
        <v>41292</v>
      </c>
      <c r="N669" s="29" t="s">
        <v>166</v>
      </c>
      <c r="O669" s="28" t="s">
        <v>1822</v>
      </c>
      <c r="P669" s="32">
        <v>12400</v>
      </c>
      <c r="Q669" s="56">
        <v>41296</v>
      </c>
    </row>
    <row r="670" spans="1:33" ht="12" customHeight="1">
      <c r="A670" s="25">
        <v>41292</v>
      </c>
      <c r="B670" s="225" t="s">
        <v>2002</v>
      </c>
      <c r="C670" s="219" t="s">
        <v>162</v>
      </c>
      <c r="D670" s="225" t="s">
        <v>1949</v>
      </c>
      <c r="E670" s="200" t="s">
        <v>1505</v>
      </c>
      <c r="F670" s="205">
        <v>17</v>
      </c>
      <c r="G670" s="199" t="s">
        <v>229</v>
      </c>
      <c r="H670" s="31">
        <v>85</v>
      </c>
      <c r="I670" s="27">
        <f t="shared" si="22"/>
        <v>1445</v>
      </c>
      <c r="J670" s="28" t="s">
        <v>1855</v>
      </c>
      <c r="K670" s="25">
        <v>41295</v>
      </c>
      <c r="M670" s="56">
        <v>41292</v>
      </c>
      <c r="N670" s="29" t="s">
        <v>1786</v>
      </c>
      <c r="O670" s="28" t="s">
        <v>1823</v>
      </c>
      <c r="P670" s="32">
        <v>1445</v>
      </c>
      <c r="Q670" s="56">
        <v>41296</v>
      </c>
    </row>
    <row r="671" spans="1:33" ht="12" customHeight="1">
      <c r="A671" s="25">
        <v>41292</v>
      </c>
      <c r="B671" s="225" t="s">
        <v>1980</v>
      </c>
      <c r="C671" s="219" t="s">
        <v>162</v>
      </c>
      <c r="D671" s="225" t="s">
        <v>1916</v>
      </c>
      <c r="E671" s="196">
        <v>6800</v>
      </c>
      <c r="F671" s="205">
        <v>7</v>
      </c>
      <c r="G671" s="199" t="s">
        <v>229</v>
      </c>
      <c r="H671" s="31">
        <v>425</v>
      </c>
      <c r="I671" s="27">
        <f t="shared" si="22"/>
        <v>2975</v>
      </c>
      <c r="J671" s="28" t="s">
        <v>1855</v>
      </c>
      <c r="K671" s="25">
        <v>41292</v>
      </c>
      <c r="M671" s="56">
        <v>41299</v>
      </c>
      <c r="N671" s="29" t="s">
        <v>166</v>
      </c>
      <c r="O671" s="28" t="s">
        <v>1824</v>
      </c>
      <c r="P671" s="32">
        <v>51133</v>
      </c>
      <c r="Q671" s="56">
        <v>41296</v>
      </c>
    </row>
    <row r="672" spans="1:33" ht="12" customHeight="1">
      <c r="A672" s="25">
        <v>41292</v>
      </c>
      <c r="B672" s="225" t="s">
        <v>1980</v>
      </c>
      <c r="C672" s="219" t="s">
        <v>162</v>
      </c>
      <c r="D672" s="5" t="s">
        <v>1221</v>
      </c>
      <c r="E672" s="199" t="s">
        <v>1364</v>
      </c>
      <c r="F672" s="205">
        <v>100</v>
      </c>
      <c r="G672" s="199" t="s">
        <v>229</v>
      </c>
      <c r="H672" s="31">
        <v>35.6</v>
      </c>
      <c r="I672" s="27">
        <f t="shared" si="22"/>
        <v>3560</v>
      </c>
      <c r="J672" s="28" t="s">
        <v>1855</v>
      </c>
      <c r="K672" s="25">
        <v>41292</v>
      </c>
      <c r="M672" s="56">
        <v>41299</v>
      </c>
      <c r="N672" s="29" t="s">
        <v>166</v>
      </c>
      <c r="O672" s="28" t="s">
        <v>1824</v>
      </c>
      <c r="P672" s="32">
        <v>51133</v>
      </c>
      <c r="Q672" s="56">
        <v>41296</v>
      </c>
    </row>
    <row r="673" spans="1:33" ht="12" customHeight="1">
      <c r="A673" s="25">
        <v>41292</v>
      </c>
      <c r="B673" s="399" t="s">
        <v>6839</v>
      </c>
      <c r="C673" s="219" t="s">
        <v>162</v>
      </c>
      <c r="D673" s="225" t="s">
        <v>1789</v>
      </c>
      <c r="E673" s="199" t="s">
        <v>1788</v>
      </c>
      <c r="F673" s="205">
        <v>3</v>
      </c>
      <c r="G673" s="199" t="s">
        <v>229</v>
      </c>
      <c r="H673" s="31">
        <v>75</v>
      </c>
      <c r="I673" s="27">
        <f t="shared" si="22"/>
        <v>225</v>
      </c>
      <c r="J673" s="28" t="s">
        <v>1855</v>
      </c>
      <c r="K673" s="25">
        <v>41295</v>
      </c>
      <c r="M673" s="56">
        <v>41292</v>
      </c>
      <c r="N673" s="29" t="s">
        <v>1786</v>
      </c>
    </row>
    <row r="674" spans="1:33" ht="12" customHeight="1">
      <c r="A674" s="25">
        <v>41292</v>
      </c>
      <c r="B674" s="225" t="s">
        <v>1790</v>
      </c>
      <c r="C674" s="219" t="s">
        <v>162</v>
      </c>
      <c r="D674" s="225" t="s">
        <v>1964</v>
      </c>
      <c r="E674" s="199" t="s">
        <v>1787</v>
      </c>
      <c r="F674" s="205">
        <v>3</v>
      </c>
      <c r="G674" s="199" t="s">
        <v>229</v>
      </c>
      <c r="H674" s="31">
        <v>25</v>
      </c>
      <c r="I674" s="27">
        <f t="shared" si="22"/>
        <v>75</v>
      </c>
      <c r="J674" s="28" t="s">
        <v>1855</v>
      </c>
      <c r="K674" s="25">
        <v>41295</v>
      </c>
      <c r="M674" s="56">
        <v>41292</v>
      </c>
      <c r="N674" s="29" t="s">
        <v>1786</v>
      </c>
    </row>
    <row r="675" spans="1:33" ht="12" customHeight="1">
      <c r="A675" s="25">
        <v>41292</v>
      </c>
      <c r="B675" s="225" t="s">
        <v>2007</v>
      </c>
      <c r="C675" s="219" t="s">
        <v>162</v>
      </c>
      <c r="D675" s="225" t="s">
        <v>1965</v>
      </c>
      <c r="E675" s="199" t="s">
        <v>1615</v>
      </c>
      <c r="F675" s="205">
        <v>2</v>
      </c>
      <c r="G675" s="199" t="s">
        <v>1071</v>
      </c>
      <c r="H675" s="31">
        <v>17.82</v>
      </c>
      <c r="I675" s="27">
        <f t="shared" si="22"/>
        <v>35.64</v>
      </c>
      <c r="J675" s="28" t="s">
        <v>1855</v>
      </c>
      <c r="K675" s="25">
        <v>41295</v>
      </c>
      <c r="M675" s="56">
        <v>41292</v>
      </c>
      <c r="N675" s="29" t="s">
        <v>165</v>
      </c>
    </row>
    <row r="676" spans="1:33" ht="12" customHeight="1">
      <c r="A676" s="25">
        <v>41292</v>
      </c>
      <c r="B676" s="225" t="s">
        <v>1975</v>
      </c>
      <c r="C676" s="219" t="s">
        <v>162</v>
      </c>
      <c r="D676" s="225" t="s">
        <v>232</v>
      </c>
      <c r="E676" s="28" t="s">
        <v>186</v>
      </c>
      <c r="F676" s="205">
        <v>3000</v>
      </c>
      <c r="G676" s="199" t="s">
        <v>1793</v>
      </c>
      <c r="H676" s="31">
        <v>1.54</v>
      </c>
      <c r="I676" s="27">
        <f t="shared" si="22"/>
        <v>4620</v>
      </c>
      <c r="J676" s="28" t="s">
        <v>1794</v>
      </c>
      <c r="K676" s="25">
        <v>41292</v>
      </c>
      <c r="M676" s="56">
        <v>41310</v>
      </c>
      <c r="N676" s="29" t="s">
        <v>166</v>
      </c>
      <c r="O676" s="28" t="s">
        <v>5296</v>
      </c>
      <c r="P676" s="32">
        <v>52934.25</v>
      </c>
      <c r="Q676" s="56">
        <v>41333</v>
      </c>
    </row>
    <row r="677" spans="1:33" ht="12" customHeight="1">
      <c r="A677" s="25">
        <v>41296</v>
      </c>
      <c r="B677" s="225" t="s">
        <v>1988</v>
      </c>
      <c r="C677" s="219" t="s">
        <v>1850</v>
      </c>
      <c r="D677" s="225" t="s">
        <v>1971</v>
      </c>
      <c r="E677" s="224" t="s">
        <v>1852</v>
      </c>
      <c r="F677" s="206">
        <v>1</v>
      </c>
      <c r="G677" s="224" t="s">
        <v>1854</v>
      </c>
      <c r="H677" s="31">
        <v>27</v>
      </c>
      <c r="I677" s="27">
        <f t="shared" si="22"/>
        <v>27</v>
      </c>
      <c r="J677" s="28" t="s">
        <v>1855</v>
      </c>
      <c r="K677" s="25">
        <v>41296</v>
      </c>
      <c r="M677" s="56">
        <v>41304</v>
      </c>
      <c r="N677" s="29" t="s">
        <v>4900</v>
      </c>
      <c r="O677" s="28" t="s">
        <v>1845</v>
      </c>
      <c r="R677" s="206"/>
      <c r="S677" s="206"/>
      <c r="T677" s="206"/>
      <c r="U677" s="206"/>
      <c r="V677" s="206"/>
      <c r="W677" s="206"/>
      <c r="X677" s="206"/>
      <c r="Y677" s="206"/>
      <c r="Z677" s="206"/>
      <c r="AA677" s="206"/>
      <c r="AB677" s="206"/>
      <c r="AC677" s="206"/>
      <c r="AD677" s="206"/>
      <c r="AE677" s="206"/>
      <c r="AF677" s="206"/>
      <c r="AG677" s="206"/>
    </row>
    <row r="678" spans="1:33" ht="12" customHeight="1">
      <c r="A678" s="25">
        <v>41296</v>
      </c>
      <c r="B678" s="225" t="s">
        <v>1988</v>
      </c>
      <c r="C678" s="219" t="s">
        <v>1850</v>
      </c>
      <c r="D678" s="225" t="s">
        <v>1972</v>
      </c>
      <c r="E678" s="224" t="s">
        <v>1853</v>
      </c>
      <c r="F678" s="206">
        <v>7</v>
      </c>
      <c r="G678" s="224" t="s">
        <v>1854</v>
      </c>
      <c r="H678" s="31">
        <v>36</v>
      </c>
      <c r="I678" s="27">
        <f t="shared" si="22"/>
        <v>252</v>
      </c>
      <c r="J678" s="28" t="s">
        <v>1855</v>
      </c>
      <c r="K678" s="25">
        <v>41296</v>
      </c>
      <c r="M678" s="56">
        <v>41304</v>
      </c>
      <c r="N678" s="29" t="s">
        <v>4900</v>
      </c>
      <c r="O678" s="28" t="s">
        <v>1845</v>
      </c>
      <c r="R678" s="206"/>
      <c r="S678" s="206"/>
      <c r="T678" s="206"/>
      <c r="U678" s="206"/>
      <c r="V678" s="206"/>
      <c r="W678" s="206"/>
      <c r="X678" s="206"/>
      <c r="Y678" s="206"/>
      <c r="Z678" s="206"/>
      <c r="AA678" s="206"/>
      <c r="AB678" s="206"/>
      <c r="AC678" s="206"/>
      <c r="AD678" s="206"/>
      <c r="AE678" s="206"/>
      <c r="AF678" s="206"/>
      <c r="AG678" s="206"/>
    </row>
    <row r="679" spans="1:33" ht="12" customHeight="1">
      <c r="A679" s="25">
        <v>41297</v>
      </c>
      <c r="B679" s="225" t="s">
        <v>2000</v>
      </c>
      <c r="C679" s="219" t="s">
        <v>162</v>
      </c>
      <c r="D679" s="5" t="s">
        <v>1221</v>
      </c>
      <c r="E679" s="200" t="s">
        <v>146</v>
      </c>
      <c r="F679" s="205">
        <v>10</v>
      </c>
      <c r="G679" s="200" t="s">
        <v>1821</v>
      </c>
      <c r="H679" s="31">
        <v>40</v>
      </c>
      <c r="I679" s="27">
        <f t="shared" si="22"/>
        <v>400</v>
      </c>
      <c r="J679" s="28" t="s">
        <v>1855</v>
      </c>
      <c r="K679" s="25">
        <v>41302</v>
      </c>
      <c r="M679" s="56">
        <v>41297</v>
      </c>
      <c r="N679" s="29" t="s">
        <v>166</v>
      </c>
    </row>
    <row r="680" spans="1:33" ht="12" customHeight="1">
      <c r="A680" s="25">
        <v>41297</v>
      </c>
      <c r="B680" s="225" t="s">
        <v>2000</v>
      </c>
      <c r="C680" s="219" t="s">
        <v>162</v>
      </c>
      <c r="D680" s="225" t="s">
        <v>1826</v>
      </c>
      <c r="E680" s="196">
        <v>502</v>
      </c>
      <c r="F680" s="205">
        <v>24</v>
      </c>
      <c r="G680" s="200" t="s">
        <v>1821</v>
      </c>
      <c r="H680" s="31">
        <v>12.5</v>
      </c>
      <c r="I680" s="27">
        <f t="shared" si="22"/>
        <v>300</v>
      </c>
      <c r="J680" s="28" t="s">
        <v>1855</v>
      </c>
      <c r="K680" s="25">
        <v>41302</v>
      </c>
      <c r="M680" s="56">
        <v>41297</v>
      </c>
      <c r="N680" s="29" t="s">
        <v>166</v>
      </c>
    </row>
    <row r="681" spans="1:33" ht="12" customHeight="1">
      <c r="A681" s="25">
        <v>41297</v>
      </c>
      <c r="B681" s="225" t="s">
        <v>1978</v>
      </c>
      <c r="C681" s="219" t="s">
        <v>162</v>
      </c>
      <c r="D681" s="225" t="s">
        <v>1916</v>
      </c>
      <c r="E681" s="196">
        <v>6800</v>
      </c>
      <c r="F681" s="205">
        <v>8</v>
      </c>
      <c r="G681" s="200" t="s">
        <v>1821</v>
      </c>
      <c r="H681" s="31">
        <v>418</v>
      </c>
      <c r="I681" s="27">
        <f t="shared" si="22"/>
        <v>3344</v>
      </c>
      <c r="J681" s="28" t="s">
        <v>167</v>
      </c>
      <c r="K681" s="25">
        <v>41305</v>
      </c>
      <c r="M681" s="56">
        <v>41297</v>
      </c>
      <c r="N681" s="29" t="s">
        <v>166</v>
      </c>
      <c r="O681" s="28" t="s">
        <v>6212</v>
      </c>
      <c r="P681" s="32">
        <v>37744</v>
      </c>
      <c r="Q681" s="56">
        <v>41375</v>
      </c>
    </row>
    <row r="682" spans="1:33" ht="12" customHeight="1">
      <c r="A682" s="25">
        <v>41297</v>
      </c>
      <c r="B682" s="225" t="s">
        <v>1978</v>
      </c>
      <c r="C682" s="219" t="s">
        <v>162</v>
      </c>
      <c r="D682" s="342" t="s">
        <v>240</v>
      </c>
      <c r="E682" s="196">
        <v>6200</v>
      </c>
      <c r="F682" s="205">
        <v>72</v>
      </c>
      <c r="G682" s="200" t="s">
        <v>1821</v>
      </c>
      <c r="H682" s="31">
        <v>42.5</v>
      </c>
      <c r="I682" s="27">
        <f t="shared" si="22"/>
        <v>3060</v>
      </c>
      <c r="J682" s="28" t="s">
        <v>167</v>
      </c>
      <c r="K682" s="25">
        <v>41305</v>
      </c>
      <c r="M682" s="56">
        <v>41297</v>
      </c>
      <c r="N682" s="29" t="s">
        <v>166</v>
      </c>
      <c r="O682" s="28" t="s">
        <v>6212</v>
      </c>
      <c r="P682" s="32">
        <v>37744</v>
      </c>
      <c r="Q682" s="56">
        <v>41375</v>
      </c>
    </row>
    <row r="683" spans="1:33" ht="12" customHeight="1">
      <c r="A683" s="25">
        <v>41297</v>
      </c>
      <c r="B683" s="225" t="s">
        <v>1978</v>
      </c>
      <c r="C683" s="219" t="s">
        <v>162</v>
      </c>
      <c r="D683" s="225" t="s">
        <v>283</v>
      </c>
      <c r="E683" s="196">
        <v>6004</v>
      </c>
      <c r="F683" s="205">
        <v>270</v>
      </c>
      <c r="G683" s="200" t="s">
        <v>1821</v>
      </c>
      <c r="H683" s="31">
        <v>40</v>
      </c>
      <c r="I683" s="27">
        <f t="shared" si="22"/>
        <v>10800</v>
      </c>
      <c r="J683" s="28" t="s">
        <v>167</v>
      </c>
      <c r="K683" s="25">
        <v>41305</v>
      </c>
      <c r="M683" s="56">
        <v>41297</v>
      </c>
      <c r="N683" s="29" t="s">
        <v>166</v>
      </c>
      <c r="O683" s="28" t="s">
        <v>6212</v>
      </c>
      <c r="P683" s="32">
        <v>37744</v>
      </c>
      <c r="Q683" s="56">
        <v>41375</v>
      </c>
    </row>
    <row r="684" spans="1:33" ht="12" customHeight="1">
      <c r="A684" s="25">
        <v>41297</v>
      </c>
      <c r="B684" s="225" t="s">
        <v>1978</v>
      </c>
      <c r="C684" s="219" t="s">
        <v>162</v>
      </c>
      <c r="D684" s="225" t="s">
        <v>273</v>
      </c>
      <c r="E684" s="51" t="s">
        <v>156</v>
      </c>
      <c r="F684" s="205">
        <v>180</v>
      </c>
      <c r="G684" s="200" t="s">
        <v>1821</v>
      </c>
      <c r="H684" s="31">
        <v>29</v>
      </c>
      <c r="I684" s="27">
        <f t="shared" si="22"/>
        <v>5220</v>
      </c>
      <c r="J684" s="28" t="s">
        <v>167</v>
      </c>
      <c r="K684" s="25">
        <v>41305</v>
      </c>
      <c r="M684" s="56">
        <v>41297</v>
      </c>
      <c r="N684" s="29" t="s">
        <v>166</v>
      </c>
      <c r="O684" s="28" t="s">
        <v>6212</v>
      </c>
      <c r="P684" s="32">
        <v>37744</v>
      </c>
      <c r="Q684" s="56">
        <v>41375</v>
      </c>
    </row>
    <row r="685" spans="1:33" ht="12" customHeight="1">
      <c r="A685" s="25">
        <v>41297</v>
      </c>
      <c r="B685" s="225" t="s">
        <v>1985</v>
      </c>
      <c r="C685" s="219" t="s">
        <v>162</v>
      </c>
      <c r="D685" s="5" t="s">
        <v>1897</v>
      </c>
      <c r="E685" s="203" t="s">
        <v>1827</v>
      </c>
      <c r="F685" s="205">
        <v>360</v>
      </c>
      <c r="G685" s="203" t="s">
        <v>1828</v>
      </c>
      <c r="H685" s="31">
        <v>4</v>
      </c>
      <c r="I685" s="27">
        <f t="shared" si="22"/>
        <v>1440</v>
      </c>
      <c r="J685" s="28" t="s">
        <v>4879</v>
      </c>
      <c r="K685" s="25">
        <v>41303</v>
      </c>
      <c r="M685" s="56" t="s">
        <v>1844</v>
      </c>
      <c r="N685" s="97" t="s">
        <v>166</v>
      </c>
      <c r="O685" s="28" t="s">
        <v>5154</v>
      </c>
      <c r="P685" s="32">
        <v>53168.800000000003</v>
      </c>
      <c r="Q685" s="56">
        <v>41330</v>
      </c>
    </row>
    <row r="686" spans="1:33" ht="12" customHeight="1">
      <c r="A686" s="25">
        <v>41297</v>
      </c>
      <c r="B686" s="225" t="s">
        <v>1985</v>
      </c>
      <c r="C686" s="220" t="s">
        <v>7</v>
      </c>
      <c r="D686" s="225" t="s">
        <v>1973</v>
      </c>
      <c r="E686" s="203" t="s">
        <v>1829</v>
      </c>
      <c r="F686" s="205">
        <v>5</v>
      </c>
      <c r="G686" s="203" t="s">
        <v>1830</v>
      </c>
      <c r="H686" s="31">
        <v>170</v>
      </c>
      <c r="I686" s="27">
        <f t="shared" si="22"/>
        <v>850</v>
      </c>
      <c r="J686" s="28" t="s">
        <v>4879</v>
      </c>
      <c r="K686" s="25">
        <v>41303</v>
      </c>
      <c r="M686" s="56" t="s">
        <v>1844</v>
      </c>
      <c r="N686" s="97" t="s">
        <v>166</v>
      </c>
      <c r="O686" s="28" t="s">
        <v>5154</v>
      </c>
      <c r="P686" s="32">
        <v>53168.800000000003</v>
      </c>
      <c r="Q686" s="56">
        <v>41330</v>
      </c>
    </row>
    <row r="687" spans="1:33" ht="12" customHeight="1">
      <c r="A687" s="25">
        <v>41297</v>
      </c>
      <c r="B687" s="225" t="s">
        <v>1985</v>
      </c>
      <c r="C687" s="219" t="s">
        <v>162</v>
      </c>
      <c r="D687" s="225" t="s">
        <v>1916</v>
      </c>
      <c r="E687" s="196">
        <v>6800</v>
      </c>
      <c r="F687" s="131">
        <v>18</v>
      </c>
      <c r="G687" s="203" t="s">
        <v>1831</v>
      </c>
      <c r="H687" s="31">
        <v>434</v>
      </c>
      <c r="I687" s="27">
        <f t="shared" si="22"/>
        <v>7812</v>
      </c>
      <c r="J687" s="28" t="s">
        <v>4879</v>
      </c>
      <c r="K687" s="25">
        <v>41303</v>
      </c>
      <c r="M687" s="56" t="s">
        <v>1844</v>
      </c>
      <c r="N687" s="97" t="s">
        <v>166</v>
      </c>
      <c r="O687" s="28" t="s">
        <v>5154</v>
      </c>
      <c r="P687" s="32">
        <v>53168.800000000003</v>
      </c>
      <c r="Q687" s="56">
        <v>41330</v>
      </c>
    </row>
    <row r="688" spans="1:33" ht="12" customHeight="1">
      <c r="A688" s="25">
        <v>41297</v>
      </c>
      <c r="B688" s="225" t="s">
        <v>1985</v>
      </c>
      <c r="C688" s="220" t="s">
        <v>7</v>
      </c>
      <c r="D688" s="225" t="s">
        <v>1974</v>
      </c>
      <c r="E688" s="203" t="s">
        <v>1832</v>
      </c>
      <c r="F688" s="203">
        <v>6</v>
      </c>
      <c r="G688" s="203" t="s">
        <v>1833</v>
      </c>
      <c r="H688" s="31">
        <v>57</v>
      </c>
      <c r="I688" s="27">
        <f t="shared" si="22"/>
        <v>342</v>
      </c>
      <c r="J688" s="28" t="s">
        <v>4879</v>
      </c>
      <c r="K688" s="25">
        <v>41303</v>
      </c>
      <c r="M688" s="56" t="s">
        <v>1844</v>
      </c>
      <c r="N688" s="97" t="s">
        <v>166</v>
      </c>
      <c r="O688" s="28" t="s">
        <v>5154</v>
      </c>
      <c r="P688" s="32">
        <v>53168.800000000003</v>
      </c>
      <c r="Q688" s="56">
        <v>41330</v>
      </c>
    </row>
    <row r="689" spans="1:33" ht="12" customHeight="1">
      <c r="A689" s="25">
        <v>41298</v>
      </c>
      <c r="B689" s="225" t="s">
        <v>228</v>
      </c>
      <c r="C689" s="219" t="s">
        <v>678</v>
      </c>
      <c r="D689" s="225" t="s">
        <v>232</v>
      </c>
      <c r="E689" s="28" t="s">
        <v>1834</v>
      </c>
      <c r="F689" s="205">
        <v>4000</v>
      </c>
      <c r="G689" s="205" t="s">
        <v>1835</v>
      </c>
      <c r="H689" s="31">
        <v>1.54</v>
      </c>
      <c r="I689" s="27">
        <f t="shared" si="22"/>
        <v>6160</v>
      </c>
      <c r="J689" s="28" t="s">
        <v>1839</v>
      </c>
      <c r="K689" s="25">
        <v>41298</v>
      </c>
      <c r="M689" s="56">
        <v>41310</v>
      </c>
      <c r="N689" s="29" t="s">
        <v>166</v>
      </c>
      <c r="O689" s="28" t="s">
        <v>5296</v>
      </c>
      <c r="P689" s="32">
        <v>52934.25</v>
      </c>
      <c r="Q689" s="56">
        <v>41333</v>
      </c>
    </row>
    <row r="690" spans="1:33" ht="12" customHeight="1">
      <c r="A690" s="25">
        <v>41299</v>
      </c>
      <c r="B690" s="225" t="s">
        <v>1979</v>
      </c>
      <c r="C690" s="219" t="s">
        <v>162</v>
      </c>
      <c r="D690" s="225" t="s">
        <v>287</v>
      </c>
      <c r="E690" s="196">
        <v>10434</v>
      </c>
      <c r="F690" s="205">
        <v>30</v>
      </c>
      <c r="G690" s="223" t="s">
        <v>1848</v>
      </c>
      <c r="H690" s="31">
        <v>14.2</v>
      </c>
      <c r="I690" s="27">
        <f t="shared" si="22"/>
        <v>426</v>
      </c>
      <c r="J690" s="28" t="s">
        <v>1849</v>
      </c>
      <c r="K690" s="25">
        <v>41299</v>
      </c>
      <c r="M690" s="56">
        <v>41305</v>
      </c>
      <c r="N690" s="29" t="s">
        <v>166</v>
      </c>
      <c r="O690" s="28" t="s">
        <v>1564</v>
      </c>
    </row>
    <row r="691" spans="1:33" ht="12" customHeight="1">
      <c r="A691" s="25">
        <v>41299</v>
      </c>
      <c r="B691" s="225" t="s">
        <v>2008</v>
      </c>
      <c r="C691" s="219" t="s">
        <v>162</v>
      </c>
      <c r="D691" s="225" t="s">
        <v>1874</v>
      </c>
      <c r="E691" s="204" t="s">
        <v>1862</v>
      </c>
      <c r="F691" s="225">
        <v>260</v>
      </c>
      <c r="G691" s="225" t="s">
        <v>1860</v>
      </c>
      <c r="H691" s="31">
        <v>9.1</v>
      </c>
      <c r="I691" s="27">
        <f t="shared" si="22"/>
        <v>2366</v>
      </c>
      <c r="J691" s="28" t="s">
        <v>1863</v>
      </c>
      <c r="K691" s="25">
        <v>41302</v>
      </c>
      <c r="M691" s="56">
        <v>41299</v>
      </c>
      <c r="N691" s="29" t="s">
        <v>1861</v>
      </c>
      <c r="O691" s="322" t="s">
        <v>5370</v>
      </c>
      <c r="P691" s="321">
        <v>10660.4</v>
      </c>
      <c r="Q691" s="56">
        <v>41338</v>
      </c>
      <c r="R691" s="225"/>
      <c r="S691" s="225"/>
      <c r="T691" s="225"/>
      <c r="U691" s="225"/>
      <c r="V691" s="225"/>
      <c r="W691" s="225"/>
      <c r="X691" s="225"/>
      <c r="Y691" s="225"/>
      <c r="Z691" s="225"/>
      <c r="AA691" s="225"/>
      <c r="AB691" s="225"/>
      <c r="AC691" s="225"/>
      <c r="AD691" s="225"/>
      <c r="AE691" s="225"/>
      <c r="AF691" s="225"/>
      <c r="AG691" s="225"/>
    </row>
    <row r="692" spans="1:33" ht="12" customHeight="1">
      <c r="A692" s="25">
        <v>41299</v>
      </c>
      <c r="B692" s="225" t="s">
        <v>2008</v>
      </c>
      <c r="C692" s="219" t="s">
        <v>162</v>
      </c>
      <c r="D692" s="225" t="s">
        <v>1915</v>
      </c>
      <c r="E692" s="301" t="s">
        <v>1859</v>
      </c>
      <c r="F692" s="225">
        <v>436</v>
      </c>
      <c r="G692" s="225" t="s">
        <v>1858</v>
      </c>
      <c r="H692" s="31">
        <v>24.2</v>
      </c>
      <c r="I692" s="27">
        <f t="shared" si="22"/>
        <v>10551.199999999999</v>
      </c>
      <c r="J692" s="28" t="s">
        <v>1863</v>
      </c>
      <c r="K692" s="25">
        <v>41302</v>
      </c>
      <c r="M692" s="56">
        <v>41299</v>
      </c>
      <c r="N692" s="29" t="s">
        <v>1861</v>
      </c>
      <c r="O692" s="322" t="s">
        <v>5370</v>
      </c>
      <c r="P692" s="321">
        <v>10660.4</v>
      </c>
      <c r="Q692" s="56">
        <v>41338</v>
      </c>
      <c r="R692" s="225"/>
      <c r="S692" s="225"/>
      <c r="T692" s="225"/>
      <c r="U692" s="225"/>
      <c r="V692" s="225"/>
      <c r="W692" s="225"/>
      <c r="X692" s="225"/>
      <c r="Y692" s="225"/>
      <c r="Z692" s="225"/>
      <c r="AA692" s="225"/>
      <c r="AB692" s="225"/>
      <c r="AC692" s="225"/>
      <c r="AD692" s="225"/>
      <c r="AE692" s="225"/>
      <c r="AF692" s="225"/>
      <c r="AG692" s="225"/>
    </row>
    <row r="693" spans="1:33" ht="12" customHeight="1">
      <c r="A693" s="25">
        <v>41302</v>
      </c>
      <c r="B693" s="225" t="s">
        <v>228</v>
      </c>
      <c r="C693" s="219" t="s">
        <v>162</v>
      </c>
      <c r="D693" s="1" t="s">
        <v>1210</v>
      </c>
      <c r="E693" s="28">
        <v>3200</v>
      </c>
      <c r="F693" s="205">
        <v>100</v>
      </c>
      <c r="G693" s="224" t="s">
        <v>170</v>
      </c>
      <c r="H693" s="31">
        <v>23.94</v>
      </c>
      <c r="I693" s="27">
        <f t="shared" si="22"/>
        <v>2394</v>
      </c>
      <c r="J693" s="28" t="s">
        <v>1856</v>
      </c>
      <c r="K693" s="25">
        <v>41302</v>
      </c>
      <c r="M693" s="56">
        <v>41310</v>
      </c>
      <c r="N693" s="29" t="s">
        <v>166</v>
      </c>
      <c r="O693" s="28" t="s">
        <v>5296</v>
      </c>
      <c r="P693" s="32">
        <v>52934.25</v>
      </c>
      <c r="Q693" s="56">
        <v>41333</v>
      </c>
    </row>
    <row r="694" spans="1:33" ht="12" customHeight="1">
      <c r="A694" s="25">
        <v>41302</v>
      </c>
      <c r="B694" s="225" t="s">
        <v>228</v>
      </c>
      <c r="C694" s="219" t="s">
        <v>162</v>
      </c>
      <c r="D694" s="225" t="s">
        <v>1931</v>
      </c>
      <c r="E694" s="28">
        <v>3700</v>
      </c>
      <c r="F694" s="224">
        <v>100</v>
      </c>
      <c r="G694" s="224" t="s">
        <v>170</v>
      </c>
      <c r="H694" s="31">
        <v>3.09</v>
      </c>
      <c r="I694" s="27">
        <f>H694*F694</f>
        <v>309</v>
      </c>
      <c r="J694" s="28" t="s">
        <v>1856</v>
      </c>
      <c r="K694" s="25">
        <v>41302</v>
      </c>
      <c r="M694" s="56">
        <v>41310</v>
      </c>
      <c r="N694" s="29" t="s">
        <v>166</v>
      </c>
      <c r="O694" s="28" t="s">
        <v>5296</v>
      </c>
      <c r="P694" s="32">
        <v>52934.25</v>
      </c>
      <c r="Q694" s="56">
        <v>41333</v>
      </c>
    </row>
    <row r="695" spans="1:33" ht="12" customHeight="1">
      <c r="A695" s="25">
        <v>41302</v>
      </c>
      <c r="B695" s="225" t="s">
        <v>228</v>
      </c>
      <c r="C695" s="219" t="s">
        <v>162</v>
      </c>
      <c r="D695" s="225" t="s">
        <v>232</v>
      </c>
      <c r="E695" s="28" t="s">
        <v>186</v>
      </c>
      <c r="F695" s="205">
        <v>500</v>
      </c>
      <c r="G695" s="224" t="s">
        <v>171</v>
      </c>
      <c r="H695" s="31">
        <v>1.54</v>
      </c>
      <c r="I695" s="27">
        <f t="shared" si="22"/>
        <v>770</v>
      </c>
      <c r="J695" s="28" t="s">
        <v>1856</v>
      </c>
      <c r="K695" s="25">
        <v>41302</v>
      </c>
      <c r="M695" s="56">
        <v>41310</v>
      </c>
      <c r="N695" s="29" t="s">
        <v>166</v>
      </c>
      <c r="O695" s="28" t="s">
        <v>5296</v>
      </c>
      <c r="P695" s="32">
        <v>52934.25</v>
      </c>
      <c r="Q695" s="56">
        <v>41333</v>
      </c>
    </row>
    <row r="696" spans="1:33" ht="12" customHeight="1">
      <c r="A696" s="25">
        <v>41302</v>
      </c>
      <c r="B696" s="225" t="s">
        <v>228</v>
      </c>
      <c r="C696" s="219" t="s">
        <v>162</v>
      </c>
      <c r="D696" s="225" t="s">
        <v>305</v>
      </c>
      <c r="E696" s="28">
        <v>1270</v>
      </c>
      <c r="F696" s="205">
        <v>200</v>
      </c>
      <c r="G696" s="224" t="s">
        <v>172</v>
      </c>
      <c r="H696" s="31">
        <v>4.3099999999999996</v>
      </c>
      <c r="I696" s="27">
        <f t="shared" si="22"/>
        <v>861.99999999999989</v>
      </c>
      <c r="J696" s="28" t="s">
        <v>1856</v>
      </c>
      <c r="K696" s="25">
        <v>41302</v>
      </c>
      <c r="M696" s="56">
        <v>41310</v>
      </c>
      <c r="N696" s="29" t="s">
        <v>166</v>
      </c>
      <c r="O696" s="28" t="s">
        <v>5296</v>
      </c>
      <c r="P696" s="32">
        <v>52934.25</v>
      </c>
      <c r="Q696" s="56">
        <v>41333</v>
      </c>
    </row>
    <row r="697" spans="1:33" ht="12" customHeight="1">
      <c r="A697" s="25">
        <v>41302</v>
      </c>
      <c r="B697" s="225" t="s">
        <v>2000</v>
      </c>
      <c r="C697" s="219" t="s">
        <v>162</v>
      </c>
      <c r="D697" s="5" t="s">
        <v>1221</v>
      </c>
      <c r="E697" s="225" t="s">
        <v>146</v>
      </c>
      <c r="F697" s="205">
        <v>20</v>
      </c>
      <c r="G697" s="225" t="s">
        <v>1858</v>
      </c>
      <c r="H697" s="31">
        <v>40</v>
      </c>
      <c r="I697" s="27">
        <f t="shared" si="22"/>
        <v>800</v>
      </c>
      <c r="J697" s="28" t="s">
        <v>5002</v>
      </c>
      <c r="K697" s="25">
        <v>41309</v>
      </c>
      <c r="M697" s="56">
        <v>41303</v>
      </c>
      <c r="N697" s="29" t="s">
        <v>1864</v>
      </c>
    </row>
    <row r="698" spans="1:33" ht="12" customHeight="1">
      <c r="A698" s="25">
        <v>41303</v>
      </c>
      <c r="B698" s="225" t="s">
        <v>228</v>
      </c>
      <c r="C698" s="219" t="s">
        <v>162</v>
      </c>
      <c r="D698" s="225" t="s">
        <v>350</v>
      </c>
      <c r="E698" s="28">
        <v>7502</v>
      </c>
      <c r="F698" s="205">
        <v>15</v>
      </c>
      <c r="G698" s="225" t="s">
        <v>1858</v>
      </c>
      <c r="H698" s="31">
        <v>122.8</v>
      </c>
      <c r="I698" s="27">
        <f t="shared" si="22"/>
        <v>1842</v>
      </c>
      <c r="J698" s="28" t="s">
        <v>4878</v>
      </c>
      <c r="K698" s="25">
        <v>41303</v>
      </c>
      <c r="M698" s="56">
        <v>41331</v>
      </c>
      <c r="N698" s="29" t="s">
        <v>166</v>
      </c>
      <c r="O698" s="28" t="s">
        <v>5296</v>
      </c>
      <c r="P698" s="32">
        <v>52934.25</v>
      </c>
      <c r="Q698" s="56">
        <v>41333</v>
      </c>
    </row>
    <row r="699" spans="1:33" ht="12" customHeight="1">
      <c r="A699" s="25">
        <v>41303</v>
      </c>
      <c r="B699" s="225" t="s">
        <v>228</v>
      </c>
      <c r="C699" s="219" t="s">
        <v>162</v>
      </c>
      <c r="D699" s="225" t="s">
        <v>263</v>
      </c>
      <c r="E699" s="28" t="s">
        <v>4876</v>
      </c>
      <c r="F699" s="205">
        <v>100</v>
      </c>
      <c r="G699" s="225" t="s">
        <v>1858</v>
      </c>
      <c r="H699" s="31">
        <v>1.58</v>
      </c>
      <c r="I699" s="27">
        <f t="shared" si="22"/>
        <v>158</v>
      </c>
      <c r="J699" s="28" t="s">
        <v>4878</v>
      </c>
      <c r="K699" s="25">
        <v>41303</v>
      </c>
      <c r="M699" s="56">
        <v>41331</v>
      </c>
      <c r="N699" s="29" t="s">
        <v>166</v>
      </c>
      <c r="O699" s="28" t="s">
        <v>5296</v>
      </c>
      <c r="P699" s="32">
        <v>52934.25</v>
      </c>
      <c r="Q699" s="56">
        <v>41333</v>
      </c>
    </row>
    <row r="700" spans="1:33" ht="12" customHeight="1">
      <c r="A700" s="25">
        <v>41303</v>
      </c>
      <c r="B700" s="225" t="s">
        <v>228</v>
      </c>
      <c r="C700" s="219" t="s">
        <v>162</v>
      </c>
      <c r="D700" s="225" t="s">
        <v>287</v>
      </c>
      <c r="E700" s="28">
        <v>10434</v>
      </c>
      <c r="F700" s="205">
        <v>120</v>
      </c>
      <c r="G700" s="225" t="s">
        <v>4877</v>
      </c>
      <c r="H700" s="31">
        <v>16.079999999999998</v>
      </c>
      <c r="I700" s="27">
        <f t="shared" si="22"/>
        <v>1929.6</v>
      </c>
      <c r="J700" s="28" t="s">
        <v>4878</v>
      </c>
      <c r="K700" s="25">
        <v>41303</v>
      </c>
      <c r="M700" s="56">
        <v>41331</v>
      </c>
      <c r="N700" s="29" t="s">
        <v>166</v>
      </c>
      <c r="O700" s="28" t="s">
        <v>5296</v>
      </c>
      <c r="P700" s="32">
        <v>52934.25</v>
      </c>
      <c r="Q700" s="56">
        <v>41333</v>
      </c>
    </row>
    <row r="701" spans="1:33" ht="12" customHeight="1">
      <c r="A701" s="25">
        <v>41304</v>
      </c>
      <c r="B701" s="283" t="s">
        <v>228</v>
      </c>
      <c r="C701" s="219" t="s">
        <v>162</v>
      </c>
      <c r="D701" s="1" t="s">
        <v>1210</v>
      </c>
      <c r="E701" s="28">
        <v>3200</v>
      </c>
      <c r="F701" s="205">
        <v>40</v>
      </c>
      <c r="G701" s="283" t="s">
        <v>4890</v>
      </c>
      <c r="H701" s="31">
        <v>23.94</v>
      </c>
      <c r="I701" s="27">
        <f t="shared" si="22"/>
        <v>957.6</v>
      </c>
      <c r="J701" s="28" t="s">
        <v>4895</v>
      </c>
      <c r="K701" s="25">
        <v>41304</v>
      </c>
      <c r="M701" s="56">
        <v>41331</v>
      </c>
      <c r="N701" s="29" t="s">
        <v>166</v>
      </c>
      <c r="O701" s="28" t="s">
        <v>5296</v>
      </c>
      <c r="P701" s="32">
        <v>52934.25</v>
      </c>
      <c r="Q701" s="56">
        <v>41333</v>
      </c>
    </row>
    <row r="702" spans="1:33" ht="12" customHeight="1">
      <c r="A702" s="25">
        <v>41304</v>
      </c>
      <c r="B702" s="283" t="s">
        <v>228</v>
      </c>
      <c r="C702" s="219" t="s">
        <v>162</v>
      </c>
      <c r="D702" s="283" t="s">
        <v>353</v>
      </c>
      <c r="E702" s="28" t="s">
        <v>22</v>
      </c>
      <c r="F702" s="205">
        <v>120</v>
      </c>
      <c r="G702" s="283" t="s">
        <v>4890</v>
      </c>
      <c r="H702" s="31">
        <v>10.94</v>
      </c>
      <c r="I702" s="27">
        <f t="shared" ref="I702:I707" si="23">H702*F702</f>
        <v>1312.8</v>
      </c>
      <c r="J702" s="28" t="s">
        <v>4895</v>
      </c>
      <c r="K702" s="25">
        <v>41304</v>
      </c>
      <c r="M702" s="56">
        <v>41331</v>
      </c>
      <c r="N702" s="29" t="s">
        <v>166</v>
      </c>
      <c r="O702" s="28" t="s">
        <v>5296</v>
      </c>
      <c r="P702" s="32">
        <v>52934.25</v>
      </c>
      <c r="Q702" s="56">
        <v>41333</v>
      </c>
    </row>
    <row r="703" spans="1:33" ht="12" customHeight="1">
      <c r="A703" s="25">
        <v>41305</v>
      </c>
      <c r="B703" s="296" t="s">
        <v>228</v>
      </c>
      <c r="C703" s="219" t="s">
        <v>162</v>
      </c>
      <c r="D703" s="5" t="s">
        <v>2009</v>
      </c>
      <c r="E703" s="28" t="s">
        <v>4928</v>
      </c>
      <c r="F703" s="205">
        <v>10</v>
      </c>
      <c r="G703" s="296" t="s">
        <v>4929</v>
      </c>
      <c r="H703" s="31">
        <v>30.15</v>
      </c>
      <c r="I703" s="27">
        <f t="shared" si="23"/>
        <v>301.5</v>
      </c>
      <c r="J703" s="28" t="s">
        <v>4931</v>
      </c>
      <c r="K703" s="25">
        <v>41305</v>
      </c>
      <c r="M703" s="56">
        <v>41331</v>
      </c>
      <c r="N703" s="29" t="s">
        <v>166</v>
      </c>
      <c r="O703" s="28" t="s">
        <v>5296</v>
      </c>
      <c r="P703" s="32">
        <v>52934.25</v>
      </c>
      <c r="Q703" s="56">
        <v>41333</v>
      </c>
    </row>
    <row r="704" spans="1:33" ht="12" customHeight="1">
      <c r="A704" s="25">
        <v>41306</v>
      </c>
      <c r="B704" s="297" t="s">
        <v>228</v>
      </c>
      <c r="C704" s="219" t="s">
        <v>162</v>
      </c>
      <c r="D704" s="1" t="s">
        <v>1749</v>
      </c>
      <c r="E704" s="28">
        <v>1621</v>
      </c>
      <c r="F704" s="205">
        <v>5</v>
      </c>
      <c r="G704" s="297" t="s">
        <v>172</v>
      </c>
      <c r="H704" s="31">
        <v>8.84</v>
      </c>
      <c r="I704" s="27">
        <f t="shared" si="23"/>
        <v>44.2</v>
      </c>
      <c r="J704" s="28" t="s">
        <v>4942</v>
      </c>
      <c r="K704" s="25">
        <v>41306</v>
      </c>
      <c r="M704" s="56">
        <v>41331</v>
      </c>
      <c r="N704" s="29" t="s">
        <v>166</v>
      </c>
      <c r="O704" s="28" t="s">
        <v>5296</v>
      </c>
      <c r="P704" s="32">
        <v>52934.25</v>
      </c>
      <c r="Q704" s="56">
        <v>41333</v>
      </c>
    </row>
    <row r="705" spans="1:17" ht="12" customHeight="1">
      <c r="A705" s="25">
        <v>41306</v>
      </c>
      <c r="B705" s="297" t="s">
        <v>1979</v>
      </c>
      <c r="C705" s="219" t="s">
        <v>162</v>
      </c>
      <c r="D705" s="5" t="s">
        <v>1882</v>
      </c>
      <c r="E705" s="297" t="s">
        <v>4943</v>
      </c>
      <c r="F705" s="205">
        <v>14</v>
      </c>
      <c r="G705" s="297" t="s">
        <v>4937</v>
      </c>
      <c r="H705" s="31">
        <v>17.2</v>
      </c>
      <c r="I705" s="27">
        <f t="shared" si="23"/>
        <v>240.79999999999998</v>
      </c>
      <c r="J705" s="28" t="s">
        <v>4944</v>
      </c>
      <c r="K705" s="25">
        <v>41306</v>
      </c>
      <c r="M705" s="56">
        <v>41374</v>
      </c>
      <c r="N705" s="29" t="s">
        <v>166</v>
      </c>
      <c r="O705" s="28" t="s">
        <v>6120</v>
      </c>
      <c r="P705" s="32">
        <v>35658.1</v>
      </c>
      <c r="Q705" s="56">
        <v>41374</v>
      </c>
    </row>
    <row r="706" spans="1:17" ht="12" customHeight="1">
      <c r="A706" s="25">
        <v>41306</v>
      </c>
      <c r="B706" s="298" t="s">
        <v>1985</v>
      </c>
      <c r="C706" s="219" t="s">
        <v>162</v>
      </c>
      <c r="D706" s="298" t="s">
        <v>1891</v>
      </c>
      <c r="E706" s="415" t="s">
        <v>2048</v>
      </c>
      <c r="F706" s="205">
        <v>22</v>
      </c>
      <c r="G706" s="298" t="s">
        <v>192</v>
      </c>
      <c r="H706" s="31">
        <v>111.72</v>
      </c>
      <c r="I706" s="27">
        <f t="shared" si="23"/>
        <v>2457.84</v>
      </c>
      <c r="J706" s="28" t="s">
        <v>4976</v>
      </c>
      <c r="K706" s="25">
        <v>41309</v>
      </c>
      <c r="M706" s="56">
        <v>41306</v>
      </c>
      <c r="N706" s="29" t="s">
        <v>166</v>
      </c>
      <c r="O706" s="28" t="s">
        <v>5154</v>
      </c>
      <c r="P706" s="32">
        <v>53168.800000000003</v>
      </c>
      <c r="Q706" s="56">
        <v>41330</v>
      </c>
    </row>
    <row r="707" spans="1:17" ht="12" customHeight="1">
      <c r="A707" s="25">
        <v>41306</v>
      </c>
      <c r="B707" s="298" t="s">
        <v>1985</v>
      </c>
      <c r="C707" s="219" t="s">
        <v>162</v>
      </c>
      <c r="D707" s="5" t="s">
        <v>2009</v>
      </c>
      <c r="E707" s="298" t="s">
        <v>4973</v>
      </c>
      <c r="F707" s="205">
        <v>60</v>
      </c>
      <c r="G707" s="298" t="s">
        <v>4980</v>
      </c>
      <c r="H707" s="31">
        <v>29.3</v>
      </c>
      <c r="I707" s="27">
        <f t="shared" si="23"/>
        <v>1758</v>
      </c>
      <c r="J707" s="28" t="s">
        <v>4976</v>
      </c>
      <c r="K707" s="25">
        <v>41309</v>
      </c>
      <c r="M707" s="56">
        <v>41306</v>
      </c>
      <c r="N707" s="29" t="s">
        <v>166</v>
      </c>
      <c r="O707" s="28" t="s">
        <v>5154</v>
      </c>
      <c r="P707" s="32">
        <v>53168.800000000003</v>
      </c>
      <c r="Q707" s="56">
        <v>41330</v>
      </c>
    </row>
    <row r="708" spans="1:17" ht="12" customHeight="1">
      <c r="A708" s="25">
        <v>41306</v>
      </c>
      <c r="B708" s="298" t="s">
        <v>1985</v>
      </c>
      <c r="C708" s="220" t="s">
        <v>7</v>
      </c>
      <c r="D708" s="298" t="s">
        <v>4977</v>
      </c>
      <c r="E708" s="298" t="s">
        <v>4974</v>
      </c>
      <c r="F708" s="205">
        <v>4800</v>
      </c>
      <c r="G708" s="298" t="s">
        <v>4979</v>
      </c>
      <c r="H708" s="31">
        <v>1.32</v>
      </c>
      <c r="I708" s="27">
        <f t="shared" ref="I708:I730" si="24">H708*F708</f>
        <v>6336</v>
      </c>
      <c r="J708" s="28" t="s">
        <v>4976</v>
      </c>
      <c r="K708" s="25">
        <v>41309</v>
      </c>
      <c r="M708" s="56">
        <v>41306</v>
      </c>
      <c r="N708" s="29" t="s">
        <v>166</v>
      </c>
      <c r="O708" s="28" t="s">
        <v>5154</v>
      </c>
      <c r="P708" s="32">
        <v>53168.800000000003</v>
      </c>
      <c r="Q708" s="56">
        <v>41330</v>
      </c>
    </row>
    <row r="709" spans="1:17" ht="12" customHeight="1">
      <c r="A709" s="25">
        <v>41306</v>
      </c>
      <c r="B709" s="298" t="s">
        <v>1985</v>
      </c>
      <c r="C709" s="220" t="s">
        <v>7</v>
      </c>
      <c r="D709" s="298" t="s">
        <v>4978</v>
      </c>
      <c r="E709" s="298" t="s">
        <v>4975</v>
      </c>
      <c r="F709" s="205">
        <v>100</v>
      </c>
      <c r="G709" s="298" t="s">
        <v>4979</v>
      </c>
      <c r="H709" s="31">
        <v>13.39</v>
      </c>
      <c r="I709" s="27">
        <f t="shared" si="24"/>
        <v>1339</v>
      </c>
      <c r="J709" s="28" t="s">
        <v>4976</v>
      </c>
      <c r="K709" s="25">
        <v>41309</v>
      </c>
      <c r="M709" s="56">
        <v>41306</v>
      </c>
      <c r="N709" s="29" t="s">
        <v>166</v>
      </c>
      <c r="O709" s="28" t="s">
        <v>5154</v>
      </c>
      <c r="P709" s="32">
        <v>53168.800000000003</v>
      </c>
      <c r="Q709" s="56">
        <v>41330</v>
      </c>
    </row>
    <row r="710" spans="1:17" ht="12" customHeight="1">
      <c r="A710" s="25">
        <v>41306</v>
      </c>
      <c r="B710" s="298" t="s">
        <v>1985</v>
      </c>
      <c r="C710" s="219" t="s">
        <v>861</v>
      </c>
      <c r="D710" s="314" t="s">
        <v>5209</v>
      </c>
      <c r="E710" s="95" t="s">
        <v>1067</v>
      </c>
      <c r="F710" s="205">
        <v>5</v>
      </c>
      <c r="G710" s="376" t="s">
        <v>192</v>
      </c>
      <c r="H710" s="31">
        <v>221</v>
      </c>
      <c r="I710" s="27">
        <f t="shared" si="24"/>
        <v>1105</v>
      </c>
      <c r="J710" s="28" t="s">
        <v>4987</v>
      </c>
      <c r="K710" s="25">
        <v>41309</v>
      </c>
      <c r="M710" s="56">
        <v>41322</v>
      </c>
      <c r="N710" s="29" t="s">
        <v>166</v>
      </c>
      <c r="O710" s="28" t="s">
        <v>5154</v>
      </c>
      <c r="P710" s="32">
        <v>53168.800000000003</v>
      </c>
      <c r="Q710" s="56">
        <v>41330</v>
      </c>
    </row>
    <row r="711" spans="1:17" ht="12" customHeight="1">
      <c r="A711" s="25">
        <v>41322</v>
      </c>
      <c r="B711" s="302" t="s">
        <v>228</v>
      </c>
      <c r="C711" s="219" t="s">
        <v>162</v>
      </c>
      <c r="D711" s="5" t="s">
        <v>2012</v>
      </c>
      <c r="E711" s="28" t="s">
        <v>4999</v>
      </c>
      <c r="F711" s="205">
        <v>500</v>
      </c>
      <c r="G711" s="302" t="s">
        <v>5001</v>
      </c>
      <c r="H711" s="31">
        <v>1.55</v>
      </c>
      <c r="I711" s="27">
        <f t="shared" si="24"/>
        <v>775</v>
      </c>
      <c r="J711" s="28" t="s">
        <v>5004</v>
      </c>
      <c r="K711" s="25">
        <v>41322</v>
      </c>
      <c r="M711" s="56">
        <v>41331</v>
      </c>
      <c r="N711" s="29" t="s">
        <v>166</v>
      </c>
      <c r="O711" s="28" t="s">
        <v>5296</v>
      </c>
      <c r="P711" s="32">
        <v>52934.25</v>
      </c>
      <c r="Q711" s="56">
        <v>41333</v>
      </c>
    </row>
    <row r="712" spans="1:17" ht="12" customHeight="1">
      <c r="A712" s="25">
        <v>41322</v>
      </c>
      <c r="B712" s="302" t="s">
        <v>228</v>
      </c>
      <c r="C712" s="219" t="s">
        <v>162</v>
      </c>
      <c r="D712" s="303" t="s">
        <v>5047</v>
      </c>
      <c r="E712" s="28">
        <v>8210</v>
      </c>
      <c r="F712" s="205">
        <v>70</v>
      </c>
      <c r="G712" s="302" t="s">
        <v>5001</v>
      </c>
      <c r="H712" s="31">
        <v>4.45</v>
      </c>
      <c r="I712" s="27">
        <f t="shared" si="24"/>
        <v>311.5</v>
      </c>
      <c r="J712" s="28" t="s">
        <v>5004</v>
      </c>
      <c r="K712" s="25">
        <v>41322</v>
      </c>
      <c r="M712" s="56">
        <v>41331</v>
      </c>
      <c r="N712" s="29" t="s">
        <v>166</v>
      </c>
      <c r="O712" s="28" t="s">
        <v>5296</v>
      </c>
      <c r="P712" s="32">
        <v>52934.25</v>
      </c>
      <c r="Q712" s="56">
        <v>41333</v>
      </c>
    </row>
    <row r="713" spans="1:17" ht="12" customHeight="1">
      <c r="A713" s="25">
        <v>41322</v>
      </c>
      <c r="B713" s="302" t="s">
        <v>1985</v>
      </c>
      <c r="C713" s="219" t="s">
        <v>162</v>
      </c>
      <c r="D713" s="302" t="s">
        <v>353</v>
      </c>
      <c r="E713" s="302" t="s">
        <v>5007</v>
      </c>
      <c r="F713" s="205">
        <v>460</v>
      </c>
      <c r="G713" s="302" t="s">
        <v>5001</v>
      </c>
      <c r="H713" s="31">
        <v>18.37</v>
      </c>
      <c r="I713" s="27">
        <f t="shared" si="24"/>
        <v>8450.2000000000007</v>
      </c>
      <c r="J713" s="28" t="s">
        <v>5137</v>
      </c>
      <c r="K713" s="25">
        <v>41327</v>
      </c>
      <c r="M713" s="56">
        <v>41322</v>
      </c>
      <c r="N713" s="29" t="s">
        <v>166</v>
      </c>
      <c r="O713" s="28" t="s">
        <v>5154</v>
      </c>
      <c r="P713" s="32">
        <v>53168.800000000003</v>
      </c>
      <c r="Q713" s="56">
        <v>41330</v>
      </c>
    </row>
    <row r="714" spans="1:17" ht="12" customHeight="1">
      <c r="A714" s="25">
        <v>41322</v>
      </c>
      <c r="B714" s="302" t="s">
        <v>1985</v>
      </c>
      <c r="C714" s="219" t="s">
        <v>162</v>
      </c>
      <c r="D714" s="302" t="s">
        <v>182</v>
      </c>
      <c r="E714" s="302" t="s">
        <v>5005</v>
      </c>
      <c r="F714" s="205">
        <v>2500</v>
      </c>
      <c r="G714" s="302" t="s">
        <v>5006</v>
      </c>
      <c r="H714" s="31">
        <v>5.0599999999999996</v>
      </c>
      <c r="I714" s="27">
        <f t="shared" si="24"/>
        <v>12649.999999999998</v>
      </c>
      <c r="J714" s="28" t="s">
        <v>5137</v>
      </c>
      <c r="K714" s="25">
        <v>41327</v>
      </c>
      <c r="M714" s="56">
        <v>41322</v>
      </c>
      <c r="N714" s="29" t="s">
        <v>166</v>
      </c>
      <c r="O714" s="28" t="s">
        <v>5154</v>
      </c>
      <c r="P714" s="32">
        <v>53168.800000000003</v>
      </c>
      <c r="Q714" s="56">
        <v>41330</v>
      </c>
    </row>
    <row r="715" spans="1:17" ht="12" customHeight="1">
      <c r="A715" s="25">
        <v>41322</v>
      </c>
      <c r="B715" s="302" t="s">
        <v>1985</v>
      </c>
      <c r="C715" s="219" t="s">
        <v>162</v>
      </c>
      <c r="D715" s="302" t="s">
        <v>263</v>
      </c>
      <c r="E715" s="196">
        <v>501</v>
      </c>
      <c r="F715" s="205">
        <v>220</v>
      </c>
      <c r="G715" s="302" t="s">
        <v>5001</v>
      </c>
      <c r="H715" s="31">
        <v>1.43</v>
      </c>
      <c r="I715" s="27">
        <f t="shared" si="24"/>
        <v>314.59999999999997</v>
      </c>
      <c r="J715" s="28" t="s">
        <v>5137</v>
      </c>
      <c r="K715" s="25">
        <v>41327</v>
      </c>
      <c r="M715" s="56">
        <v>41322</v>
      </c>
      <c r="N715" s="29" t="s">
        <v>166</v>
      </c>
      <c r="O715" s="28" t="s">
        <v>5154</v>
      </c>
      <c r="P715" s="32">
        <v>53168.800000000003</v>
      </c>
      <c r="Q715" s="56">
        <v>41330</v>
      </c>
    </row>
    <row r="716" spans="1:17" ht="12" customHeight="1">
      <c r="A716" s="25">
        <v>41323</v>
      </c>
      <c r="B716" s="303" t="s">
        <v>228</v>
      </c>
      <c r="C716" s="219" t="s">
        <v>162</v>
      </c>
      <c r="D716" s="303" t="s">
        <v>5031</v>
      </c>
      <c r="E716" s="28">
        <v>85078</v>
      </c>
      <c r="F716" s="205">
        <v>10</v>
      </c>
      <c r="G716" s="303" t="s">
        <v>170</v>
      </c>
      <c r="H716" s="31">
        <v>27</v>
      </c>
      <c r="I716" s="27">
        <f t="shared" si="24"/>
        <v>270</v>
      </c>
      <c r="J716" s="28" t="s">
        <v>5032</v>
      </c>
      <c r="K716" s="25">
        <v>41323</v>
      </c>
      <c r="M716" s="56">
        <v>41331</v>
      </c>
      <c r="N716" s="29" t="s">
        <v>166</v>
      </c>
      <c r="O716" s="28" t="s">
        <v>5296</v>
      </c>
      <c r="P716" s="32">
        <v>52934.25</v>
      </c>
      <c r="Q716" s="56">
        <v>41333</v>
      </c>
    </row>
    <row r="717" spans="1:17" ht="12" customHeight="1">
      <c r="A717" s="25">
        <v>41323</v>
      </c>
      <c r="B717" s="303" t="s">
        <v>1979</v>
      </c>
      <c r="C717" s="219" t="s">
        <v>162</v>
      </c>
      <c r="D717" s="342" t="s">
        <v>240</v>
      </c>
      <c r="E717" s="196">
        <v>6200</v>
      </c>
      <c r="F717" s="205">
        <v>504</v>
      </c>
      <c r="G717" s="303" t="s">
        <v>170</v>
      </c>
      <c r="H717" s="31">
        <v>44.5</v>
      </c>
      <c r="I717" s="27">
        <f t="shared" si="24"/>
        <v>22428</v>
      </c>
      <c r="J717" s="28" t="s">
        <v>5035</v>
      </c>
      <c r="K717" s="25">
        <v>41323</v>
      </c>
      <c r="M717" s="56">
        <v>41374</v>
      </c>
      <c r="N717" s="29" t="s">
        <v>166</v>
      </c>
      <c r="O717" s="28" t="s">
        <v>6120</v>
      </c>
      <c r="P717" s="32">
        <v>35658.1</v>
      </c>
      <c r="Q717" s="56">
        <v>41374</v>
      </c>
    </row>
    <row r="718" spans="1:17" ht="12" customHeight="1">
      <c r="A718" s="25">
        <v>41323</v>
      </c>
      <c r="B718" s="303" t="s">
        <v>1985</v>
      </c>
      <c r="C718" s="219" t="s">
        <v>162</v>
      </c>
      <c r="D718" s="303" t="s">
        <v>353</v>
      </c>
      <c r="E718" s="303" t="s">
        <v>145</v>
      </c>
      <c r="F718" s="205">
        <v>120</v>
      </c>
      <c r="G718" s="303" t="s">
        <v>170</v>
      </c>
      <c r="H718" s="31">
        <v>18.37</v>
      </c>
      <c r="I718" s="27">
        <f t="shared" si="24"/>
        <v>2204.4</v>
      </c>
      <c r="J718" s="28" t="s">
        <v>5137</v>
      </c>
      <c r="K718" s="25">
        <v>41327</v>
      </c>
      <c r="M718" s="56">
        <v>41326</v>
      </c>
      <c r="N718" s="29" t="s">
        <v>166</v>
      </c>
      <c r="O718" s="28" t="s">
        <v>5154</v>
      </c>
      <c r="P718" s="32">
        <v>53168.800000000003</v>
      </c>
      <c r="Q718" s="56">
        <v>41330</v>
      </c>
    </row>
    <row r="719" spans="1:17" ht="12" customHeight="1">
      <c r="A719" s="25">
        <v>41323</v>
      </c>
      <c r="B719" s="303" t="s">
        <v>1985</v>
      </c>
      <c r="C719" s="219" t="s">
        <v>162</v>
      </c>
      <c r="D719" s="318" t="s">
        <v>5047</v>
      </c>
      <c r="E719" s="196">
        <v>8210</v>
      </c>
      <c r="F719" s="205">
        <v>320</v>
      </c>
      <c r="G719" s="303" t="s">
        <v>170</v>
      </c>
      <c r="H719" s="31">
        <v>3.78</v>
      </c>
      <c r="I719" s="27">
        <f t="shared" si="24"/>
        <v>1209.5999999999999</v>
      </c>
      <c r="J719" s="28" t="s">
        <v>5137</v>
      </c>
      <c r="K719" s="25">
        <v>41327</v>
      </c>
      <c r="M719" s="56">
        <v>41326</v>
      </c>
      <c r="N719" s="29" t="s">
        <v>166</v>
      </c>
      <c r="O719" s="28" t="s">
        <v>5154</v>
      </c>
      <c r="P719" s="32">
        <v>53168.800000000003</v>
      </c>
      <c r="Q719" s="56">
        <v>41330</v>
      </c>
    </row>
    <row r="720" spans="1:17" ht="12" customHeight="1">
      <c r="A720" s="25">
        <v>41324</v>
      </c>
      <c r="B720" s="304" t="s">
        <v>228</v>
      </c>
      <c r="C720" s="219" t="s">
        <v>162</v>
      </c>
      <c r="D720" s="5" t="s">
        <v>5069</v>
      </c>
      <c r="E720" s="28" t="s">
        <v>5068</v>
      </c>
      <c r="F720" s="205">
        <v>42</v>
      </c>
      <c r="G720" s="304" t="s">
        <v>5063</v>
      </c>
      <c r="H720" s="31">
        <v>12.06</v>
      </c>
      <c r="I720" s="27">
        <f t="shared" si="24"/>
        <v>506.52000000000004</v>
      </c>
      <c r="J720" s="28" t="s">
        <v>5071</v>
      </c>
      <c r="K720" s="25">
        <v>41324</v>
      </c>
      <c r="M720" s="56">
        <v>41331</v>
      </c>
      <c r="N720" s="29" t="s">
        <v>166</v>
      </c>
      <c r="O720" s="28" t="s">
        <v>5296</v>
      </c>
      <c r="P720" s="32">
        <v>52934.25</v>
      </c>
      <c r="Q720" s="56">
        <v>41333</v>
      </c>
    </row>
    <row r="721" spans="1:33" ht="12" customHeight="1">
      <c r="A721" s="25">
        <v>41324</v>
      </c>
      <c r="B721" s="304" t="s">
        <v>5072</v>
      </c>
      <c r="C721" s="220" t="s">
        <v>7</v>
      </c>
      <c r="D721" s="95" t="s">
        <v>5008</v>
      </c>
      <c r="E721" s="304" t="s">
        <v>5073</v>
      </c>
      <c r="F721" s="205">
        <v>288</v>
      </c>
      <c r="G721" s="319" t="s">
        <v>827</v>
      </c>
      <c r="H721" s="31">
        <v>10</v>
      </c>
      <c r="I721" s="27">
        <f t="shared" si="24"/>
        <v>2880</v>
      </c>
      <c r="J721" s="28" t="s">
        <v>5080</v>
      </c>
      <c r="K721" s="25">
        <v>41324</v>
      </c>
      <c r="M721" s="56">
        <v>41324</v>
      </c>
      <c r="N721" s="29" t="s">
        <v>166</v>
      </c>
      <c r="O721" s="28" t="s">
        <v>5081</v>
      </c>
      <c r="P721" s="32">
        <v>2880</v>
      </c>
      <c r="Q721" s="56">
        <v>41324</v>
      </c>
    </row>
    <row r="722" spans="1:33" ht="12" customHeight="1">
      <c r="A722" s="25">
        <v>41324</v>
      </c>
      <c r="B722" s="304" t="s">
        <v>5074</v>
      </c>
      <c r="C722" s="219" t="s">
        <v>162</v>
      </c>
      <c r="D722" s="304" t="s">
        <v>5075</v>
      </c>
      <c r="E722" s="304">
        <v>52000166497</v>
      </c>
      <c r="F722" s="205">
        <v>25</v>
      </c>
      <c r="G722" s="304" t="s">
        <v>5051</v>
      </c>
      <c r="H722" s="31">
        <v>15.8</v>
      </c>
      <c r="I722" s="27">
        <f t="shared" si="24"/>
        <v>395</v>
      </c>
      <c r="J722" s="28" t="s">
        <v>5122</v>
      </c>
      <c r="K722" s="25">
        <v>41326</v>
      </c>
      <c r="M722" s="56">
        <v>41324</v>
      </c>
      <c r="N722" s="29" t="s">
        <v>166</v>
      </c>
      <c r="O722" s="28" t="s">
        <v>5123</v>
      </c>
      <c r="P722" s="32">
        <v>1250</v>
      </c>
      <c r="Q722" s="56">
        <v>41326</v>
      </c>
    </row>
    <row r="723" spans="1:33" ht="12" customHeight="1">
      <c r="A723" s="25">
        <v>41324</v>
      </c>
      <c r="B723" s="304" t="s">
        <v>5074</v>
      </c>
      <c r="C723" s="219" t="s">
        <v>162</v>
      </c>
      <c r="D723" s="304" t="s">
        <v>5076</v>
      </c>
      <c r="E723" s="304">
        <v>52000183666</v>
      </c>
      <c r="F723" s="205">
        <v>50</v>
      </c>
      <c r="G723" s="304" t="s">
        <v>5051</v>
      </c>
      <c r="H723" s="31">
        <v>17.100000000000001</v>
      </c>
      <c r="I723" s="27">
        <f t="shared" si="24"/>
        <v>855.00000000000011</v>
      </c>
      <c r="J723" s="28" t="s">
        <v>5122</v>
      </c>
      <c r="K723" s="25">
        <v>41326</v>
      </c>
      <c r="M723" s="56">
        <v>41324</v>
      </c>
      <c r="N723" s="29" t="s">
        <v>166</v>
      </c>
      <c r="O723" s="28" t="s">
        <v>5123</v>
      </c>
      <c r="P723" s="32">
        <v>1250</v>
      </c>
      <c r="Q723" s="56">
        <v>41326</v>
      </c>
    </row>
    <row r="724" spans="1:33" ht="12" customHeight="1">
      <c r="A724" s="25">
        <v>41324</v>
      </c>
      <c r="B724" s="304" t="s">
        <v>5077</v>
      </c>
      <c r="C724" s="219" t="s">
        <v>162</v>
      </c>
      <c r="D724" s="1" t="s">
        <v>1867</v>
      </c>
      <c r="E724" s="196">
        <v>6006</v>
      </c>
      <c r="F724" s="205">
        <v>70</v>
      </c>
      <c r="G724" s="304" t="s">
        <v>5050</v>
      </c>
      <c r="H724" s="31">
        <v>56</v>
      </c>
      <c r="I724" s="27">
        <f t="shared" si="24"/>
        <v>3920</v>
      </c>
      <c r="J724" s="28" t="s">
        <v>5149</v>
      </c>
      <c r="K724" s="25">
        <v>41327</v>
      </c>
      <c r="M724" s="56">
        <v>41340</v>
      </c>
      <c r="N724" s="29" t="s">
        <v>166</v>
      </c>
      <c r="O724" s="28" t="s">
        <v>6212</v>
      </c>
      <c r="P724" s="32">
        <v>37744</v>
      </c>
      <c r="Q724" s="56">
        <v>41375</v>
      </c>
    </row>
    <row r="725" spans="1:33" ht="12" customHeight="1">
      <c r="A725" s="25">
        <v>41324</v>
      </c>
      <c r="B725" s="305" t="s">
        <v>1985</v>
      </c>
      <c r="C725" s="219" t="s">
        <v>162</v>
      </c>
      <c r="D725" s="305" t="s">
        <v>825</v>
      </c>
      <c r="E725" s="305" t="s">
        <v>5090</v>
      </c>
      <c r="F725" s="205">
        <v>1000</v>
      </c>
      <c r="G725" s="305" t="s">
        <v>171</v>
      </c>
      <c r="H725" s="31">
        <v>4.9000000000000004</v>
      </c>
      <c r="I725" s="27">
        <f t="shared" si="24"/>
        <v>4900</v>
      </c>
      <c r="J725" s="28" t="s">
        <v>5137</v>
      </c>
      <c r="K725" s="25">
        <v>41327</v>
      </c>
      <c r="M725" s="56">
        <v>41326</v>
      </c>
      <c r="N725" s="29" t="s">
        <v>166</v>
      </c>
      <c r="O725" s="28" t="s">
        <v>6151</v>
      </c>
      <c r="P725" s="32">
        <v>15880.44</v>
      </c>
      <c r="Q725" s="56">
        <v>41375</v>
      </c>
    </row>
    <row r="726" spans="1:33" ht="12" customHeight="1">
      <c r="A726" s="25">
        <v>41326</v>
      </c>
      <c r="B726" s="306" t="s">
        <v>228</v>
      </c>
      <c r="C726" s="219" t="s">
        <v>162</v>
      </c>
      <c r="D726" s="1" t="s">
        <v>1210</v>
      </c>
      <c r="E726" s="28">
        <v>3200</v>
      </c>
      <c r="F726" s="205">
        <v>20</v>
      </c>
      <c r="G726" s="306" t="s">
        <v>5125</v>
      </c>
      <c r="H726" s="31">
        <v>23.94</v>
      </c>
      <c r="I726" s="27">
        <f t="shared" si="24"/>
        <v>478.8</v>
      </c>
      <c r="J726" s="28" t="s">
        <v>5126</v>
      </c>
      <c r="K726" s="25">
        <v>41326</v>
      </c>
      <c r="M726" s="56">
        <v>41331</v>
      </c>
      <c r="N726" s="29" t="s">
        <v>166</v>
      </c>
      <c r="O726" s="28" t="s">
        <v>5296</v>
      </c>
      <c r="P726" s="32">
        <v>52934.25</v>
      </c>
      <c r="Q726" s="56">
        <v>41333</v>
      </c>
    </row>
    <row r="727" spans="1:33" ht="12" customHeight="1">
      <c r="A727" s="25">
        <v>41326</v>
      </c>
      <c r="B727" s="312" t="s">
        <v>5134</v>
      </c>
      <c r="C727" s="219" t="s">
        <v>162</v>
      </c>
      <c r="D727" s="342" t="s">
        <v>287</v>
      </c>
      <c r="E727" s="196">
        <v>10434</v>
      </c>
      <c r="F727" s="205">
        <v>30</v>
      </c>
      <c r="G727" s="310" t="s">
        <v>5136</v>
      </c>
      <c r="H727" s="31">
        <v>14.2</v>
      </c>
      <c r="I727" s="27">
        <f t="shared" si="24"/>
        <v>426</v>
      </c>
      <c r="J727" s="28" t="s">
        <v>5167</v>
      </c>
      <c r="K727" s="25">
        <v>41330</v>
      </c>
      <c r="M727" s="25">
        <v>41326</v>
      </c>
      <c r="N727" s="29" t="s">
        <v>166</v>
      </c>
      <c r="O727" s="28" t="s">
        <v>6311</v>
      </c>
      <c r="P727" s="32">
        <v>33014</v>
      </c>
      <c r="Q727" s="56">
        <v>41380</v>
      </c>
    </row>
    <row r="728" spans="1:33" ht="12" customHeight="1">
      <c r="A728" s="25">
        <v>41326</v>
      </c>
      <c r="B728" s="312" t="s">
        <v>5134</v>
      </c>
      <c r="C728" s="219" t="s">
        <v>162</v>
      </c>
      <c r="D728" s="5" t="s">
        <v>2009</v>
      </c>
      <c r="E728" s="310" t="s">
        <v>5135</v>
      </c>
      <c r="F728" s="310">
        <v>50</v>
      </c>
      <c r="G728" s="310" t="s">
        <v>5136</v>
      </c>
      <c r="H728" s="31">
        <v>27</v>
      </c>
      <c r="I728" s="27">
        <f t="shared" si="24"/>
        <v>1350</v>
      </c>
      <c r="J728" s="28" t="s">
        <v>5167</v>
      </c>
      <c r="K728" s="25">
        <v>41330</v>
      </c>
      <c r="M728" s="25">
        <v>41326</v>
      </c>
      <c r="N728" s="29" t="s">
        <v>166</v>
      </c>
      <c r="O728" s="28" t="s">
        <v>6311</v>
      </c>
      <c r="P728" s="32">
        <v>33014</v>
      </c>
      <c r="Q728" s="56">
        <v>41380</v>
      </c>
      <c r="R728" s="310"/>
      <c r="S728" s="310"/>
      <c r="T728" s="310"/>
      <c r="U728" s="310"/>
      <c r="V728" s="310"/>
      <c r="W728" s="310"/>
      <c r="X728" s="310"/>
      <c r="Y728" s="310"/>
      <c r="Z728" s="310"/>
      <c r="AA728" s="310"/>
      <c r="AB728" s="310"/>
      <c r="AC728" s="310"/>
      <c r="AD728" s="310"/>
      <c r="AE728" s="310"/>
      <c r="AF728" s="310"/>
      <c r="AG728" s="310"/>
    </row>
    <row r="729" spans="1:33" ht="12" customHeight="1">
      <c r="A729" s="25">
        <v>41326</v>
      </c>
      <c r="B729" s="312" t="s">
        <v>5134</v>
      </c>
      <c r="C729" s="219" t="s">
        <v>162</v>
      </c>
      <c r="D729" s="310" t="s">
        <v>305</v>
      </c>
      <c r="E729" s="310">
        <v>1270</v>
      </c>
      <c r="F729" s="310">
        <v>100</v>
      </c>
      <c r="G729" s="310" t="s">
        <v>5136</v>
      </c>
      <c r="H729" s="31">
        <v>4.2</v>
      </c>
      <c r="I729" s="27">
        <f t="shared" si="24"/>
        <v>420</v>
      </c>
      <c r="J729" s="28" t="s">
        <v>5167</v>
      </c>
      <c r="K729" s="25">
        <v>41330</v>
      </c>
      <c r="M729" s="25">
        <v>41326</v>
      </c>
      <c r="N729" s="29" t="s">
        <v>166</v>
      </c>
      <c r="O729" s="28" t="s">
        <v>6311</v>
      </c>
      <c r="P729" s="32">
        <v>33014</v>
      </c>
      <c r="Q729" s="56">
        <v>41380</v>
      </c>
      <c r="R729" s="310"/>
      <c r="S729" s="310"/>
      <c r="T729" s="310"/>
      <c r="U729" s="310"/>
      <c r="V729" s="310"/>
      <c r="W729" s="310"/>
      <c r="X729" s="310"/>
      <c r="Y729" s="310"/>
      <c r="Z729" s="310"/>
      <c r="AA729" s="310"/>
      <c r="AB729" s="310"/>
      <c r="AC729" s="310"/>
      <c r="AD729" s="310"/>
      <c r="AE729" s="310"/>
      <c r="AF729" s="310"/>
      <c r="AG729" s="310"/>
    </row>
    <row r="730" spans="1:33" ht="12" customHeight="1">
      <c r="A730" s="25">
        <v>41326</v>
      </c>
      <c r="B730" s="312" t="s">
        <v>5134</v>
      </c>
      <c r="C730" s="219" t="s">
        <v>162</v>
      </c>
      <c r="D730" s="310" t="s">
        <v>1826</v>
      </c>
      <c r="E730" s="310">
        <v>502</v>
      </c>
      <c r="F730" s="310">
        <v>20</v>
      </c>
      <c r="G730" s="310" t="s">
        <v>5133</v>
      </c>
      <c r="H730" s="31">
        <v>12.5</v>
      </c>
      <c r="I730" s="27">
        <f t="shared" si="24"/>
        <v>250</v>
      </c>
      <c r="J730" s="28" t="s">
        <v>5167</v>
      </c>
      <c r="K730" s="25">
        <v>41330</v>
      </c>
      <c r="M730" s="25">
        <v>41326</v>
      </c>
      <c r="N730" s="29" t="s">
        <v>166</v>
      </c>
      <c r="O730" s="28" t="s">
        <v>6311</v>
      </c>
      <c r="P730" s="32">
        <v>33014</v>
      </c>
      <c r="Q730" s="56">
        <v>41380</v>
      </c>
      <c r="R730" s="310"/>
      <c r="S730" s="310"/>
      <c r="T730" s="310"/>
      <c r="U730" s="310"/>
      <c r="V730" s="310"/>
      <c r="W730" s="310"/>
      <c r="X730" s="310"/>
      <c r="Y730" s="310"/>
      <c r="Z730" s="310"/>
      <c r="AA730" s="310"/>
      <c r="AB730" s="310"/>
      <c r="AC730" s="310"/>
      <c r="AD730" s="310"/>
      <c r="AE730" s="310"/>
      <c r="AF730" s="310"/>
      <c r="AG730" s="310"/>
    </row>
    <row r="731" spans="1:33" ht="12" customHeight="1">
      <c r="A731" s="25">
        <v>41327</v>
      </c>
      <c r="B731" s="310" t="s">
        <v>1985</v>
      </c>
      <c r="C731" s="219" t="s">
        <v>162</v>
      </c>
      <c r="D731" s="314" t="s">
        <v>5197</v>
      </c>
      <c r="E731" s="196">
        <v>9132</v>
      </c>
      <c r="F731" s="367">
        <v>30</v>
      </c>
      <c r="G731" s="310" t="s">
        <v>170</v>
      </c>
      <c r="H731" s="31">
        <v>2.92</v>
      </c>
      <c r="I731" s="27">
        <f>H731*F731</f>
        <v>87.6</v>
      </c>
      <c r="J731" s="28" t="s">
        <v>5156</v>
      </c>
      <c r="K731" s="25">
        <v>41330</v>
      </c>
      <c r="M731" s="56">
        <v>41353</v>
      </c>
      <c r="N731" s="29" t="s">
        <v>166</v>
      </c>
      <c r="O731" s="28" t="s">
        <v>6151</v>
      </c>
      <c r="P731" s="32">
        <v>15880.44</v>
      </c>
      <c r="Q731" s="56">
        <v>41375</v>
      </c>
    </row>
    <row r="732" spans="1:33" ht="12" customHeight="1">
      <c r="A732" s="25">
        <v>41327</v>
      </c>
      <c r="B732" s="310" t="s">
        <v>2004</v>
      </c>
      <c r="C732" s="219" t="s">
        <v>162</v>
      </c>
      <c r="D732" s="310" t="s">
        <v>1873</v>
      </c>
      <c r="E732" s="310">
        <v>4941</v>
      </c>
      <c r="F732" s="5" t="s">
        <v>5037</v>
      </c>
      <c r="G732" s="310" t="s">
        <v>27</v>
      </c>
      <c r="H732" s="31">
        <v>359</v>
      </c>
      <c r="I732" s="27">
        <f>H732*10*0.8</f>
        <v>2872</v>
      </c>
      <c r="J732" s="28" t="s">
        <v>5149</v>
      </c>
      <c r="K732" s="25">
        <v>41327</v>
      </c>
      <c r="M732" s="56">
        <v>41327</v>
      </c>
      <c r="N732" s="29" t="s">
        <v>5138</v>
      </c>
      <c r="O732" s="28" t="s">
        <v>6500</v>
      </c>
      <c r="P732" s="32">
        <v>7108</v>
      </c>
      <c r="Q732" s="56">
        <v>41389</v>
      </c>
    </row>
    <row r="733" spans="1:33" ht="12" customHeight="1">
      <c r="A733" s="25">
        <v>41327</v>
      </c>
      <c r="B733" s="314" t="s">
        <v>5196</v>
      </c>
      <c r="C733" s="219" t="s">
        <v>861</v>
      </c>
      <c r="D733" s="1" t="s">
        <v>5211</v>
      </c>
      <c r="E733" s="1" t="s">
        <v>5192</v>
      </c>
      <c r="F733" s="5">
        <v>50</v>
      </c>
      <c r="G733" s="376" t="s">
        <v>192</v>
      </c>
      <c r="H733" s="31">
        <v>53</v>
      </c>
      <c r="I733" s="27">
        <f>H733*F733</f>
        <v>2650</v>
      </c>
      <c r="J733" s="28" t="s">
        <v>5210</v>
      </c>
      <c r="K733" s="25">
        <v>41331</v>
      </c>
      <c r="M733" s="56">
        <v>41330</v>
      </c>
      <c r="N733" s="29" t="s">
        <v>166</v>
      </c>
      <c r="O733" s="28" t="s">
        <v>5227</v>
      </c>
      <c r="P733" s="32">
        <v>2650</v>
      </c>
      <c r="R733" s="314"/>
      <c r="S733" s="314"/>
      <c r="T733" s="314"/>
      <c r="U733" s="314"/>
      <c r="V733" s="314"/>
      <c r="W733" s="314"/>
      <c r="X733" s="314"/>
      <c r="Y733" s="314"/>
      <c r="Z733" s="314"/>
      <c r="AA733" s="314"/>
      <c r="AB733" s="314"/>
      <c r="AC733" s="314"/>
      <c r="AD733" s="314"/>
      <c r="AE733" s="314"/>
      <c r="AF733" s="314"/>
      <c r="AG733" s="314"/>
    </row>
    <row r="734" spans="1:33" ht="12" customHeight="1">
      <c r="A734" s="25">
        <v>41328</v>
      </c>
      <c r="B734" s="311" t="s">
        <v>228</v>
      </c>
      <c r="C734" s="219" t="s">
        <v>162</v>
      </c>
      <c r="D734" s="1" t="s">
        <v>1210</v>
      </c>
      <c r="E734" s="28">
        <v>3200</v>
      </c>
      <c r="F734" s="205">
        <v>100</v>
      </c>
      <c r="G734" s="311" t="s">
        <v>170</v>
      </c>
      <c r="H734" s="31">
        <v>23.94</v>
      </c>
      <c r="I734" s="27">
        <f>H734*F734</f>
        <v>2394</v>
      </c>
      <c r="J734" s="28" t="s">
        <v>5148</v>
      </c>
      <c r="K734" s="25">
        <v>41328</v>
      </c>
      <c r="M734" s="56">
        <v>41331</v>
      </c>
      <c r="N734" s="29" t="s">
        <v>166</v>
      </c>
      <c r="O734" s="28" t="s">
        <v>5296</v>
      </c>
      <c r="P734" s="32">
        <v>52934.25</v>
      </c>
      <c r="Q734" s="56">
        <v>41333</v>
      </c>
    </row>
    <row r="735" spans="1:33" ht="12" customHeight="1">
      <c r="A735" s="25">
        <v>41328</v>
      </c>
      <c r="B735" s="311" t="s">
        <v>228</v>
      </c>
      <c r="C735" s="219" t="s">
        <v>162</v>
      </c>
      <c r="D735" s="311" t="s">
        <v>1931</v>
      </c>
      <c r="E735" s="28">
        <v>3700</v>
      </c>
      <c r="F735" s="205">
        <v>100</v>
      </c>
      <c r="G735" s="311" t="s">
        <v>170</v>
      </c>
      <c r="H735" s="31">
        <v>3.09</v>
      </c>
      <c r="I735" s="27">
        <f t="shared" ref="I735:I800" si="25">H735*F735</f>
        <v>309</v>
      </c>
      <c r="J735" s="28" t="s">
        <v>5148</v>
      </c>
      <c r="K735" s="25">
        <v>41328</v>
      </c>
      <c r="M735" s="56">
        <v>41331</v>
      </c>
      <c r="N735" s="29" t="s">
        <v>166</v>
      </c>
      <c r="O735" s="28" t="s">
        <v>5296</v>
      </c>
      <c r="P735" s="32">
        <v>52934.25</v>
      </c>
      <c r="Q735" s="56">
        <v>41333</v>
      </c>
    </row>
    <row r="736" spans="1:33" ht="12" customHeight="1">
      <c r="A736" s="25">
        <v>41330</v>
      </c>
      <c r="B736" s="311" t="s">
        <v>228</v>
      </c>
      <c r="C736" s="219" t="s">
        <v>162</v>
      </c>
      <c r="D736" s="5" t="s">
        <v>2012</v>
      </c>
      <c r="E736" s="28" t="s">
        <v>5151</v>
      </c>
      <c r="F736" s="205">
        <v>2000</v>
      </c>
      <c r="G736" s="311" t="s">
        <v>170</v>
      </c>
      <c r="H736" s="31">
        <v>1.55</v>
      </c>
      <c r="I736" s="27">
        <f t="shared" si="25"/>
        <v>3100</v>
      </c>
      <c r="J736" s="28" t="s">
        <v>5157</v>
      </c>
      <c r="K736" s="25">
        <v>41330</v>
      </c>
      <c r="M736" s="56">
        <v>41331</v>
      </c>
      <c r="N736" s="29" t="s">
        <v>166</v>
      </c>
      <c r="O736" s="28" t="s">
        <v>5296</v>
      </c>
      <c r="P736" s="32">
        <v>52934.25</v>
      </c>
      <c r="Q736" s="56">
        <v>41333</v>
      </c>
    </row>
    <row r="737" spans="1:17" ht="12" customHeight="1">
      <c r="A737" s="25">
        <v>41330</v>
      </c>
      <c r="B737" s="311" t="s">
        <v>228</v>
      </c>
      <c r="C737" s="219" t="s">
        <v>162</v>
      </c>
      <c r="D737" s="311" t="s">
        <v>1931</v>
      </c>
      <c r="E737" s="28">
        <v>3700</v>
      </c>
      <c r="F737" s="205">
        <v>100</v>
      </c>
      <c r="G737" s="311" t="s">
        <v>170</v>
      </c>
      <c r="H737" s="31">
        <v>3.09</v>
      </c>
      <c r="I737" s="27">
        <f t="shared" si="25"/>
        <v>309</v>
      </c>
      <c r="J737" s="28" t="s">
        <v>5157</v>
      </c>
      <c r="K737" s="25">
        <v>41330</v>
      </c>
      <c r="M737" s="56">
        <v>41331</v>
      </c>
      <c r="N737" s="29" t="s">
        <v>166</v>
      </c>
      <c r="O737" s="28" t="s">
        <v>5296</v>
      </c>
      <c r="P737" s="32">
        <v>52934.25</v>
      </c>
      <c r="Q737" s="56">
        <v>41333</v>
      </c>
    </row>
    <row r="738" spans="1:17" ht="12" customHeight="1">
      <c r="A738" s="25">
        <v>41330</v>
      </c>
      <c r="B738" s="311" t="s">
        <v>228</v>
      </c>
      <c r="C738" s="219" t="s">
        <v>162</v>
      </c>
      <c r="D738" s="1" t="s">
        <v>1210</v>
      </c>
      <c r="E738" s="28">
        <v>3200</v>
      </c>
      <c r="F738" s="205">
        <v>100</v>
      </c>
      <c r="G738" s="311" t="s">
        <v>170</v>
      </c>
      <c r="H738" s="31">
        <v>23.94</v>
      </c>
      <c r="I738" s="27">
        <f t="shared" si="25"/>
        <v>2394</v>
      </c>
      <c r="J738" s="28" t="s">
        <v>5157</v>
      </c>
      <c r="K738" s="25">
        <v>41330</v>
      </c>
      <c r="M738" s="56">
        <v>41331</v>
      </c>
      <c r="N738" s="29" t="s">
        <v>166</v>
      </c>
      <c r="O738" s="28" t="s">
        <v>5296</v>
      </c>
      <c r="P738" s="32">
        <v>52934.25</v>
      </c>
      <c r="Q738" s="56">
        <v>41333</v>
      </c>
    </row>
    <row r="739" spans="1:17" ht="12" customHeight="1">
      <c r="A739" s="25">
        <v>41330</v>
      </c>
      <c r="B739" s="313" t="s">
        <v>228</v>
      </c>
      <c r="C739" s="219" t="s">
        <v>162</v>
      </c>
      <c r="D739" s="313" t="s">
        <v>1931</v>
      </c>
      <c r="E739" s="28">
        <v>3700</v>
      </c>
      <c r="F739" s="313">
        <v>100</v>
      </c>
      <c r="G739" s="313" t="s">
        <v>170</v>
      </c>
      <c r="H739" s="31">
        <v>3.09</v>
      </c>
      <c r="I739" s="27">
        <f t="shared" si="25"/>
        <v>309</v>
      </c>
      <c r="J739" s="28" t="s">
        <v>5165</v>
      </c>
      <c r="K739" s="25">
        <v>41330</v>
      </c>
      <c r="M739" s="56">
        <v>41331</v>
      </c>
      <c r="N739" s="29" t="s">
        <v>166</v>
      </c>
      <c r="O739" s="28" t="s">
        <v>5296</v>
      </c>
      <c r="P739" s="32">
        <v>52934.25</v>
      </c>
      <c r="Q739" s="56">
        <v>41333</v>
      </c>
    </row>
    <row r="740" spans="1:17" ht="12" customHeight="1">
      <c r="A740" s="25">
        <v>41330</v>
      </c>
      <c r="B740" s="313" t="s">
        <v>228</v>
      </c>
      <c r="C740" s="219" t="s">
        <v>162</v>
      </c>
      <c r="D740" s="1" t="s">
        <v>1210</v>
      </c>
      <c r="E740" s="28">
        <v>3200</v>
      </c>
      <c r="F740" s="313">
        <v>100</v>
      </c>
      <c r="G740" s="313" t="s">
        <v>170</v>
      </c>
      <c r="H740" s="31">
        <v>23.94</v>
      </c>
      <c r="I740" s="27">
        <f t="shared" si="25"/>
        <v>2394</v>
      </c>
      <c r="J740" s="28" t="s">
        <v>5165</v>
      </c>
      <c r="K740" s="25">
        <v>41330</v>
      </c>
      <c r="M740" s="56">
        <v>41331</v>
      </c>
      <c r="N740" s="29" t="s">
        <v>166</v>
      </c>
      <c r="O740" s="28" t="s">
        <v>5296</v>
      </c>
      <c r="P740" s="32">
        <v>52934.25</v>
      </c>
      <c r="Q740" s="56">
        <v>41333</v>
      </c>
    </row>
    <row r="741" spans="1:17" ht="12" customHeight="1">
      <c r="A741" s="25">
        <v>41330</v>
      </c>
      <c r="B741" s="313" t="s">
        <v>228</v>
      </c>
      <c r="C741" s="219" t="s">
        <v>162</v>
      </c>
      <c r="D741" s="313" t="s">
        <v>251</v>
      </c>
      <c r="E741" s="28" t="s">
        <v>5166</v>
      </c>
      <c r="F741" s="205">
        <v>50</v>
      </c>
      <c r="G741" s="313" t="s">
        <v>5162</v>
      </c>
      <c r="H741" s="31">
        <v>1.77</v>
      </c>
      <c r="I741" s="27">
        <f t="shared" si="25"/>
        <v>88.5</v>
      </c>
      <c r="J741" s="28" t="s">
        <v>5165</v>
      </c>
      <c r="K741" s="25">
        <v>41330</v>
      </c>
      <c r="M741" s="56">
        <v>41331</v>
      </c>
      <c r="N741" s="29" t="s">
        <v>166</v>
      </c>
      <c r="O741" s="28" t="s">
        <v>5296</v>
      </c>
      <c r="P741" s="32">
        <v>52934.25</v>
      </c>
      <c r="Q741" s="56">
        <v>41333</v>
      </c>
    </row>
    <row r="742" spans="1:17" ht="12" customHeight="1">
      <c r="A742" s="25">
        <v>41330</v>
      </c>
      <c r="B742" s="312" t="s">
        <v>5134</v>
      </c>
      <c r="C742" s="219" t="s">
        <v>162</v>
      </c>
      <c r="D742" s="342" t="s">
        <v>287</v>
      </c>
      <c r="E742" s="196">
        <v>10434</v>
      </c>
      <c r="F742" s="205">
        <v>70</v>
      </c>
      <c r="G742" s="314" t="s">
        <v>5180</v>
      </c>
      <c r="H742" s="31">
        <v>14.2</v>
      </c>
      <c r="I742" s="27">
        <f t="shared" si="25"/>
        <v>994</v>
      </c>
      <c r="J742" s="28" t="s">
        <v>5305</v>
      </c>
      <c r="K742" s="25">
        <v>41333</v>
      </c>
      <c r="M742" s="56">
        <v>41330</v>
      </c>
      <c r="N742" s="29" t="s">
        <v>166</v>
      </c>
      <c r="O742" s="28" t="s">
        <v>6311</v>
      </c>
      <c r="P742" s="32">
        <v>33014</v>
      </c>
      <c r="Q742" s="56">
        <v>41380</v>
      </c>
    </row>
    <row r="743" spans="1:17" ht="12" customHeight="1">
      <c r="A743" s="25">
        <v>41330</v>
      </c>
      <c r="B743" s="312" t="s">
        <v>5134</v>
      </c>
      <c r="C743" s="219" t="s">
        <v>162</v>
      </c>
      <c r="D743" s="1" t="s">
        <v>5188</v>
      </c>
      <c r="E743" s="196">
        <v>2076</v>
      </c>
      <c r="F743" s="205">
        <v>200</v>
      </c>
      <c r="G743" s="314" t="s">
        <v>5189</v>
      </c>
      <c r="H743" s="31">
        <v>11</v>
      </c>
      <c r="I743" s="27">
        <f t="shared" si="25"/>
        <v>2200</v>
      </c>
      <c r="J743" s="28" t="s">
        <v>5305</v>
      </c>
      <c r="K743" s="25">
        <v>41333</v>
      </c>
      <c r="M743" s="56">
        <v>41330</v>
      </c>
      <c r="N743" s="29" t="s">
        <v>166</v>
      </c>
      <c r="O743" s="28" t="s">
        <v>6311</v>
      </c>
      <c r="P743" s="32">
        <v>33014</v>
      </c>
      <c r="Q743" s="56">
        <v>41380</v>
      </c>
    </row>
    <row r="744" spans="1:17" ht="12" customHeight="1">
      <c r="A744" s="25">
        <v>41331</v>
      </c>
      <c r="B744" s="312" t="s">
        <v>1987</v>
      </c>
      <c r="C744" s="219" t="s">
        <v>5221</v>
      </c>
      <c r="D744" s="315" t="s">
        <v>5222</v>
      </c>
      <c r="E744" s="315" t="s">
        <v>5218</v>
      </c>
      <c r="F744" s="205">
        <v>10</v>
      </c>
      <c r="G744" s="315" t="s">
        <v>5219</v>
      </c>
      <c r="H744" s="31">
        <v>20.5</v>
      </c>
      <c r="I744" s="27">
        <f t="shared" si="25"/>
        <v>205</v>
      </c>
      <c r="J744" s="28" t="s">
        <v>5220</v>
      </c>
      <c r="K744" s="25">
        <v>41331</v>
      </c>
      <c r="M744" s="56">
        <v>41362</v>
      </c>
      <c r="N744" s="97" t="s">
        <v>166</v>
      </c>
      <c r="O744" s="28" t="s">
        <v>5966</v>
      </c>
      <c r="P744" s="32">
        <v>1083.5</v>
      </c>
      <c r="Q744" s="56">
        <v>41366</v>
      </c>
    </row>
    <row r="745" spans="1:17" ht="12" customHeight="1">
      <c r="A745" s="25">
        <v>41331</v>
      </c>
      <c r="B745" s="315" t="s">
        <v>228</v>
      </c>
      <c r="C745" s="219" t="s">
        <v>162</v>
      </c>
      <c r="D745" s="5" t="s">
        <v>2012</v>
      </c>
      <c r="E745" s="28" t="s">
        <v>5223</v>
      </c>
      <c r="F745" s="205">
        <v>1000</v>
      </c>
      <c r="G745" s="315" t="s">
        <v>170</v>
      </c>
      <c r="H745" s="31">
        <v>1.55</v>
      </c>
      <c r="I745" s="27">
        <f t="shared" si="25"/>
        <v>1550</v>
      </c>
      <c r="J745" s="28" t="s">
        <v>5226</v>
      </c>
      <c r="K745" s="25">
        <v>41331</v>
      </c>
      <c r="M745" s="56">
        <v>41333</v>
      </c>
      <c r="N745" s="29" t="s">
        <v>166</v>
      </c>
      <c r="O745" s="28" t="s">
        <v>6453</v>
      </c>
      <c r="P745" s="32">
        <v>162522.63</v>
      </c>
      <c r="Q745" s="56">
        <v>41387</v>
      </c>
    </row>
    <row r="746" spans="1:17" ht="12" customHeight="1">
      <c r="A746" s="25">
        <v>41331</v>
      </c>
      <c r="B746" s="315" t="s">
        <v>228</v>
      </c>
      <c r="C746" s="219" t="s">
        <v>162</v>
      </c>
      <c r="D746" s="1" t="s">
        <v>1210</v>
      </c>
      <c r="E746" s="28">
        <v>3200</v>
      </c>
      <c r="F746" s="205">
        <v>200</v>
      </c>
      <c r="G746" s="315" t="s">
        <v>170</v>
      </c>
      <c r="H746" s="31">
        <v>23.94</v>
      </c>
      <c r="I746" s="27">
        <f t="shared" si="25"/>
        <v>4788</v>
      </c>
      <c r="J746" s="28" t="s">
        <v>5226</v>
      </c>
      <c r="K746" s="25">
        <v>41331</v>
      </c>
      <c r="M746" s="56">
        <v>41333</v>
      </c>
      <c r="N746" s="29" t="s">
        <v>166</v>
      </c>
      <c r="O746" s="28" t="s">
        <v>6453</v>
      </c>
      <c r="P746" s="32">
        <v>162522.63</v>
      </c>
      <c r="Q746" s="56">
        <v>41387</v>
      </c>
    </row>
    <row r="747" spans="1:17" ht="12" customHeight="1">
      <c r="A747" s="25">
        <v>41331</v>
      </c>
      <c r="B747" s="315" t="s">
        <v>228</v>
      </c>
      <c r="C747" s="219" t="s">
        <v>162</v>
      </c>
      <c r="D747" s="5" t="s">
        <v>346</v>
      </c>
      <c r="E747" s="28">
        <v>3700</v>
      </c>
      <c r="F747" s="205">
        <v>200</v>
      </c>
      <c r="G747" s="315" t="s">
        <v>170</v>
      </c>
      <c r="H747" s="31">
        <v>3.09</v>
      </c>
      <c r="I747" s="27">
        <f t="shared" si="25"/>
        <v>618</v>
      </c>
      <c r="J747" s="28" t="s">
        <v>5226</v>
      </c>
      <c r="K747" s="25">
        <v>41331</v>
      </c>
      <c r="M747" s="56">
        <v>41333</v>
      </c>
      <c r="N747" s="29" t="s">
        <v>166</v>
      </c>
      <c r="O747" s="28" t="s">
        <v>6453</v>
      </c>
      <c r="P747" s="32">
        <v>162522.63</v>
      </c>
      <c r="Q747" s="56">
        <v>41387</v>
      </c>
    </row>
    <row r="748" spans="1:17" ht="12" customHeight="1">
      <c r="A748" s="25">
        <v>41331</v>
      </c>
      <c r="B748" s="315" t="s">
        <v>228</v>
      </c>
      <c r="C748" s="219" t="s">
        <v>162</v>
      </c>
      <c r="D748" s="5" t="s">
        <v>182</v>
      </c>
      <c r="E748" s="28" t="s">
        <v>5224</v>
      </c>
      <c r="F748" s="205">
        <v>2500</v>
      </c>
      <c r="G748" s="315" t="s">
        <v>5225</v>
      </c>
      <c r="H748" s="31">
        <v>1.54</v>
      </c>
      <c r="I748" s="27">
        <f t="shared" si="25"/>
        <v>3850</v>
      </c>
      <c r="J748" s="28" t="s">
        <v>5226</v>
      </c>
      <c r="K748" s="25">
        <v>41331</v>
      </c>
      <c r="M748" s="56">
        <v>41333</v>
      </c>
      <c r="N748" s="29" t="s">
        <v>166</v>
      </c>
      <c r="O748" s="28" t="s">
        <v>6453</v>
      </c>
      <c r="P748" s="32">
        <v>162522.63</v>
      </c>
      <c r="Q748" s="56">
        <v>41387</v>
      </c>
    </row>
    <row r="749" spans="1:17" ht="12" customHeight="1">
      <c r="A749" s="25">
        <v>41332</v>
      </c>
      <c r="B749" s="316" t="s">
        <v>228</v>
      </c>
      <c r="C749" s="219" t="s">
        <v>162</v>
      </c>
      <c r="D749" s="1" t="s">
        <v>1210</v>
      </c>
      <c r="E749" s="28">
        <v>3200</v>
      </c>
      <c r="F749" s="205">
        <v>620</v>
      </c>
      <c r="G749" s="316" t="s">
        <v>170</v>
      </c>
      <c r="H749" s="31">
        <v>23.94</v>
      </c>
      <c r="I749" s="27">
        <f t="shared" si="25"/>
        <v>14842.800000000001</v>
      </c>
      <c r="J749" s="28" t="s">
        <v>5275</v>
      </c>
      <c r="K749" s="25">
        <v>41332</v>
      </c>
      <c r="M749" s="56">
        <v>41351</v>
      </c>
      <c r="N749" s="29" t="s">
        <v>166</v>
      </c>
      <c r="O749" s="28" t="s">
        <v>6453</v>
      </c>
      <c r="P749" s="32">
        <v>162522.63</v>
      </c>
      <c r="Q749" s="56">
        <v>41387</v>
      </c>
    </row>
    <row r="750" spans="1:17" ht="12" customHeight="1">
      <c r="A750" s="25">
        <v>41332</v>
      </c>
      <c r="B750" s="316" t="s">
        <v>228</v>
      </c>
      <c r="C750" s="219" t="s">
        <v>162</v>
      </c>
      <c r="D750" s="5" t="s">
        <v>346</v>
      </c>
      <c r="E750" s="28">
        <v>3700</v>
      </c>
      <c r="F750" s="205">
        <v>600</v>
      </c>
      <c r="G750" s="316" t="s">
        <v>170</v>
      </c>
      <c r="H750" s="31">
        <v>3.09</v>
      </c>
      <c r="I750" s="27">
        <f t="shared" si="25"/>
        <v>1854</v>
      </c>
      <c r="J750" s="28" t="s">
        <v>5275</v>
      </c>
      <c r="K750" s="25">
        <v>41332</v>
      </c>
      <c r="M750" s="56">
        <v>41351</v>
      </c>
      <c r="N750" s="29" t="s">
        <v>166</v>
      </c>
      <c r="O750" s="28" t="s">
        <v>6453</v>
      </c>
      <c r="P750" s="32">
        <v>162522.63</v>
      </c>
      <c r="Q750" s="56">
        <v>41387</v>
      </c>
    </row>
    <row r="751" spans="1:17" ht="12" customHeight="1">
      <c r="A751" s="25">
        <v>41332</v>
      </c>
      <c r="B751" s="316" t="s">
        <v>228</v>
      </c>
      <c r="C751" s="219" t="s">
        <v>162</v>
      </c>
      <c r="D751" s="5" t="s">
        <v>182</v>
      </c>
      <c r="E751" s="28" t="s">
        <v>186</v>
      </c>
      <c r="F751" s="205">
        <v>1500</v>
      </c>
      <c r="G751" s="316" t="s">
        <v>171</v>
      </c>
      <c r="H751" s="31">
        <v>1.54</v>
      </c>
      <c r="I751" s="27">
        <f t="shared" si="25"/>
        <v>2310</v>
      </c>
      <c r="J751" s="28" t="s">
        <v>5275</v>
      </c>
      <c r="K751" s="25">
        <v>41332</v>
      </c>
      <c r="M751" s="56">
        <v>41351</v>
      </c>
      <c r="N751" s="29" t="s">
        <v>166</v>
      </c>
      <c r="O751" s="28" t="s">
        <v>6453</v>
      </c>
      <c r="P751" s="32">
        <v>162522.63</v>
      </c>
      <c r="Q751" s="56">
        <v>41387</v>
      </c>
    </row>
    <row r="752" spans="1:17" ht="12" customHeight="1">
      <c r="A752" s="25">
        <v>41332</v>
      </c>
      <c r="B752" s="316" t="s">
        <v>228</v>
      </c>
      <c r="C752" s="219" t="s">
        <v>162</v>
      </c>
      <c r="D752" s="316" t="s">
        <v>5278</v>
      </c>
      <c r="E752" s="28" t="s">
        <v>5274</v>
      </c>
      <c r="F752" s="205">
        <v>2200</v>
      </c>
      <c r="G752" s="316" t="s">
        <v>170</v>
      </c>
      <c r="H752" s="31">
        <v>1.75</v>
      </c>
      <c r="I752" s="27">
        <f t="shared" si="25"/>
        <v>3850</v>
      </c>
      <c r="J752" s="28" t="s">
        <v>5275</v>
      </c>
      <c r="K752" s="25">
        <v>41332</v>
      </c>
      <c r="M752" s="56">
        <v>41362</v>
      </c>
      <c r="N752" s="29" t="s">
        <v>165</v>
      </c>
      <c r="O752" s="28" t="s">
        <v>6453</v>
      </c>
      <c r="P752" s="32">
        <v>162522.63</v>
      </c>
      <c r="Q752" s="56">
        <v>41387</v>
      </c>
    </row>
    <row r="753" spans="1:33" ht="12" customHeight="1">
      <c r="A753" s="25">
        <v>41332</v>
      </c>
      <c r="B753" s="312" t="s">
        <v>5134</v>
      </c>
      <c r="C753" s="219" t="s">
        <v>162</v>
      </c>
      <c r="D753" s="1" t="s">
        <v>1763</v>
      </c>
      <c r="E753" s="196">
        <v>1860</v>
      </c>
      <c r="F753" s="205">
        <v>120</v>
      </c>
      <c r="G753" s="318" t="s">
        <v>170</v>
      </c>
      <c r="H753" s="31">
        <v>9.5</v>
      </c>
      <c r="I753" s="27">
        <f>H753*F753</f>
        <v>1140</v>
      </c>
      <c r="J753" s="28" t="s">
        <v>5325</v>
      </c>
      <c r="K753" s="25">
        <v>41333</v>
      </c>
      <c r="M753" s="56">
        <v>41332</v>
      </c>
      <c r="N753" s="29" t="s">
        <v>165</v>
      </c>
      <c r="O753" s="28" t="s">
        <v>5329</v>
      </c>
    </row>
    <row r="754" spans="1:33" ht="12" customHeight="1">
      <c r="A754" s="25">
        <v>41332</v>
      </c>
      <c r="B754" s="318" t="s">
        <v>1985</v>
      </c>
      <c r="C754" s="219" t="s">
        <v>861</v>
      </c>
      <c r="D754" s="318" t="s">
        <v>5328</v>
      </c>
      <c r="E754" s="95" t="s">
        <v>1067</v>
      </c>
      <c r="F754" s="367">
        <v>4</v>
      </c>
      <c r="G754" s="376" t="s">
        <v>192</v>
      </c>
      <c r="H754" s="31">
        <v>221</v>
      </c>
      <c r="I754" s="27">
        <f>H754*F754</f>
        <v>884</v>
      </c>
      <c r="J754" s="28" t="s">
        <v>5327</v>
      </c>
      <c r="K754" s="25">
        <v>41334</v>
      </c>
      <c r="M754" s="56">
        <v>41353</v>
      </c>
      <c r="N754" s="29" t="s">
        <v>5675</v>
      </c>
      <c r="O754" s="28" t="s">
        <v>6150</v>
      </c>
      <c r="R754" s="318"/>
      <c r="S754" s="318"/>
      <c r="T754" s="318"/>
      <c r="U754" s="318"/>
      <c r="V754" s="318"/>
      <c r="W754" s="318"/>
      <c r="X754" s="318"/>
      <c r="Y754" s="318"/>
      <c r="Z754" s="318"/>
      <c r="AA754" s="318"/>
      <c r="AB754" s="318"/>
      <c r="AC754" s="318"/>
      <c r="AD754" s="318"/>
      <c r="AE754" s="318"/>
      <c r="AF754" s="318"/>
      <c r="AG754" s="318"/>
    </row>
    <row r="755" spans="1:33" ht="12" customHeight="1">
      <c r="A755" s="25">
        <v>41333</v>
      </c>
      <c r="B755" s="317" t="s">
        <v>228</v>
      </c>
      <c r="C755" s="220" t="s">
        <v>7</v>
      </c>
      <c r="D755" s="5" t="s">
        <v>1663</v>
      </c>
      <c r="E755" s="28" t="s">
        <v>5300</v>
      </c>
      <c r="F755" s="205">
        <v>1</v>
      </c>
      <c r="G755" s="317" t="s">
        <v>5301</v>
      </c>
      <c r="H755" s="31">
        <v>70</v>
      </c>
      <c r="I755" s="27">
        <f t="shared" si="25"/>
        <v>70</v>
      </c>
      <c r="J755" s="28" t="s">
        <v>5302</v>
      </c>
      <c r="K755" s="25">
        <v>41333</v>
      </c>
      <c r="M755" s="56">
        <v>41362</v>
      </c>
      <c r="N755" s="29" t="s">
        <v>165</v>
      </c>
      <c r="O755" s="28" t="s">
        <v>6453</v>
      </c>
      <c r="P755" s="32">
        <v>162522.63</v>
      </c>
      <c r="Q755" s="56">
        <v>41387</v>
      </c>
    </row>
    <row r="756" spans="1:33" ht="12" customHeight="1">
      <c r="A756" s="25">
        <v>41333</v>
      </c>
      <c r="B756" s="317" t="s">
        <v>228</v>
      </c>
      <c r="C756" s="219" t="s">
        <v>162</v>
      </c>
      <c r="D756" s="1" t="s">
        <v>1210</v>
      </c>
      <c r="E756" s="28">
        <v>3200</v>
      </c>
      <c r="F756" s="205">
        <v>120</v>
      </c>
      <c r="G756" s="317" t="s">
        <v>170</v>
      </c>
      <c r="H756" s="31">
        <v>23.94</v>
      </c>
      <c r="I756" s="27">
        <f t="shared" si="25"/>
        <v>2872.8</v>
      </c>
      <c r="J756" s="28" t="s">
        <v>5354</v>
      </c>
      <c r="K756" s="25">
        <v>41333</v>
      </c>
      <c r="M756" s="56">
        <v>41362</v>
      </c>
      <c r="N756" s="29" t="s">
        <v>165</v>
      </c>
      <c r="O756" s="28" t="s">
        <v>6453</v>
      </c>
      <c r="P756" s="32">
        <v>162522.63</v>
      </c>
      <c r="Q756" s="56">
        <v>41387</v>
      </c>
    </row>
    <row r="757" spans="1:33" ht="12" customHeight="1">
      <c r="A757" s="25">
        <v>41333</v>
      </c>
      <c r="B757" s="317" t="s">
        <v>228</v>
      </c>
      <c r="C757" s="219" t="s">
        <v>162</v>
      </c>
      <c r="D757" s="5" t="s">
        <v>346</v>
      </c>
      <c r="E757" s="28">
        <v>3700</v>
      </c>
      <c r="F757" s="205">
        <v>100</v>
      </c>
      <c r="G757" s="317" t="s">
        <v>170</v>
      </c>
      <c r="H757" s="31">
        <v>3.09</v>
      </c>
      <c r="I757" s="27">
        <f t="shared" si="25"/>
        <v>309</v>
      </c>
      <c r="J757" s="28" t="s">
        <v>5354</v>
      </c>
      <c r="K757" s="25">
        <v>41333</v>
      </c>
      <c r="M757" s="56">
        <v>41362</v>
      </c>
      <c r="N757" s="29" t="s">
        <v>165</v>
      </c>
      <c r="O757" s="28" t="s">
        <v>6453</v>
      </c>
      <c r="P757" s="32">
        <v>162522.63</v>
      </c>
      <c r="Q757" s="56">
        <v>41387</v>
      </c>
    </row>
    <row r="758" spans="1:33" ht="12" customHeight="1">
      <c r="A758" s="25">
        <v>41333</v>
      </c>
      <c r="B758" s="318" t="s">
        <v>228</v>
      </c>
      <c r="C758" s="219" t="s">
        <v>162</v>
      </c>
      <c r="D758" s="318" t="s">
        <v>350</v>
      </c>
      <c r="E758" s="28">
        <v>7502</v>
      </c>
      <c r="F758" s="205">
        <v>30</v>
      </c>
      <c r="G758" s="318" t="s">
        <v>170</v>
      </c>
      <c r="H758" s="31">
        <v>122.8</v>
      </c>
      <c r="I758" s="27">
        <f t="shared" si="25"/>
        <v>3684</v>
      </c>
      <c r="J758" s="28" t="s">
        <v>5354</v>
      </c>
      <c r="K758" s="25">
        <v>41333</v>
      </c>
      <c r="M758" s="56">
        <v>41362</v>
      </c>
      <c r="N758" s="29" t="s">
        <v>165</v>
      </c>
      <c r="O758" s="28" t="s">
        <v>6453</v>
      </c>
      <c r="P758" s="32">
        <v>162522.63</v>
      </c>
      <c r="Q758" s="56">
        <v>41387</v>
      </c>
    </row>
    <row r="759" spans="1:33" ht="12" customHeight="1">
      <c r="A759" s="25">
        <v>41333</v>
      </c>
      <c r="B759" s="324" t="s">
        <v>1982</v>
      </c>
      <c r="C759" s="219" t="s">
        <v>162</v>
      </c>
      <c r="D759" s="324" t="s">
        <v>1889</v>
      </c>
      <c r="E759" s="330" t="s">
        <v>1321</v>
      </c>
      <c r="F759" s="205">
        <v>350</v>
      </c>
      <c r="G759" s="324" t="s">
        <v>192</v>
      </c>
      <c r="H759" s="31">
        <v>107.64</v>
      </c>
      <c r="I759" s="27">
        <f>H759*F759</f>
        <v>37674</v>
      </c>
      <c r="J759" s="28" t="s">
        <v>5406</v>
      </c>
      <c r="K759" s="25">
        <v>41339</v>
      </c>
      <c r="M759" s="56">
        <v>41333</v>
      </c>
      <c r="N759" s="29" t="s">
        <v>166</v>
      </c>
      <c r="O759" s="28" t="s">
        <v>5596</v>
      </c>
      <c r="P759" s="32">
        <v>37674</v>
      </c>
      <c r="Q759" s="56">
        <v>41348</v>
      </c>
    </row>
    <row r="760" spans="1:33" ht="12" customHeight="1">
      <c r="A760" s="25">
        <v>41333</v>
      </c>
      <c r="B760" s="333" t="s">
        <v>1983</v>
      </c>
      <c r="C760" s="219" t="s">
        <v>162</v>
      </c>
      <c r="D760" s="5" t="s">
        <v>1902</v>
      </c>
      <c r="E760" s="196">
        <v>1270</v>
      </c>
      <c r="F760" s="205">
        <v>500</v>
      </c>
      <c r="G760" s="324" t="s">
        <v>5405</v>
      </c>
      <c r="H760" s="30">
        <v>4.5162000000000004</v>
      </c>
      <c r="I760" s="27">
        <f>H760*F760</f>
        <v>2258.1000000000004</v>
      </c>
      <c r="J760" s="28" t="s">
        <v>5406</v>
      </c>
      <c r="K760" s="25">
        <v>41339</v>
      </c>
      <c r="M760" s="56">
        <v>41333</v>
      </c>
      <c r="N760" s="29" t="s">
        <v>166</v>
      </c>
      <c r="O760" s="28" t="s">
        <v>5599</v>
      </c>
      <c r="P760" s="32">
        <v>2258.1</v>
      </c>
      <c r="Q760" s="56">
        <v>41351</v>
      </c>
    </row>
    <row r="761" spans="1:33" ht="12" customHeight="1">
      <c r="A761" s="25">
        <v>41333</v>
      </c>
      <c r="B761" s="324" t="s">
        <v>1982</v>
      </c>
      <c r="C761" s="219" t="s">
        <v>162</v>
      </c>
      <c r="D761" s="324" t="s">
        <v>48</v>
      </c>
      <c r="E761" s="415" t="s">
        <v>7125</v>
      </c>
      <c r="F761" s="205">
        <v>50</v>
      </c>
      <c r="G761" s="324" t="s">
        <v>192</v>
      </c>
      <c r="H761" s="31">
        <v>181.35</v>
      </c>
      <c r="I761" s="27">
        <f>H761*F761</f>
        <v>9067.5</v>
      </c>
      <c r="J761" s="28" t="s">
        <v>5406</v>
      </c>
      <c r="K761" s="25">
        <v>41362</v>
      </c>
      <c r="M761" s="56">
        <v>41333</v>
      </c>
      <c r="N761" s="29" t="s">
        <v>166</v>
      </c>
      <c r="O761" s="28" t="s">
        <v>5904</v>
      </c>
      <c r="P761" s="32">
        <v>9067.5</v>
      </c>
      <c r="Q761" s="56">
        <v>41365</v>
      </c>
    </row>
    <row r="762" spans="1:33" ht="12" customHeight="1">
      <c r="A762" s="25">
        <v>41333</v>
      </c>
      <c r="B762" s="324" t="s">
        <v>1982</v>
      </c>
      <c r="C762" s="219" t="s">
        <v>162</v>
      </c>
      <c r="D762" s="324" t="s">
        <v>52</v>
      </c>
      <c r="E762" s="324">
        <v>9032</v>
      </c>
      <c r="F762" s="205">
        <v>15000</v>
      </c>
      <c r="G762" s="324" t="s">
        <v>5404</v>
      </c>
      <c r="H762" s="30">
        <v>1.4928999999999999</v>
      </c>
      <c r="I762" s="27">
        <f>H762*F762</f>
        <v>22393.5</v>
      </c>
      <c r="J762" s="28" t="s">
        <v>5406</v>
      </c>
      <c r="K762" s="25">
        <v>41344</v>
      </c>
      <c r="M762" s="56">
        <v>41333</v>
      </c>
      <c r="N762" s="29" t="s">
        <v>166</v>
      </c>
      <c r="O762" s="28" t="s">
        <v>5582</v>
      </c>
      <c r="P762" s="32">
        <v>22393.8</v>
      </c>
      <c r="Q762" s="56">
        <v>41348</v>
      </c>
    </row>
    <row r="763" spans="1:33" ht="12" customHeight="1">
      <c r="A763" s="25">
        <v>41334</v>
      </c>
      <c r="B763" s="318" t="s">
        <v>5348</v>
      </c>
      <c r="C763" s="219" t="s">
        <v>162</v>
      </c>
      <c r="D763" s="5" t="s">
        <v>2012</v>
      </c>
      <c r="E763" s="318" t="s">
        <v>5347</v>
      </c>
      <c r="F763" s="205">
        <v>10000</v>
      </c>
      <c r="G763" s="318" t="s">
        <v>170</v>
      </c>
      <c r="H763" s="31">
        <v>1.48</v>
      </c>
      <c r="I763" s="27">
        <f t="shared" si="25"/>
        <v>14800</v>
      </c>
      <c r="J763" s="28" t="s">
        <v>5354</v>
      </c>
      <c r="K763" s="25">
        <v>41338</v>
      </c>
      <c r="M763" s="56">
        <v>41334</v>
      </c>
      <c r="N763" s="29" t="s">
        <v>166</v>
      </c>
      <c r="O763" s="28" t="s">
        <v>5597</v>
      </c>
      <c r="P763" s="32">
        <v>15236</v>
      </c>
      <c r="Q763" s="56">
        <v>41351</v>
      </c>
    </row>
    <row r="764" spans="1:33" ht="12" customHeight="1">
      <c r="A764" s="25">
        <v>41334</v>
      </c>
      <c r="B764" s="326" t="s">
        <v>5348</v>
      </c>
      <c r="C764" s="219" t="s">
        <v>162</v>
      </c>
      <c r="D764" s="326" t="s">
        <v>1916</v>
      </c>
      <c r="E764" s="326">
        <v>6800</v>
      </c>
      <c r="F764" s="326">
        <v>1</v>
      </c>
      <c r="G764" s="326" t="s">
        <v>170</v>
      </c>
      <c r="H764" s="31">
        <v>436</v>
      </c>
      <c r="I764" s="27">
        <f t="shared" si="25"/>
        <v>436</v>
      </c>
      <c r="J764" s="28" t="s">
        <v>167</v>
      </c>
      <c r="K764" s="25">
        <v>41338</v>
      </c>
      <c r="M764" s="56">
        <v>41334</v>
      </c>
      <c r="N764" s="29" t="s">
        <v>166</v>
      </c>
      <c r="O764" s="28" t="s">
        <v>5597</v>
      </c>
      <c r="P764" s="32">
        <v>15236</v>
      </c>
      <c r="Q764" s="56">
        <v>41351</v>
      </c>
      <c r="R764" s="326"/>
      <c r="S764" s="326"/>
      <c r="T764" s="326"/>
      <c r="U764" s="326"/>
      <c r="V764" s="326"/>
      <c r="W764" s="326"/>
      <c r="X764" s="326"/>
      <c r="Y764" s="326"/>
      <c r="Z764" s="326"/>
      <c r="AA764" s="326"/>
      <c r="AB764" s="326"/>
      <c r="AC764" s="326"/>
      <c r="AD764" s="326"/>
      <c r="AE764" s="326"/>
      <c r="AF764" s="326"/>
      <c r="AG764" s="326"/>
    </row>
    <row r="765" spans="1:33" ht="12" customHeight="1">
      <c r="A765" s="25">
        <v>41334</v>
      </c>
      <c r="B765" s="318" t="s">
        <v>5349</v>
      </c>
      <c r="C765" s="219" t="s">
        <v>162</v>
      </c>
      <c r="D765" s="5" t="s">
        <v>307</v>
      </c>
      <c r="E765" s="196">
        <v>1110</v>
      </c>
      <c r="F765" s="205">
        <v>3000</v>
      </c>
      <c r="G765" s="318" t="s">
        <v>5350</v>
      </c>
      <c r="H765" s="31">
        <v>0.6</v>
      </c>
      <c r="I765" s="27">
        <f t="shared" si="25"/>
        <v>1800</v>
      </c>
      <c r="J765" s="28" t="s">
        <v>5362</v>
      </c>
      <c r="K765" s="25">
        <v>41337</v>
      </c>
      <c r="M765" s="56">
        <v>41360</v>
      </c>
      <c r="N765" s="29" t="s">
        <v>166</v>
      </c>
      <c r="O765" s="28" t="s">
        <v>7091</v>
      </c>
      <c r="P765" s="32">
        <v>24283</v>
      </c>
      <c r="Q765" s="56">
        <v>41421</v>
      </c>
    </row>
    <row r="766" spans="1:33" ht="12" customHeight="1">
      <c r="A766" s="25">
        <v>41337</v>
      </c>
      <c r="B766" s="312" t="s">
        <v>5134</v>
      </c>
      <c r="C766" s="219" t="s">
        <v>162</v>
      </c>
      <c r="D766" s="342" t="s">
        <v>240</v>
      </c>
      <c r="E766" s="196">
        <v>6200</v>
      </c>
      <c r="F766" s="205">
        <v>240</v>
      </c>
      <c r="G766" s="319" t="s">
        <v>170</v>
      </c>
      <c r="H766" s="31">
        <v>44.5</v>
      </c>
      <c r="I766" s="27">
        <f t="shared" si="25"/>
        <v>10680</v>
      </c>
      <c r="J766" s="28" t="s">
        <v>167</v>
      </c>
      <c r="K766" s="25">
        <v>41345</v>
      </c>
      <c r="M766" s="56">
        <v>41339</v>
      </c>
      <c r="N766" s="29" t="s">
        <v>165</v>
      </c>
      <c r="O766" s="28" t="s">
        <v>6311</v>
      </c>
      <c r="P766" s="32">
        <v>33014</v>
      </c>
      <c r="Q766" s="56">
        <v>41380</v>
      </c>
    </row>
    <row r="767" spans="1:33" ht="12" customHeight="1">
      <c r="A767" s="25">
        <v>41337</v>
      </c>
      <c r="B767" s="312" t="s">
        <v>5134</v>
      </c>
      <c r="C767" s="219" t="s">
        <v>162</v>
      </c>
      <c r="D767" s="319" t="s">
        <v>182</v>
      </c>
      <c r="E767" s="319" t="s">
        <v>5358</v>
      </c>
      <c r="F767" s="205">
        <v>1000</v>
      </c>
      <c r="G767" s="319" t="s">
        <v>171</v>
      </c>
      <c r="H767" s="31">
        <v>4.75</v>
      </c>
      <c r="I767" s="27">
        <f t="shared" si="25"/>
        <v>4750</v>
      </c>
      <c r="J767" s="28" t="s">
        <v>167</v>
      </c>
      <c r="K767" s="25">
        <v>41345</v>
      </c>
      <c r="M767" s="56">
        <v>41339</v>
      </c>
      <c r="N767" s="29" t="s">
        <v>165</v>
      </c>
      <c r="O767" s="28" t="s">
        <v>6311</v>
      </c>
      <c r="P767" s="32">
        <v>33014</v>
      </c>
      <c r="Q767" s="56">
        <v>41380</v>
      </c>
    </row>
    <row r="768" spans="1:33" ht="12" customHeight="1">
      <c r="A768" s="25">
        <v>41337</v>
      </c>
      <c r="B768" s="312" t="s">
        <v>5134</v>
      </c>
      <c r="C768" s="219" t="s">
        <v>162</v>
      </c>
      <c r="D768" s="319" t="s">
        <v>353</v>
      </c>
      <c r="E768" s="319" t="s">
        <v>145</v>
      </c>
      <c r="F768" s="205">
        <v>180</v>
      </c>
      <c r="G768" s="319" t="s">
        <v>170</v>
      </c>
      <c r="H768" s="31">
        <v>17.25</v>
      </c>
      <c r="I768" s="27">
        <f t="shared" si="25"/>
        <v>3105</v>
      </c>
      <c r="J768" s="28" t="s">
        <v>167</v>
      </c>
      <c r="K768" s="25">
        <v>41345</v>
      </c>
      <c r="M768" s="56">
        <v>41339</v>
      </c>
      <c r="N768" s="29" t="s">
        <v>165</v>
      </c>
      <c r="O768" s="28" t="s">
        <v>6311</v>
      </c>
      <c r="P768" s="32">
        <v>33014</v>
      </c>
      <c r="Q768" s="56">
        <v>41380</v>
      </c>
    </row>
    <row r="769" spans="1:33" ht="12" customHeight="1">
      <c r="A769" s="25">
        <v>41337</v>
      </c>
      <c r="B769" s="312" t="s">
        <v>5134</v>
      </c>
      <c r="C769" s="219" t="s">
        <v>162</v>
      </c>
      <c r="D769" s="319" t="s">
        <v>1916</v>
      </c>
      <c r="E769" s="196">
        <v>6800</v>
      </c>
      <c r="F769" s="205">
        <v>12</v>
      </c>
      <c r="G769" s="319" t="s">
        <v>170</v>
      </c>
      <c r="H769" s="31">
        <v>420</v>
      </c>
      <c r="I769" s="27">
        <f t="shared" si="25"/>
        <v>5040</v>
      </c>
      <c r="J769" s="28" t="s">
        <v>167</v>
      </c>
      <c r="K769" s="25">
        <v>41345</v>
      </c>
      <c r="M769" s="56">
        <v>41339</v>
      </c>
      <c r="N769" s="29" t="s">
        <v>165</v>
      </c>
      <c r="O769" s="28" t="s">
        <v>6311</v>
      </c>
      <c r="P769" s="32">
        <v>33014</v>
      </c>
      <c r="Q769" s="56">
        <v>41380</v>
      </c>
    </row>
    <row r="770" spans="1:33" ht="12" customHeight="1">
      <c r="A770" s="25">
        <v>41337</v>
      </c>
      <c r="B770" s="312" t="s">
        <v>5134</v>
      </c>
      <c r="C770" s="219" t="s">
        <v>162</v>
      </c>
      <c r="D770" s="319" t="s">
        <v>1941</v>
      </c>
      <c r="E770" s="319">
        <v>12308</v>
      </c>
      <c r="F770" s="319">
        <v>20</v>
      </c>
      <c r="G770" s="319" t="s">
        <v>172</v>
      </c>
      <c r="H770" s="31">
        <v>18.8</v>
      </c>
      <c r="I770" s="27">
        <f t="shared" si="25"/>
        <v>376</v>
      </c>
      <c r="J770" s="28" t="s">
        <v>167</v>
      </c>
      <c r="K770" s="25">
        <v>41345</v>
      </c>
      <c r="M770" s="56">
        <v>41339</v>
      </c>
      <c r="N770" s="29" t="s">
        <v>165</v>
      </c>
      <c r="O770" s="28" t="s">
        <v>6311</v>
      </c>
      <c r="P770" s="32">
        <v>33014</v>
      </c>
      <c r="Q770" s="56">
        <v>41380</v>
      </c>
      <c r="R770" s="319"/>
      <c r="S770" s="319"/>
      <c r="T770" s="319"/>
      <c r="U770" s="319"/>
      <c r="V770" s="319"/>
      <c r="W770" s="319"/>
      <c r="X770" s="319"/>
      <c r="Y770" s="319"/>
      <c r="Z770" s="319"/>
      <c r="AA770" s="319"/>
      <c r="AB770" s="319"/>
      <c r="AC770" s="319"/>
      <c r="AD770" s="319"/>
      <c r="AE770" s="319"/>
      <c r="AF770" s="319"/>
      <c r="AG770" s="319"/>
    </row>
    <row r="771" spans="1:33" ht="12" customHeight="1">
      <c r="A771" s="25">
        <v>41337</v>
      </c>
      <c r="B771" s="319" t="s">
        <v>228</v>
      </c>
      <c r="C771" s="219" t="s">
        <v>162</v>
      </c>
      <c r="D771" s="1" t="s">
        <v>1210</v>
      </c>
      <c r="E771" s="28">
        <v>3200</v>
      </c>
      <c r="F771" s="205">
        <v>60</v>
      </c>
      <c r="G771" s="319" t="s">
        <v>170</v>
      </c>
      <c r="H771" s="31">
        <v>23.94</v>
      </c>
      <c r="I771" s="27">
        <f t="shared" si="25"/>
        <v>1436.4</v>
      </c>
      <c r="J771" s="28" t="s">
        <v>5363</v>
      </c>
      <c r="K771" s="25">
        <v>41337</v>
      </c>
      <c r="M771" s="56">
        <v>41362</v>
      </c>
      <c r="N771" s="29" t="s">
        <v>165</v>
      </c>
      <c r="O771" s="28" t="s">
        <v>6453</v>
      </c>
      <c r="P771" s="32">
        <v>162522.63</v>
      </c>
      <c r="Q771" s="56">
        <v>41387</v>
      </c>
    </row>
    <row r="772" spans="1:33" ht="12" customHeight="1">
      <c r="A772" s="25">
        <v>41338</v>
      </c>
      <c r="B772" s="319" t="s">
        <v>1980</v>
      </c>
      <c r="C772" s="220" t="s">
        <v>7</v>
      </c>
      <c r="D772" s="95" t="s">
        <v>5008</v>
      </c>
      <c r="E772" s="319" t="s">
        <v>5366</v>
      </c>
      <c r="F772" s="205">
        <v>288</v>
      </c>
      <c r="G772" s="319" t="s">
        <v>827</v>
      </c>
      <c r="H772" s="31">
        <v>10</v>
      </c>
      <c r="I772" s="27">
        <f t="shared" si="25"/>
        <v>2880</v>
      </c>
      <c r="J772" s="28" t="s">
        <v>5354</v>
      </c>
      <c r="K772" s="25">
        <v>41338</v>
      </c>
      <c r="M772" s="56">
        <v>41338</v>
      </c>
      <c r="N772" s="29" t="s">
        <v>166</v>
      </c>
      <c r="O772" s="28" t="s">
        <v>5369</v>
      </c>
      <c r="P772" s="32">
        <v>3850.24</v>
      </c>
      <c r="Q772" s="56">
        <v>41338</v>
      </c>
    </row>
    <row r="773" spans="1:33" ht="12" customHeight="1">
      <c r="A773" s="25">
        <v>41338</v>
      </c>
      <c r="B773" s="319" t="s">
        <v>1980</v>
      </c>
      <c r="C773" s="219" t="s">
        <v>162</v>
      </c>
      <c r="D773" s="1" t="s">
        <v>2317</v>
      </c>
      <c r="E773" s="319" t="s">
        <v>5367</v>
      </c>
      <c r="F773" s="205">
        <v>32</v>
      </c>
      <c r="G773" s="319" t="s">
        <v>5368</v>
      </c>
      <c r="H773" s="31">
        <v>30.32</v>
      </c>
      <c r="I773" s="27">
        <f t="shared" si="25"/>
        <v>970.24</v>
      </c>
      <c r="J773" s="28" t="s">
        <v>5354</v>
      </c>
      <c r="K773" s="25">
        <v>41338</v>
      </c>
      <c r="M773" s="56">
        <v>41338</v>
      </c>
      <c r="N773" s="29" t="s">
        <v>166</v>
      </c>
      <c r="O773" s="28" t="s">
        <v>5369</v>
      </c>
      <c r="P773" s="32">
        <v>3850.24</v>
      </c>
      <c r="Q773" s="56">
        <v>41338</v>
      </c>
    </row>
    <row r="774" spans="1:33" ht="12" customHeight="1">
      <c r="A774" s="25">
        <v>41338</v>
      </c>
      <c r="B774" s="319" t="s">
        <v>5373</v>
      </c>
      <c r="C774" s="219" t="s">
        <v>162</v>
      </c>
      <c r="D774" s="5" t="s">
        <v>2012</v>
      </c>
      <c r="E774" s="319" t="s">
        <v>5359</v>
      </c>
      <c r="F774" s="205">
        <v>5000</v>
      </c>
      <c r="G774" s="319" t="s">
        <v>5368</v>
      </c>
      <c r="H774" s="31">
        <v>1.48</v>
      </c>
      <c r="I774" s="27">
        <f t="shared" si="25"/>
        <v>7400</v>
      </c>
      <c r="J774" s="28" t="s">
        <v>167</v>
      </c>
      <c r="K774" s="25">
        <v>41341</v>
      </c>
      <c r="M774" s="56">
        <v>41338</v>
      </c>
      <c r="N774" s="29" t="s">
        <v>166</v>
      </c>
      <c r="O774" s="28" t="s">
        <v>5598</v>
      </c>
      <c r="P774" s="32">
        <v>38032</v>
      </c>
      <c r="Q774" s="56">
        <v>41351</v>
      </c>
    </row>
    <row r="775" spans="1:33" ht="12" customHeight="1">
      <c r="A775" s="25">
        <v>41338</v>
      </c>
      <c r="B775" s="319" t="s">
        <v>5373</v>
      </c>
      <c r="C775" s="219" t="s">
        <v>162</v>
      </c>
      <c r="D775" s="319" t="s">
        <v>273</v>
      </c>
      <c r="E775" s="1" t="s">
        <v>274</v>
      </c>
      <c r="F775" s="205">
        <v>960</v>
      </c>
      <c r="G775" s="319" t="s">
        <v>5368</v>
      </c>
      <c r="H775" s="31">
        <v>31.7</v>
      </c>
      <c r="I775" s="27">
        <f t="shared" si="25"/>
        <v>30432</v>
      </c>
      <c r="J775" s="28" t="s">
        <v>167</v>
      </c>
      <c r="K775" s="25">
        <v>41341</v>
      </c>
      <c r="M775" s="56">
        <v>41338</v>
      </c>
      <c r="N775" s="29" t="s">
        <v>166</v>
      </c>
      <c r="O775" s="28" t="s">
        <v>5598</v>
      </c>
      <c r="P775" s="32">
        <v>38032</v>
      </c>
      <c r="Q775" s="56">
        <v>41351</v>
      </c>
    </row>
    <row r="776" spans="1:33" ht="12" customHeight="1">
      <c r="A776" s="25">
        <v>41341</v>
      </c>
      <c r="B776" s="325" t="s">
        <v>2008</v>
      </c>
      <c r="C776" s="219" t="s">
        <v>162</v>
      </c>
      <c r="D776" s="399" t="s">
        <v>1970</v>
      </c>
      <c r="E776" s="325" t="s">
        <v>5429</v>
      </c>
      <c r="F776" s="205">
        <v>10000</v>
      </c>
      <c r="G776" s="325" t="s">
        <v>170</v>
      </c>
      <c r="H776" s="31">
        <v>1.55</v>
      </c>
      <c r="I776" s="27">
        <f t="shared" si="25"/>
        <v>15500</v>
      </c>
      <c r="J776" s="28" t="s">
        <v>167</v>
      </c>
      <c r="K776" s="25">
        <v>41344</v>
      </c>
      <c r="M776" s="56">
        <v>41341</v>
      </c>
      <c r="N776" s="29" t="s">
        <v>166</v>
      </c>
      <c r="O776" s="28" t="s">
        <v>5639</v>
      </c>
      <c r="P776" s="32">
        <v>15500</v>
      </c>
      <c r="Q776" s="56">
        <v>41352</v>
      </c>
    </row>
    <row r="777" spans="1:33" ht="12" customHeight="1">
      <c r="A777" s="25">
        <v>41341</v>
      </c>
      <c r="B777" s="312" t="s">
        <v>5134</v>
      </c>
      <c r="C777" s="219" t="s">
        <v>162</v>
      </c>
      <c r="D777" s="342" t="s">
        <v>287</v>
      </c>
      <c r="E777" s="325">
        <v>10434</v>
      </c>
      <c r="F777" s="205">
        <v>100</v>
      </c>
      <c r="G777" s="325" t="s">
        <v>5431</v>
      </c>
      <c r="H777" s="31">
        <v>14.2</v>
      </c>
      <c r="I777" s="27">
        <f t="shared" si="25"/>
        <v>1420</v>
      </c>
      <c r="J777" s="28" t="s">
        <v>167</v>
      </c>
      <c r="K777" s="25">
        <v>41345</v>
      </c>
      <c r="M777" s="56">
        <v>41345</v>
      </c>
      <c r="N777" s="29" t="s">
        <v>166</v>
      </c>
      <c r="O777" s="28" t="s">
        <v>6424</v>
      </c>
      <c r="P777" s="32">
        <v>25828</v>
      </c>
      <c r="Q777" s="56">
        <v>41386</v>
      </c>
    </row>
    <row r="778" spans="1:33" ht="12" customHeight="1">
      <c r="A778" s="25">
        <v>41341</v>
      </c>
      <c r="B778" s="312" t="s">
        <v>5134</v>
      </c>
      <c r="C778" s="219" t="s">
        <v>162</v>
      </c>
      <c r="D778" s="325" t="s">
        <v>1882</v>
      </c>
      <c r="E778" s="325" t="s">
        <v>145</v>
      </c>
      <c r="F778" s="205">
        <v>480</v>
      </c>
      <c r="G778" s="325" t="s">
        <v>5430</v>
      </c>
      <c r="H778" s="31">
        <v>17.25</v>
      </c>
      <c r="I778" s="27">
        <f t="shared" si="25"/>
        <v>8280</v>
      </c>
      <c r="J778" s="28" t="s">
        <v>167</v>
      </c>
      <c r="K778" s="25">
        <v>41345</v>
      </c>
      <c r="M778" s="56">
        <v>41345</v>
      </c>
      <c r="N778" s="29" t="s">
        <v>166</v>
      </c>
      <c r="O778" s="28" t="s">
        <v>6424</v>
      </c>
      <c r="P778" s="32">
        <v>25828</v>
      </c>
      <c r="Q778" s="56">
        <v>41386</v>
      </c>
    </row>
    <row r="779" spans="1:33" ht="12" customHeight="1">
      <c r="A779" s="25">
        <v>41341</v>
      </c>
      <c r="B779" s="312" t="s">
        <v>5134</v>
      </c>
      <c r="C779" s="219" t="s">
        <v>162</v>
      </c>
      <c r="D779" s="325" t="s">
        <v>263</v>
      </c>
      <c r="E779" s="325">
        <v>501</v>
      </c>
      <c r="F779" s="205">
        <v>400</v>
      </c>
      <c r="G779" s="325" t="s">
        <v>5430</v>
      </c>
      <c r="H779" s="31">
        <v>1.4</v>
      </c>
      <c r="I779" s="27">
        <f t="shared" si="25"/>
        <v>560</v>
      </c>
      <c r="J779" s="28" t="s">
        <v>167</v>
      </c>
      <c r="K779" s="25">
        <v>41373</v>
      </c>
      <c r="M779" s="56">
        <v>41345</v>
      </c>
      <c r="N779" s="29" t="s">
        <v>166</v>
      </c>
      <c r="O779" s="28" t="s">
        <v>6424</v>
      </c>
      <c r="P779" s="32">
        <v>25828</v>
      </c>
      <c r="Q779" s="56">
        <v>41386</v>
      </c>
    </row>
    <row r="780" spans="1:33" ht="12" customHeight="1">
      <c r="A780" s="25">
        <v>41341</v>
      </c>
      <c r="B780" s="326" t="s">
        <v>1979</v>
      </c>
      <c r="C780" s="219" t="s">
        <v>162</v>
      </c>
      <c r="D780" s="342" t="s">
        <v>240</v>
      </c>
      <c r="E780" s="325">
        <v>6200</v>
      </c>
      <c r="F780" s="205">
        <v>192</v>
      </c>
      <c r="G780" s="326" t="s">
        <v>170</v>
      </c>
      <c r="H780" s="31">
        <v>45.5</v>
      </c>
      <c r="I780" s="27">
        <f t="shared" si="25"/>
        <v>8736</v>
      </c>
      <c r="J780" s="28" t="s">
        <v>5433</v>
      </c>
      <c r="K780" s="25">
        <v>41341</v>
      </c>
      <c r="M780" s="56">
        <v>41374</v>
      </c>
      <c r="N780" s="29" t="s">
        <v>166</v>
      </c>
      <c r="O780" s="28" t="s">
        <v>6120</v>
      </c>
      <c r="P780" s="32">
        <v>35658.1</v>
      </c>
      <c r="Q780" s="56">
        <v>41374</v>
      </c>
    </row>
    <row r="781" spans="1:33" ht="12" customHeight="1">
      <c r="A781" s="25">
        <v>41344</v>
      </c>
      <c r="B781" s="326" t="s">
        <v>228</v>
      </c>
      <c r="C781" s="219" t="s">
        <v>162</v>
      </c>
      <c r="D781" s="326" t="s">
        <v>353</v>
      </c>
      <c r="E781" s="28" t="s">
        <v>22</v>
      </c>
      <c r="F781" s="326">
        <v>120</v>
      </c>
      <c r="G781" s="326" t="s">
        <v>170</v>
      </c>
      <c r="H781" s="31">
        <v>10.94</v>
      </c>
      <c r="I781" s="27">
        <f t="shared" si="25"/>
        <v>1312.8</v>
      </c>
      <c r="J781" s="28" t="s">
        <v>5442</v>
      </c>
      <c r="K781" s="25">
        <v>41344</v>
      </c>
      <c r="M781" s="56">
        <v>41362</v>
      </c>
      <c r="N781" s="29" t="s">
        <v>165</v>
      </c>
      <c r="O781" s="28" t="s">
        <v>6453</v>
      </c>
      <c r="P781" s="32">
        <v>162522.63</v>
      </c>
      <c r="Q781" s="56">
        <v>41387</v>
      </c>
    </row>
    <row r="782" spans="1:33" ht="12" customHeight="1">
      <c r="A782" s="25">
        <v>41344</v>
      </c>
      <c r="B782" s="326" t="s">
        <v>228</v>
      </c>
      <c r="C782" s="219" t="s">
        <v>162</v>
      </c>
      <c r="D782" s="1" t="s">
        <v>268</v>
      </c>
      <c r="E782" s="238" t="s">
        <v>177</v>
      </c>
      <c r="F782" s="205">
        <v>200</v>
      </c>
      <c r="G782" s="326" t="s">
        <v>5438</v>
      </c>
      <c r="H782" s="31">
        <v>1.17</v>
      </c>
      <c r="I782" s="27">
        <f t="shared" si="25"/>
        <v>234</v>
      </c>
      <c r="J782" s="28" t="s">
        <v>5442</v>
      </c>
      <c r="K782" s="25">
        <v>41344</v>
      </c>
      <c r="M782" s="56">
        <v>41362</v>
      </c>
      <c r="N782" s="29" t="s">
        <v>165</v>
      </c>
      <c r="O782" s="28" t="s">
        <v>6453</v>
      </c>
      <c r="P782" s="32">
        <v>162522.63</v>
      </c>
      <c r="Q782" s="56">
        <v>41387</v>
      </c>
    </row>
    <row r="783" spans="1:33" ht="12" customHeight="1">
      <c r="A783" s="25">
        <v>41344</v>
      </c>
      <c r="B783" s="326" t="s">
        <v>228</v>
      </c>
      <c r="C783" s="219" t="s">
        <v>162</v>
      </c>
      <c r="D783" s="326" t="s">
        <v>5440</v>
      </c>
      <c r="E783" s="28" t="s">
        <v>5439</v>
      </c>
      <c r="F783" s="205">
        <v>200</v>
      </c>
      <c r="G783" s="326" t="s">
        <v>5441</v>
      </c>
      <c r="H783" s="31">
        <v>2.1</v>
      </c>
      <c r="I783" s="27">
        <f t="shared" si="25"/>
        <v>420</v>
      </c>
      <c r="J783" s="28" t="s">
        <v>5442</v>
      </c>
      <c r="K783" s="25">
        <v>41344</v>
      </c>
      <c r="M783" s="56">
        <v>41362</v>
      </c>
      <c r="N783" s="29" t="s">
        <v>165</v>
      </c>
      <c r="O783" s="28" t="s">
        <v>6453</v>
      </c>
      <c r="P783" s="32">
        <v>162522.63</v>
      </c>
      <c r="Q783" s="56">
        <v>41387</v>
      </c>
    </row>
    <row r="784" spans="1:33" ht="12" customHeight="1">
      <c r="A784" s="25">
        <v>41344</v>
      </c>
      <c r="B784" s="326" t="s">
        <v>5452</v>
      </c>
      <c r="C784" s="219" t="s">
        <v>162</v>
      </c>
      <c r="D784" s="1" t="s">
        <v>1711</v>
      </c>
      <c r="E784" s="196">
        <v>8210</v>
      </c>
      <c r="F784" s="205">
        <v>1600</v>
      </c>
      <c r="G784" s="326" t="s">
        <v>5453</v>
      </c>
      <c r="H784" s="31">
        <v>3.78</v>
      </c>
      <c r="I784" s="27">
        <f t="shared" si="25"/>
        <v>6048</v>
      </c>
      <c r="J784" s="28" t="s">
        <v>5492</v>
      </c>
      <c r="K784" s="25">
        <v>41346</v>
      </c>
      <c r="M784" s="56">
        <v>41344</v>
      </c>
      <c r="N784" s="29" t="s">
        <v>166</v>
      </c>
      <c r="O784" s="28" t="s">
        <v>5507</v>
      </c>
      <c r="P784" s="32">
        <v>21640</v>
      </c>
      <c r="Q784" s="56">
        <v>41346</v>
      </c>
    </row>
    <row r="785" spans="1:33" ht="12" customHeight="1">
      <c r="A785" s="25">
        <v>41344</v>
      </c>
      <c r="B785" s="326" t="s">
        <v>5452</v>
      </c>
      <c r="C785" s="219" t="s">
        <v>162</v>
      </c>
      <c r="D785" s="342" t="s">
        <v>287</v>
      </c>
      <c r="E785" s="196">
        <v>10434</v>
      </c>
      <c r="F785" s="205">
        <v>240</v>
      </c>
      <c r="G785" s="326" t="s">
        <v>5446</v>
      </c>
      <c r="H785" s="31">
        <v>14.8</v>
      </c>
      <c r="I785" s="27">
        <f t="shared" si="25"/>
        <v>3552</v>
      </c>
      <c r="J785" s="28" t="s">
        <v>5492</v>
      </c>
      <c r="K785" s="25">
        <v>41346</v>
      </c>
      <c r="M785" s="56">
        <v>41344</v>
      </c>
      <c r="N785" s="29" t="s">
        <v>166</v>
      </c>
      <c r="O785" s="28" t="s">
        <v>5507</v>
      </c>
      <c r="P785" s="32">
        <v>21640</v>
      </c>
      <c r="Q785" s="56">
        <v>41346</v>
      </c>
    </row>
    <row r="786" spans="1:33" ht="12" customHeight="1">
      <c r="A786" s="25">
        <v>41344</v>
      </c>
      <c r="B786" s="326" t="s">
        <v>5452</v>
      </c>
      <c r="C786" s="219" t="s">
        <v>162</v>
      </c>
      <c r="D786" s="326" t="s">
        <v>1916</v>
      </c>
      <c r="E786" s="196">
        <v>6800</v>
      </c>
      <c r="F786" s="205">
        <v>28</v>
      </c>
      <c r="G786" s="326" t="s">
        <v>5453</v>
      </c>
      <c r="H786" s="31">
        <v>430</v>
      </c>
      <c r="I786" s="27">
        <f t="shared" si="25"/>
        <v>12040</v>
      </c>
      <c r="J786" s="28" t="s">
        <v>5492</v>
      </c>
      <c r="K786" s="25">
        <v>41346</v>
      </c>
      <c r="M786" s="56">
        <v>41344</v>
      </c>
      <c r="N786" s="29" t="s">
        <v>166</v>
      </c>
      <c r="O786" s="28" t="s">
        <v>5507</v>
      </c>
      <c r="P786" s="32">
        <v>21640</v>
      </c>
      <c r="Q786" s="56">
        <v>41346</v>
      </c>
    </row>
    <row r="787" spans="1:33" ht="12" customHeight="1">
      <c r="A787" s="25">
        <v>41344</v>
      </c>
      <c r="B787" s="327" t="s">
        <v>228</v>
      </c>
      <c r="C787" s="219" t="s">
        <v>162</v>
      </c>
      <c r="D787" s="1" t="s">
        <v>1210</v>
      </c>
      <c r="E787" s="28">
        <v>3200</v>
      </c>
      <c r="F787" s="205">
        <v>200</v>
      </c>
      <c r="G787" s="327" t="s">
        <v>170</v>
      </c>
      <c r="H787" s="31">
        <v>23.94</v>
      </c>
      <c r="I787" s="27">
        <f t="shared" si="25"/>
        <v>4788</v>
      </c>
      <c r="J787" s="28" t="s">
        <v>5455</v>
      </c>
      <c r="K787" s="25">
        <v>41344</v>
      </c>
      <c r="M787" s="56">
        <v>41362</v>
      </c>
      <c r="N787" s="29" t="s">
        <v>165</v>
      </c>
      <c r="O787" s="28" t="s">
        <v>6453</v>
      </c>
      <c r="P787" s="32">
        <v>162522.63</v>
      </c>
      <c r="Q787" s="56">
        <v>41387</v>
      </c>
    </row>
    <row r="788" spans="1:33" ht="12" customHeight="1">
      <c r="A788" s="25">
        <v>41344</v>
      </c>
      <c r="B788" s="327" t="s">
        <v>228</v>
      </c>
      <c r="C788" s="219" t="s">
        <v>162</v>
      </c>
      <c r="D788" s="5" t="s">
        <v>346</v>
      </c>
      <c r="E788" s="28">
        <v>3700</v>
      </c>
      <c r="F788" s="205">
        <v>200</v>
      </c>
      <c r="G788" s="327" t="s">
        <v>171</v>
      </c>
      <c r="H788" s="31">
        <v>3.09</v>
      </c>
      <c r="I788" s="27">
        <f t="shared" si="25"/>
        <v>618</v>
      </c>
      <c r="J788" s="28" t="s">
        <v>5455</v>
      </c>
      <c r="K788" s="25">
        <v>41344</v>
      </c>
      <c r="M788" s="56">
        <v>41362</v>
      </c>
      <c r="N788" s="29" t="s">
        <v>165</v>
      </c>
      <c r="O788" s="28" t="s">
        <v>6453</v>
      </c>
      <c r="P788" s="32">
        <v>162522.63</v>
      </c>
      <c r="Q788" s="56">
        <v>41387</v>
      </c>
    </row>
    <row r="789" spans="1:33" ht="12" customHeight="1">
      <c r="A789" s="25">
        <v>41344</v>
      </c>
      <c r="B789" s="327" t="s">
        <v>228</v>
      </c>
      <c r="C789" s="219" t="s">
        <v>162</v>
      </c>
      <c r="D789" s="1" t="s">
        <v>268</v>
      </c>
      <c r="E789" s="238" t="s">
        <v>177</v>
      </c>
      <c r="F789" s="205">
        <v>300</v>
      </c>
      <c r="G789" s="327" t="s">
        <v>171</v>
      </c>
      <c r="H789" s="31">
        <v>1.17</v>
      </c>
      <c r="I789" s="27">
        <f t="shared" si="25"/>
        <v>351</v>
      </c>
      <c r="J789" s="28" t="s">
        <v>5455</v>
      </c>
      <c r="K789" s="25">
        <v>41344</v>
      </c>
      <c r="M789" s="56">
        <v>41362</v>
      </c>
      <c r="N789" s="29" t="s">
        <v>165</v>
      </c>
      <c r="O789" s="28" t="s">
        <v>6453</v>
      </c>
      <c r="P789" s="32">
        <v>162522.63</v>
      </c>
      <c r="Q789" s="56">
        <v>41387</v>
      </c>
    </row>
    <row r="790" spans="1:33" ht="12" customHeight="1">
      <c r="A790" s="25">
        <v>41345</v>
      </c>
      <c r="B790" s="312" t="s">
        <v>5134</v>
      </c>
      <c r="C790" s="219" t="s">
        <v>162</v>
      </c>
      <c r="D790" s="5" t="s">
        <v>4769</v>
      </c>
      <c r="E790" s="1">
        <v>2078</v>
      </c>
      <c r="F790" s="332">
        <v>200</v>
      </c>
      <c r="G790" s="332" t="s">
        <v>5588</v>
      </c>
      <c r="H790" s="31">
        <v>10.7</v>
      </c>
      <c r="I790" s="27">
        <f t="shared" si="25"/>
        <v>2140</v>
      </c>
      <c r="J790" s="28" t="s">
        <v>5589</v>
      </c>
      <c r="K790" s="25">
        <v>41351</v>
      </c>
      <c r="M790" s="56">
        <v>41345</v>
      </c>
      <c r="N790" s="29" t="s">
        <v>166</v>
      </c>
      <c r="O790" s="28" t="s">
        <v>6311</v>
      </c>
      <c r="P790" s="32">
        <v>33014</v>
      </c>
      <c r="Q790" s="56">
        <v>41380</v>
      </c>
      <c r="R790" s="332"/>
      <c r="S790" s="332"/>
      <c r="T790" s="332"/>
      <c r="U790" s="332"/>
      <c r="V790" s="332"/>
      <c r="W790" s="332"/>
      <c r="X790" s="332"/>
      <c r="Y790" s="332"/>
      <c r="Z790" s="332"/>
      <c r="AA790" s="332"/>
      <c r="AB790" s="332"/>
      <c r="AC790" s="332"/>
      <c r="AD790" s="332"/>
      <c r="AE790" s="332"/>
      <c r="AF790" s="332"/>
      <c r="AG790" s="332"/>
    </row>
    <row r="791" spans="1:33" ht="12" customHeight="1">
      <c r="A791" s="25">
        <v>41346</v>
      </c>
      <c r="B791" s="95" t="s">
        <v>1979</v>
      </c>
      <c r="C791" s="221" t="s">
        <v>162</v>
      </c>
      <c r="D791" s="328" t="s">
        <v>670</v>
      </c>
      <c r="E791" s="328" t="s">
        <v>1083</v>
      </c>
      <c r="F791" s="205">
        <v>180</v>
      </c>
      <c r="G791" s="328" t="s">
        <v>170</v>
      </c>
      <c r="H791" s="31">
        <v>3.59</v>
      </c>
      <c r="I791" s="27">
        <f t="shared" si="25"/>
        <v>646.19999999999993</v>
      </c>
      <c r="J791" s="28" t="s">
        <v>5488</v>
      </c>
      <c r="K791" s="25">
        <v>41346</v>
      </c>
      <c r="M791" s="56">
        <v>41374</v>
      </c>
      <c r="N791" s="29" t="s">
        <v>166</v>
      </c>
      <c r="O791" s="28" t="s">
        <v>6120</v>
      </c>
      <c r="P791" s="32">
        <v>35658.1</v>
      </c>
      <c r="Q791" s="56">
        <v>41374</v>
      </c>
    </row>
    <row r="792" spans="1:33" ht="12" customHeight="1">
      <c r="A792" s="25">
        <v>41346</v>
      </c>
      <c r="B792" s="329" t="s">
        <v>228</v>
      </c>
      <c r="C792" s="221" t="s">
        <v>162</v>
      </c>
      <c r="D792" s="329" t="s">
        <v>5277</v>
      </c>
      <c r="E792" s="28" t="s">
        <v>5502</v>
      </c>
      <c r="F792" s="205">
        <v>100</v>
      </c>
      <c r="G792" s="329" t="s">
        <v>170</v>
      </c>
      <c r="H792" s="31">
        <v>1.75</v>
      </c>
      <c r="I792" s="27">
        <f t="shared" si="25"/>
        <v>175</v>
      </c>
      <c r="J792" s="28" t="s">
        <v>5503</v>
      </c>
      <c r="K792" s="25">
        <v>41346</v>
      </c>
      <c r="M792" s="56">
        <v>41362</v>
      </c>
      <c r="N792" s="29" t="s">
        <v>165</v>
      </c>
      <c r="O792" s="28" t="s">
        <v>6453</v>
      </c>
      <c r="P792" s="32">
        <v>162522.63</v>
      </c>
      <c r="Q792" s="56">
        <v>41387</v>
      </c>
    </row>
    <row r="793" spans="1:33" ht="12" customHeight="1">
      <c r="A793" s="25">
        <v>41346</v>
      </c>
      <c r="B793" s="329" t="s">
        <v>228</v>
      </c>
      <c r="C793" s="221" t="s">
        <v>162</v>
      </c>
      <c r="D793" s="329" t="s">
        <v>702</v>
      </c>
      <c r="E793" s="28" t="s">
        <v>5501</v>
      </c>
      <c r="F793" s="205">
        <v>3172</v>
      </c>
      <c r="G793" s="329" t="s">
        <v>170</v>
      </c>
      <c r="H793" s="31">
        <v>2.36</v>
      </c>
      <c r="I793" s="27">
        <f t="shared" si="25"/>
        <v>7485.9199999999992</v>
      </c>
      <c r="J793" s="28" t="s">
        <v>5503</v>
      </c>
      <c r="K793" s="25">
        <v>41346</v>
      </c>
      <c r="M793" s="56">
        <v>41376</v>
      </c>
      <c r="N793" s="29" t="s">
        <v>166</v>
      </c>
      <c r="O793" s="28" t="s">
        <v>6453</v>
      </c>
      <c r="P793" s="32">
        <v>162522.63</v>
      </c>
      <c r="Q793" s="56">
        <v>41387</v>
      </c>
    </row>
    <row r="794" spans="1:33" ht="12" customHeight="1">
      <c r="A794" s="25">
        <v>41346</v>
      </c>
      <c r="B794" s="329" t="s">
        <v>5452</v>
      </c>
      <c r="C794" s="219" t="s">
        <v>162</v>
      </c>
      <c r="D794" s="1" t="s">
        <v>1717</v>
      </c>
      <c r="E794" s="329">
        <v>10435</v>
      </c>
      <c r="F794" s="205">
        <v>20</v>
      </c>
      <c r="G794" s="329" t="s">
        <v>172</v>
      </c>
      <c r="H794" s="31">
        <v>14.8</v>
      </c>
      <c r="I794" s="27">
        <f t="shared" si="25"/>
        <v>296</v>
      </c>
      <c r="J794" s="28" t="s">
        <v>5602</v>
      </c>
      <c r="K794" s="25">
        <v>41351</v>
      </c>
      <c r="M794" s="56">
        <v>41346</v>
      </c>
      <c r="N794" s="29" t="s">
        <v>166</v>
      </c>
      <c r="O794" s="28" t="s">
        <v>5595</v>
      </c>
      <c r="P794" s="32">
        <v>7496</v>
      </c>
      <c r="Q794" s="56">
        <v>41351</v>
      </c>
    </row>
    <row r="795" spans="1:33" ht="12" customHeight="1">
      <c r="A795" s="25">
        <v>41346</v>
      </c>
      <c r="B795" s="329" t="s">
        <v>5452</v>
      </c>
      <c r="C795" s="219" t="s">
        <v>162</v>
      </c>
      <c r="D795" s="329" t="s">
        <v>1908</v>
      </c>
      <c r="E795" s="329">
        <v>8246</v>
      </c>
      <c r="F795" s="205">
        <v>600</v>
      </c>
      <c r="G795" s="329" t="s">
        <v>170</v>
      </c>
      <c r="H795" s="31">
        <v>12</v>
      </c>
      <c r="I795" s="27">
        <f t="shared" si="25"/>
        <v>7200</v>
      </c>
      <c r="J795" s="28" t="s">
        <v>5602</v>
      </c>
      <c r="K795" s="25">
        <v>41351</v>
      </c>
      <c r="M795" s="56">
        <v>41346</v>
      </c>
      <c r="N795" s="29" t="s">
        <v>166</v>
      </c>
      <c r="O795" s="28" t="s">
        <v>5595</v>
      </c>
      <c r="P795" s="32">
        <v>7496</v>
      </c>
      <c r="Q795" s="56">
        <v>41351</v>
      </c>
    </row>
    <row r="796" spans="1:33" ht="12" customHeight="1">
      <c r="A796" s="25">
        <v>41346</v>
      </c>
      <c r="B796" s="329" t="s">
        <v>5373</v>
      </c>
      <c r="C796" s="219" t="s">
        <v>162</v>
      </c>
      <c r="D796" s="329" t="s">
        <v>350</v>
      </c>
      <c r="E796" s="329">
        <v>7502</v>
      </c>
      <c r="F796" s="205">
        <v>10</v>
      </c>
      <c r="G796" s="329" t="s">
        <v>170</v>
      </c>
      <c r="H796" s="31">
        <v>110</v>
      </c>
      <c r="I796" s="27">
        <f t="shared" si="25"/>
        <v>1100</v>
      </c>
      <c r="J796" s="28" t="s">
        <v>5589</v>
      </c>
      <c r="K796" s="25">
        <v>41351</v>
      </c>
      <c r="M796" s="56">
        <v>41346</v>
      </c>
      <c r="N796" s="29" t="s">
        <v>166</v>
      </c>
      <c r="O796" s="28" t="s">
        <v>6355</v>
      </c>
      <c r="P796" s="32">
        <v>3073</v>
      </c>
      <c r="Q796" s="56">
        <v>41383</v>
      </c>
    </row>
    <row r="797" spans="1:33" ht="12" customHeight="1">
      <c r="A797" s="25">
        <v>41346</v>
      </c>
      <c r="B797" s="329" t="s">
        <v>5373</v>
      </c>
      <c r="C797" s="219" t="s">
        <v>162</v>
      </c>
      <c r="D797" s="329" t="s">
        <v>273</v>
      </c>
      <c r="E797" s="1" t="s">
        <v>274</v>
      </c>
      <c r="F797" s="205">
        <v>60</v>
      </c>
      <c r="G797" s="329" t="s">
        <v>170</v>
      </c>
      <c r="H797" s="31">
        <v>31.7</v>
      </c>
      <c r="I797" s="27">
        <f t="shared" si="25"/>
        <v>1902</v>
      </c>
      <c r="J797" s="28" t="s">
        <v>5589</v>
      </c>
      <c r="K797" s="25">
        <v>41351</v>
      </c>
      <c r="M797" s="56">
        <v>41346</v>
      </c>
      <c r="N797" s="29" t="s">
        <v>166</v>
      </c>
      <c r="O797" s="28" t="s">
        <v>6355</v>
      </c>
      <c r="P797" s="32">
        <v>3073</v>
      </c>
      <c r="Q797" s="56">
        <v>41383</v>
      </c>
    </row>
    <row r="798" spans="1:33" ht="12" customHeight="1">
      <c r="A798" s="25">
        <v>41346</v>
      </c>
      <c r="B798" s="329" t="s">
        <v>2004</v>
      </c>
      <c r="C798" s="219" t="s">
        <v>5515</v>
      </c>
      <c r="D798" s="1" t="s">
        <v>5394</v>
      </c>
      <c r="E798" s="1">
        <v>7475</v>
      </c>
      <c r="F798" s="1">
        <v>10</v>
      </c>
      <c r="G798" s="1" t="s">
        <v>5393</v>
      </c>
      <c r="H798" s="31">
        <v>280</v>
      </c>
      <c r="I798" s="27">
        <f t="shared" si="25"/>
        <v>2800</v>
      </c>
      <c r="J798" s="28" t="s">
        <v>5492</v>
      </c>
      <c r="K798" s="25">
        <v>41346</v>
      </c>
      <c r="M798" s="56">
        <v>41346</v>
      </c>
      <c r="N798" s="29" t="s">
        <v>5516</v>
      </c>
      <c r="O798" s="28" t="s">
        <v>6500</v>
      </c>
      <c r="P798" s="32">
        <v>7108</v>
      </c>
      <c r="Q798" s="56">
        <v>41389</v>
      </c>
    </row>
    <row r="799" spans="1:33" ht="12" customHeight="1">
      <c r="A799" s="25">
        <v>41347</v>
      </c>
      <c r="B799" s="330" t="s">
        <v>1986</v>
      </c>
      <c r="C799" s="219" t="s">
        <v>162</v>
      </c>
      <c r="D799" s="5" t="s">
        <v>2012</v>
      </c>
      <c r="E799" s="330" t="s">
        <v>5526</v>
      </c>
      <c r="F799" s="205">
        <v>3500</v>
      </c>
      <c r="G799" s="330" t="s">
        <v>5527</v>
      </c>
      <c r="H799" s="31">
        <v>1.44</v>
      </c>
      <c r="I799" s="27">
        <f t="shared" si="25"/>
        <v>5040</v>
      </c>
      <c r="J799" s="28" t="s">
        <v>5602</v>
      </c>
      <c r="K799" s="25">
        <v>41351</v>
      </c>
      <c r="M799" s="56">
        <v>41347</v>
      </c>
      <c r="N799" s="29" t="s">
        <v>166</v>
      </c>
      <c r="O799" s="28" t="s">
        <v>5789</v>
      </c>
      <c r="P799" s="32">
        <v>5040</v>
      </c>
      <c r="Q799" s="56">
        <v>41358</v>
      </c>
    </row>
    <row r="800" spans="1:33" ht="12" customHeight="1">
      <c r="A800" s="25">
        <v>41347</v>
      </c>
      <c r="B800" s="330" t="s">
        <v>228</v>
      </c>
      <c r="C800" s="221" t="s">
        <v>162</v>
      </c>
      <c r="D800" s="1" t="s">
        <v>1210</v>
      </c>
      <c r="E800" s="28">
        <v>3200</v>
      </c>
      <c r="F800" s="205">
        <v>2060</v>
      </c>
      <c r="G800" s="330" t="s">
        <v>5527</v>
      </c>
      <c r="H800" s="31">
        <v>23.94</v>
      </c>
      <c r="I800" s="27">
        <f t="shared" si="25"/>
        <v>49316.4</v>
      </c>
      <c r="J800" s="28" t="s">
        <v>5545</v>
      </c>
      <c r="K800" s="25">
        <v>41347</v>
      </c>
      <c r="M800" s="56">
        <v>41362</v>
      </c>
      <c r="N800" s="29" t="s">
        <v>166</v>
      </c>
      <c r="O800" s="28" t="s">
        <v>6453</v>
      </c>
      <c r="P800" s="32">
        <v>162522.63</v>
      </c>
      <c r="Q800" s="56">
        <v>41387</v>
      </c>
    </row>
    <row r="801" spans="1:17" ht="12" customHeight="1">
      <c r="A801" s="25">
        <v>41347</v>
      </c>
      <c r="B801" s="330" t="s">
        <v>228</v>
      </c>
      <c r="C801" s="221" t="s">
        <v>162</v>
      </c>
      <c r="D801" s="5" t="s">
        <v>182</v>
      </c>
      <c r="E801" s="28" t="s">
        <v>186</v>
      </c>
      <c r="F801" s="205">
        <v>500</v>
      </c>
      <c r="G801" s="330" t="s">
        <v>5544</v>
      </c>
      <c r="H801" s="31">
        <v>1.54</v>
      </c>
      <c r="I801" s="27">
        <f>H801*F801</f>
        <v>770</v>
      </c>
      <c r="J801" s="28" t="s">
        <v>5545</v>
      </c>
      <c r="K801" s="25">
        <v>41347</v>
      </c>
      <c r="M801" s="56">
        <v>41362</v>
      </c>
      <c r="N801" s="29" t="s">
        <v>166</v>
      </c>
      <c r="O801" s="28" t="s">
        <v>6453</v>
      </c>
      <c r="P801" s="32">
        <v>162522.63</v>
      </c>
      <c r="Q801" s="56">
        <v>41387</v>
      </c>
    </row>
    <row r="802" spans="1:17" ht="12" customHeight="1">
      <c r="A802" s="25">
        <v>41348</v>
      </c>
      <c r="B802" s="331" t="s">
        <v>228</v>
      </c>
      <c r="C802" s="221" t="s">
        <v>162</v>
      </c>
      <c r="D802" s="331" t="s">
        <v>34</v>
      </c>
      <c r="E802" s="28">
        <v>12235</v>
      </c>
      <c r="F802" s="205">
        <v>20</v>
      </c>
      <c r="G802" s="331" t="s">
        <v>5555</v>
      </c>
      <c r="H802" s="31">
        <v>40.200000000000003</v>
      </c>
      <c r="I802" s="27">
        <f>H802*F802</f>
        <v>804</v>
      </c>
      <c r="J802" s="28" t="s">
        <v>5566</v>
      </c>
      <c r="K802" s="25">
        <v>41348</v>
      </c>
      <c r="M802" s="56">
        <v>41376</v>
      </c>
      <c r="N802" s="29" t="s">
        <v>166</v>
      </c>
      <c r="O802" s="28" t="s">
        <v>6453</v>
      </c>
      <c r="P802" s="32">
        <v>162522.63</v>
      </c>
      <c r="Q802" s="56">
        <v>41387</v>
      </c>
    </row>
    <row r="803" spans="1:17" ht="12" customHeight="1">
      <c r="A803" s="25">
        <v>41348</v>
      </c>
      <c r="B803" s="331" t="s">
        <v>228</v>
      </c>
      <c r="C803" s="221" t="s">
        <v>162</v>
      </c>
      <c r="D803" s="331" t="s">
        <v>1485</v>
      </c>
      <c r="E803" s="28">
        <v>1426</v>
      </c>
      <c r="F803" s="205">
        <v>11</v>
      </c>
      <c r="G803" s="331" t="s">
        <v>172</v>
      </c>
      <c r="H803" s="31">
        <v>18.510000000000002</v>
      </c>
      <c r="I803" s="27">
        <f>H803*F803</f>
        <v>203.61</v>
      </c>
      <c r="J803" s="28" t="s">
        <v>5566</v>
      </c>
      <c r="K803" s="25">
        <v>41348</v>
      </c>
      <c r="M803" s="56">
        <v>41376</v>
      </c>
      <c r="N803" s="29" t="s">
        <v>166</v>
      </c>
      <c r="O803" s="28" t="s">
        <v>6453</v>
      </c>
      <c r="P803" s="32">
        <v>162522.63</v>
      </c>
      <c r="Q803" s="56">
        <v>41387</v>
      </c>
    </row>
    <row r="804" spans="1:17" ht="12" customHeight="1">
      <c r="A804" s="25">
        <v>41348</v>
      </c>
      <c r="B804" s="331" t="s">
        <v>5572</v>
      </c>
      <c r="C804" s="221" t="s">
        <v>162</v>
      </c>
      <c r="D804" s="1" t="s">
        <v>1219</v>
      </c>
      <c r="E804" s="331" t="s">
        <v>5567</v>
      </c>
      <c r="F804" s="205">
        <v>100</v>
      </c>
      <c r="G804" s="331" t="s">
        <v>5568</v>
      </c>
      <c r="H804" s="31">
        <v>3.96</v>
      </c>
      <c r="I804" s="27">
        <f>H804*F804</f>
        <v>396</v>
      </c>
      <c r="J804" s="28" t="s">
        <v>5589</v>
      </c>
      <c r="K804" s="25">
        <v>41348</v>
      </c>
      <c r="M804" s="56">
        <v>41348</v>
      </c>
      <c r="N804" s="29" t="s">
        <v>166</v>
      </c>
      <c r="O804" s="28" t="s">
        <v>5811</v>
      </c>
      <c r="P804" s="32">
        <v>1801</v>
      </c>
      <c r="Q804" s="56">
        <v>41360</v>
      </c>
    </row>
    <row r="805" spans="1:17" ht="12" customHeight="1">
      <c r="A805" s="25">
        <v>41348</v>
      </c>
      <c r="B805" s="331" t="s">
        <v>228</v>
      </c>
      <c r="C805" s="221" t="s">
        <v>162</v>
      </c>
      <c r="D805" s="331" t="s">
        <v>1946</v>
      </c>
      <c r="E805" s="28">
        <v>4620</v>
      </c>
      <c r="F805" s="205">
        <v>30</v>
      </c>
      <c r="G805" s="331" t="s">
        <v>174</v>
      </c>
      <c r="H805" s="31">
        <v>17.79</v>
      </c>
      <c r="I805" s="27">
        <f>F805*H805</f>
        <v>533.69999999999993</v>
      </c>
      <c r="J805" s="28" t="s">
        <v>5573</v>
      </c>
      <c r="K805" s="25">
        <v>41348</v>
      </c>
      <c r="M805" s="56">
        <v>41376</v>
      </c>
      <c r="N805" s="29" t="s">
        <v>166</v>
      </c>
      <c r="O805" s="28" t="s">
        <v>6453</v>
      </c>
      <c r="P805" s="32">
        <v>162522.63</v>
      </c>
      <c r="Q805" s="56">
        <v>41387</v>
      </c>
    </row>
    <row r="806" spans="1:17" ht="12" customHeight="1">
      <c r="A806" s="25">
        <v>41351</v>
      </c>
      <c r="B806" s="332" t="s">
        <v>1980</v>
      </c>
      <c r="C806" s="220" t="s">
        <v>7</v>
      </c>
      <c r="D806" s="332" t="s">
        <v>1969</v>
      </c>
      <c r="E806" s="332" t="s">
        <v>5590</v>
      </c>
      <c r="F806" s="205">
        <v>60</v>
      </c>
      <c r="G806" s="332" t="s">
        <v>827</v>
      </c>
      <c r="H806" s="31">
        <v>14.15</v>
      </c>
      <c r="I806" s="27">
        <f t="shared" ref="I806:I819" si="26">H806*F806</f>
        <v>849</v>
      </c>
      <c r="J806" s="28" t="s">
        <v>5772</v>
      </c>
      <c r="K806" s="25">
        <v>41351</v>
      </c>
      <c r="M806" s="56">
        <v>41351</v>
      </c>
      <c r="N806" s="29" t="s">
        <v>166</v>
      </c>
      <c r="O806" s="28" t="s">
        <v>5811</v>
      </c>
      <c r="P806" s="32">
        <v>1801</v>
      </c>
      <c r="Q806" s="56">
        <v>41360</v>
      </c>
    </row>
    <row r="807" spans="1:17" ht="12" customHeight="1">
      <c r="A807" s="25">
        <v>41351</v>
      </c>
      <c r="B807" s="312" t="s">
        <v>5134</v>
      </c>
      <c r="C807" s="219" t="s">
        <v>162</v>
      </c>
      <c r="D807" s="5" t="s">
        <v>1717</v>
      </c>
      <c r="E807" s="196">
        <v>10435</v>
      </c>
      <c r="F807" s="205">
        <v>150</v>
      </c>
      <c r="G807" s="333" t="s">
        <v>5612</v>
      </c>
      <c r="H807" s="31">
        <v>14.2</v>
      </c>
      <c r="I807" s="27">
        <f t="shared" si="26"/>
        <v>2130</v>
      </c>
      <c r="J807" s="28" t="s">
        <v>5772</v>
      </c>
      <c r="K807" s="25">
        <v>41358</v>
      </c>
      <c r="M807" s="56">
        <v>41351</v>
      </c>
      <c r="N807" s="29" t="s">
        <v>166</v>
      </c>
      <c r="O807" s="28" t="s">
        <v>6424</v>
      </c>
      <c r="P807" s="32">
        <v>25828</v>
      </c>
      <c r="Q807" s="56">
        <v>41386</v>
      </c>
    </row>
    <row r="808" spans="1:17" ht="12" customHeight="1">
      <c r="A808" s="25">
        <v>41351</v>
      </c>
      <c r="B808" s="312" t="s">
        <v>5134</v>
      </c>
      <c r="C808" s="219" t="s">
        <v>162</v>
      </c>
      <c r="D808" s="333" t="s">
        <v>182</v>
      </c>
      <c r="E808" s="333" t="s">
        <v>194</v>
      </c>
      <c r="F808" s="205">
        <v>600</v>
      </c>
      <c r="G808" s="333" t="s">
        <v>5613</v>
      </c>
      <c r="H808" s="31">
        <v>4.75</v>
      </c>
      <c r="I808" s="27">
        <f t="shared" si="26"/>
        <v>2850</v>
      </c>
      <c r="J808" s="28" t="s">
        <v>5772</v>
      </c>
      <c r="K808" s="25">
        <v>41358</v>
      </c>
      <c r="M808" s="56">
        <v>41351</v>
      </c>
      <c r="N808" s="29" t="s">
        <v>166</v>
      </c>
      <c r="O808" s="28" t="s">
        <v>6424</v>
      </c>
      <c r="P808" s="32">
        <v>25828</v>
      </c>
      <c r="Q808" s="56">
        <v>41386</v>
      </c>
    </row>
    <row r="809" spans="1:17" ht="12" customHeight="1">
      <c r="A809" s="25">
        <v>41353</v>
      </c>
      <c r="B809" s="312" t="s">
        <v>5134</v>
      </c>
      <c r="C809" s="219" t="s">
        <v>162</v>
      </c>
      <c r="D809" s="5" t="s">
        <v>5069</v>
      </c>
      <c r="E809" s="335" t="s">
        <v>5649</v>
      </c>
      <c r="F809" s="205">
        <v>100</v>
      </c>
      <c r="G809" s="335" t="s">
        <v>172</v>
      </c>
      <c r="H809" s="31">
        <v>11.6</v>
      </c>
      <c r="I809" s="27">
        <f t="shared" si="26"/>
        <v>1160</v>
      </c>
      <c r="J809" s="28" t="s">
        <v>5755</v>
      </c>
      <c r="K809" s="25">
        <v>41358</v>
      </c>
      <c r="M809" s="56">
        <v>41353</v>
      </c>
      <c r="N809" s="29" t="s">
        <v>166</v>
      </c>
      <c r="O809" s="28" t="s">
        <v>6311</v>
      </c>
      <c r="P809" s="32">
        <v>33014</v>
      </c>
      <c r="Q809" s="56">
        <v>41380</v>
      </c>
    </row>
    <row r="810" spans="1:17" ht="12.75" customHeight="1">
      <c r="A810" s="25">
        <v>41353</v>
      </c>
      <c r="B810" s="336" t="s">
        <v>1985</v>
      </c>
      <c r="C810" s="219" t="s">
        <v>162</v>
      </c>
      <c r="D810" s="227" t="s">
        <v>5655</v>
      </c>
      <c r="E810" s="336" t="s">
        <v>5664</v>
      </c>
      <c r="F810" s="367">
        <v>2500</v>
      </c>
      <c r="G810" s="336" t="s">
        <v>5671</v>
      </c>
      <c r="H810" s="31">
        <v>0.52</v>
      </c>
      <c r="I810" s="27">
        <f t="shared" si="26"/>
        <v>1300</v>
      </c>
      <c r="J810" s="28" t="s">
        <v>5784</v>
      </c>
      <c r="K810" s="25">
        <v>41358</v>
      </c>
      <c r="M810" s="56">
        <v>41353</v>
      </c>
      <c r="N810" s="29" t="s">
        <v>166</v>
      </c>
      <c r="O810" s="28" t="s">
        <v>6151</v>
      </c>
      <c r="P810" s="32">
        <v>15880.44</v>
      </c>
      <c r="Q810" s="56">
        <v>41375</v>
      </c>
    </row>
    <row r="811" spans="1:17" ht="12" customHeight="1">
      <c r="A811" s="25">
        <v>41353</v>
      </c>
      <c r="B811" s="336" t="s">
        <v>1985</v>
      </c>
      <c r="C811" s="219" t="s">
        <v>162</v>
      </c>
      <c r="D811" s="1" t="s">
        <v>5652</v>
      </c>
      <c r="E811" s="336" t="s">
        <v>5665</v>
      </c>
      <c r="F811" s="367">
        <v>6</v>
      </c>
      <c r="G811" s="336" t="s">
        <v>5672</v>
      </c>
      <c r="H811" s="31">
        <v>275.39999999999998</v>
      </c>
      <c r="I811" s="27">
        <f t="shared" si="26"/>
        <v>1652.3999999999999</v>
      </c>
      <c r="J811" s="28" t="s">
        <v>5784</v>
      </c>
      <c r="K811" s="25">
        <v>41358</v>
      </c>
      <c r="M811" s="56">
        <v>41353</v>
      </c>
      <c r="N811" s="29" t="s">
        <v>166</v>
      </c>
      <c r="O811" s="28" t="s">
        <v>6151</v>
      </c>
      <c r="P811" s="32">
        <v>15880.44</v>
      </c>
      <c r="Q811" s="56">
        <v>41375</v>
      </c>
    </row>
    <row r="812" spans="1:17" ht="12" customHeight="1">
      <c r="A812" s="25">
        <v>41353</v>
      </c>
      <c r="B812" s="336" t="s">
        <v>1985</v>
      </c>
      <c r="C812" s="219" t="s">
        <v>162</v>
      </c>
      <c r="D812" s="265" t="s">
        <v>5674</v>
      </c>
      <c r="E812" s="336" t="s">
        <v>5666</v>
      </c>
      <c r="F812" s="367">
        <v>500</v>
      </c>
      <c r="G812" s="336" t="s">
        <v>5671</v>
      </c>
      <c r="H812" s="31">
        <v>0.54</v>
      </c>
      <c r="I812" s="27">
        <f t="shared" si="26"/>
        <v>270</v>
      </c>
      <c r="J812" s="28" t="s">
        <v>5784</v>
      </c>
      <c r="K812" s="25">
        <v>41358</v>
      </c>
      <c r="M812" s="56">
        <v>41353</v>
      </c>
      <c r="N812" s="29" t="s">
        <v>166</v>
      </c>
      <c r="O812" s="28" t="s">
        <v>6151</v>
      </c>
      <c r="P812" s="32">
        <v>15880.44</v>
      </c>
      <c r="Q812" s="56">
        <v>41375</v>
      </c>
    </row>
    <row r="813" spans="1:17" ht="12" customHeight="1">
      <c r="A813" s="25">
        <v>41353</v>
      </c>
      <c r="B813" s="336" t="s">
        <v>1985</v>
      </c>
      <c r="C813" s="219" t="s">
        <v>5667</v>
      </c>
      <c r="D813" s="336" t="s">
        <v>5669</v>
      </c>
      <c r="E813" s="336" t="s">
        <v>5668</v>
      </c>
      <c r="F813" s="367">
        <v>1</v>
      </c>
      <c r="G813" s="336" t="s">
        <v>5673</v>
      </c>
      <c r="H813" s="31">
        <v>22.68</v>
      </c>
      <c r="I813" s="27">
        <f t="shared" si="26"/>
        <v>22.68</v>
      </c>
      <c r="J813" s="28" t="s">
        <v>5784</v>
      </c>
      <c r="K813" s="25">
        <v>41358</v>
      </c>
      <c r="M813" s="56">
        <v>41353</v>
      </c>
      <c r="N813" s="29" t="s">
        <v>166</v>
      </c>
      <c r="O813" s="28" t="s">
        <v>6151</v>
      </c>
      <c r="P813" s="32">
        <v>15880.44</v>
      </c>
      <c r="Q813" s="56">
        <v>41375</v>
      </c>
    </row>
    <row r="814" spans="1:17" ht="12" customHeight="1">
      <c r="A814" s="25">
        <v>41353</v>
      </c>
      <c r="B814" s="336" t="s">
        <v>1985</v>
      </c>
      <c r="C814" s="219" t="s">
        <v>5667</v>
      </c>
      <c r="D814" s="336" t="s">
        <v>5670</v>
      </c>
      <c r="E814" s="336" t="s">
        <v>5668</v>
      </c>
      <c r="F814" s="367">
        <v>2</v>
      </c>
      <c r="G814" s="336" t="s">
        <v>5673</v>
      </c>
      <c r="H814" s="31">
        <v>22.68</v>
      </c>
      <c r="I814" s="27">
        <f t="shared" si="26"/>
        <v>45.36</v>
      </c>
      <c r="J814" s="28" t="s">
        <v>5784</v>
      </c>
      <c r="K814" s="25">
        <v>41358</v>
      </c>
      <c r="M814" s="56">
        <v>41353</v>
      </c>
      <c r="N814" s="29" t="s">
        <v>166</v>
      </c>
      <c r="O814" s="28" t="s">
        <v>6151</v>
      </c>
      <c r="P814" s="32">
        <v>15880.44</v>
      </c>
      <c r="Q814" s="56">
        <v>41375</v>
      </c>
    </row>
    <row r="815" spans="1:17" ht="12" customHeight="1">
      <c r="A815" s="25">
        <v>41353</v>
      </c>
      <c r="B815" s="336" t="s">
        <v>5676</v>
      </c>
      <c r="C815" s="1" t="s">
        <v>5643</v>
      </c>
      <c r="D815" s="1" t="s">
        <v>5646</v>
      </c>
      <c r="E815" s="1" t="s">
        <v>5645</v>
      </c>
      <c r="F815" s="1">
        <v>2</v>
      </c>
      <c r="G815" s="1" t="s">
        <v>3712</v>
      </c>
      <c r="H815" s="31">
        <v>290</v>
      </c>
      <c r="I815" s="27">
        <f t="shared" si="26"/>
        <v>580</v>
      </c>
      <c r="J815" s="28" t="s">
        <v>5856</v>
      </c>
      <c r="K815" s="25">
        <v>41361</v>
      </c>
      <c r="M815" s="56">
        <v>41353</v>
      </c>
      <c r="N815" s="29" t="s">
        <v>166</v>
      </c>
      <c r="O815" s="28" t="s">
        <v>5898</v>
      </c>
      <c r="P815" s="32">
        <v>870</v>
      </c>
      <c r="Q815" s="56">
        <v>41363</v>
      </c>
    </row>
    <row r="816" spans="1:17" ht="12" customHeight="1">
      <c r="A816" s="25">
        <v>41353</v>
      </c>
      <c r="B816" s="336" t="s">
        <v>5676</v>
      </c>
      <c r="C816" s="1" t="s">
        <v>5643</v>
      </c>
      <c r="D816" s="1" t="s">
        <v>5647</v>
      </c>
      <c r="E816" s="1" t="s">
        <v>5644</v>
      </c>
      <c r="F816" s="1">
        <v>1</v>
      </c>
      <c r="G816" s="1" t="s">
        <v>3712</v>
      </c>
      <c r="H816" s="31">
        <v>290</v>
      </c>
      <c r="I816" s="27">
        <f t="shared" si="26"/>
        <v>290</v>
      </c>
      <c r="J816" s="28" t="s">
        <v>5856</v>
      </c>
      <c r="K816" s="25">
        <v>41361</v>
      </c>
      <c r="M816" s="56">
        <v>41353</v>
      </c>
      <c r="N816" s="29" t="s">
        <v>166</v>
      </c>
      <c r="O816" s="28" t="s">
        <v>5898</v>
      </c>
      <c r="P816" s="32">
        <v>870</v>
      </c>
      <c r="Q816" s="56">
        <v>41363</v>
      </c>
    </row>
    <row r="817" spans="1:33" ht="12" customHeight="1">
      <c r="A817" s="25">
        <v>41353</v>
      </c>
      <c r="B817" s="336" t="s">
        <v>228</v>
      </c>
      <c r="C817" s="219" t="s">
        <v>162</v>
      </c>
      <c r="D817" s="1" t="s">
        <v>1210</v>
      </c>
      <c r="E817" s="238">
        <v>3200</v>
      </c>
      <c r="F817" s="1">
        <v>60</v>
      </c>
      <c r="G817" s="1" t="s">
        <v>5672</v>
      </c>
      <c r="H817" s="31">
        <v>23.94</v>
      </c>
      <c r="I817" s="27">
        <f t="shared" si="26"/>
        <v>1436.4</v>
      </c>
      <c r="J817" s="28" t="s">
        <v>5687</v>
      </c>
      <c r="K817" s="25">
        <v>41353</v>
      </c>
      <c r="M817" s="56">
        <v>41376</v>
      </c>
      <c r="N817" s="29" t="s">
        <v>166</v>
      </c>
      <c r="O817" s="28" t="s">
        <v>6453</v>
      </c>
      <c r="P817" s="32">
        <v>162522.63</v>
      </c>
      <c r="Q817" s="56">
        <v>41387</v>
      </c>
      <c r="R817" s="336"/>
      <c r="S817" s="336"/>
      <c r="T817" s="336"/>
      <c r="U817" s="336"/>
      <c r="V817" s="336"/>
      <c r="W817" s="336"/>
      <c r="X817" s="336"/>
      <c r="Y817" s="336"/>
      <c r="Z817" s="336"/>
      <c r="AA817" s="336"/>
      <c r="AB817" s="336"/>
      <c r="AC817" s="336"/>
      <c r="AD817" s="336"/>
      <c r="AE817" s="336"/>
      <c r="AF817" s="336"/>
      <c r="AG817" s="336"/>
    </row>
    <row r="818" spans="1:33" ht="12" customHeight="1">
      <c r="A818" s="25">
        <v>41354</v>
      </c>
      <c r="B818" s="336" t="s">
        <v>1979</v>
      </c>
      <c r="C818" s="219" t="s">
        <v>162</v>
      </c>
      <c r="D818" s="342" t="s">
        <v>287</v>
      </c>
      <c r="E818" s="336">
        <v>10434</v>
      </c>
      <c r="F818" s="336">
        <v>-30</v>
      </c>
      <c r="G818" s="336" t="s">
        <v>172</v>
      </c>
      <c r="H818" s="31">
        <v>14.2</v>
      </c>
      <c r="I818" s="27">
        <f t="shared" si="26"/>
        <v>-426</v>
      </c>
      <c r="J818" s="28" t="s">
        <v>5677</v>
      </c>
      <c r="K818" s="25" t="s">
        <v>5677</v>
      </c>
      <c r="M818" s="56" t="s">
        <v>5686</v>
      </c>
      <c r="N818" s="29" t="s">
        <v>5686</v>
      </c>
      <c r="O818" s="28" t="s">
        <v>1564</v>
      </c>
    </row>
    <row r="819" spans="1:33" ht="12" customHeight="1">
      <c r="A819" s="25">
        <v>41354</v>
      </c>
      <c r="B819" s="336" t="s">
        <v>228</v>
      </c>
      <c r="C819" s="219" t="s">
        <v>162</v>
      </c>
      <c r="D819" s="5" t="s">
        <v>182</v>
      </c>
      <c r="E819" s="28" t="s">
        <v>186</v>
      </c>
      <c r="F819" s="336">
        <v>500</v>
      </c>
      <c r="G819" s="336" t="s">
        <v>171</v>
      </c>
      <c r="H819" s="31">
        <v>1.54</v>
      </c>
      <c r="I819" s="27">
        <f t="shared" si="26"/>
        <v>770</v>
      </c>
      <c r="J819" s="28" t="s">
        <v>5688</v>
      </c>
      <c r="K819" s="25">
        <v>41354</v>
      </c>
      <c r="M819" s="56">
        <v>41376</v>
      </c>
      <c r="N819" s="29" t="s">
        <v>166</v>
      </c>
      <c r="O819" s="28" t="s">
        <v>6453</v>
      </c>
      <c r="P819" s="32">
        <v>162522.63</v>
      </c>
      <c r="Q819" s="56">
        <v>41387</v>
      </c>
    </row>
    <row r="820" spans="1:33" ht="12" customHeight="1">
      <c r="A820" s="25">
        <v>41354</v>
      </c>
      <c r="B820" s="337" t="s">
        <v>228</v>
      </c>
      <c r="C820" s="219" t="s">
        <v>162</v>
      </c>
      <c r="D820" s="5" t="s">
        <v>182</v>
      </c>
      <c r="E820" s="28" t="s">
        <v>186</v>
      </c>
      <c r="F820" s="337">
        <v>500</v>
      </c>
      <c r="G820" s="337" t="s">
        <v>171</v>
      </c>
      <c r="H820" s="31">
        <v>1.54</v>
      </c>
      <c r="I820" s="27">
        <f>H820*F820</f>
        <v>770</v>
      </c>
      <c r="J820" s="28" t="s">
        <v>5728</v>
      </c>
      <c r="K820" s="25">
        <v>41354</v>
      </c>
      <c r="M820" s="56">
        <v>41376</v>
      </c>
      <c r="N820" s="29" t="s">
        <v>166</v>
      </c>
      <c r="O820" s="28" t="s">
        <v>6453</v>
      </c>
      <c r="P820" s="32">
        <v>162522.63</v>
      </c>
      <c r="Q820" s="56">
        <v>41387</v>
      </c>
    </row>
    <row r="821" spans="1:33" ht="12" customHeight="1">
      <c r="A821" s="25">
        <v>41354</v>
      </c>
      <c r="B821" s="337" t="s">
        <v>228</v>
      </c>
      <c r="C821" s="219" t="s">
        <v>162</v>
      </c>
      <c r="D821" s="1" t="s">
        <v>1210</v>
      </c>
      <c r="E821" s="28">
        <v>3200</v>
      </c>
      <c r="F821" s="205">
        <v>400</v>
      </c>
      <c r="G821" s="337" t="s">
        <v>170</v>
      </c>
      <c r="H821" s="31">
        <v>23.94</v>
      </c>
      <c r="I821" s="27">
        <f>H821*F821</f>
        <v>9576</v>
      </c>
      <c r="J821" s="28" t="s">
        <v>5729</v>
      </c>
      <c r="K821" s="25">
        <v>41354</v>
      </c>
      <c r="M821" s="56">
        <v>41376</v>
      </c>
      <c r="N821" s="29" t="s">
        <v>166</v>
      </c>
      <c r="O821" s="28" t="s">
        <v>6453</v>
      </c>
      <c r="P821" s="32">
        <v>162522.63</v>
      </c>
      <c r="Q821" s="56">
        <v>41387</v>
      </c>
    </row>
    <row r="822" spans="1:33" ht="12" customHeight="1">
      <c r="A822" s="25">
        <v>41354</v>
      </c>
      <c r="B822" s="337" t="s">
        <v>228</v>
      </c>
      <c r="C822" s="219" t="s">
        <v>162</v>
      </c>
      <c r="D822" s="337" t="s">
        <v>353</v>
      </c>
      <c r="E822" s="28" t="s">
        <v>22</v>
      </c>
      <c r="F822" s="205">
        <v>120</v>
      </c>
      <c r="G822" s="337" t="s">
        <v>170</v>
      </c>
      <c r="H822" s="31">
        <v>10.94</v>
      </c>
      <c r="I822" s="27">
        <f>H822*F822</f>
        <v>1312.8</v>
      </c>
      <c r="J822" s="28" t="s">
        <v>5729</v>
      </c>
      <c r="K822" s="25">
        <v>41354</v>
      </c>
      <c r="M822" s="56">
        <v>41376</v>
      </c>
      <c r="N822" s="29" t="s">
        <v>166</v>
      </c>
      <c r="O822" s="28" t="s">
        <v>6453</v>
      </c>
      <c r="P822" s="32">
        <v>162522.63</v>
      </c>
      <c r="Q822" s="56">
        <v>41387</v>
      </c>
    </row>
    <row r="823" spans="1:33" ht="12" customHeight="1">
      <c r="A823" s="25">
        <v>41354</v>
      </c>
      <c r="B823" s="337" t="s">
        <v>228</v>
      </c>
      <c r="C823" s="219" t="s">
        <v>162</v>
      </c>
      <c r="D823" s="1" t="s">
        <v>268</v>
      </c>
      <c r="E823" s="238" t="s">
        <v>177</v>
      </c>
      <c r="F823" s="205">
        <v>500</v>
      </c>
      <c r="G823" s="337" t="s">
        <v>171</v>
      </c>
      <c r="H823" s="31">
        <v>1.17</v>
      </c>
      <c r="I823" s="27">
        <f>H823*F823</f>
        <v>585</v>
      </c>
      <c r="J823" s="28" t="s">
        <v>5729</v>
      </c>
      <c r="K823" s="25">
        <v>41354</v>
      </c>
      <c r="M823" s="56">
        <v>41376</v>
      </c>
      <c r="N823" s="29" t="s">
        <v>166</v>
      </c>
      <c r="O823" s="28" t="s">
        <v>6453</v>
      </c>
      <c r="P823" s="32">
        <v>162522.63</v>
      </c>
      <c r="Q823" s="56">
        <v>41387</v>
      </c>
    </row>
    <row r="824" spans="1:33" ht="12" customHeight="1">
      <c r="A824" s="25">
        <v>41354</v>
      </c>
      <c r="B824" s="337" t="s">
        <v>228</v>
      </c>
      <c r="C824" s="219" t="s">
        <v>162</v>
      </c>
      <c r="D824" s="337" t="s">
        <v>263</v>
      </c>
      <c r="E824" s="28" t="s">
        <v>197</v>
      </c>
      <c r="F824" s="205">
        <v>100</v>
      </c>
      <c r="G824" s="337" t="s">
        <v>170</v>
      </c>
      <c r="H824" s="31">
        <v>1.58</v>
      </c>
      <c r="I824" s="27">
        <f t="shared" ref="I824:I889" si="27">H824*F824</f>
        <v>158</v>
      </c>
      <c r="J824" s="28" t="s">
        <v>5729</v>
      </c>
      <c r="K824" s="25">
        <v>41354</v>
      </c>
      <c r="M824" s="56">
        <v>41376</v>
      </c>
      <c r="N824" s="29" t="s">
        <v>166</v>
      </c>
      <c r="O824" s="28" t="s">
        <v>6453</v>
      </c>
      <c r="P824" s="32">
        <v>162522.63</v>
      </c>
      <c r="Q824" s="56">
        <v>41387</v>
      </c>
    </row>
    <row r="825" spans="1:33" ht="12" customHeight="1">
      <c r="A825" s="25">
        <v>41355</v>
      </c>
      <c r="B825" s="337" t="s">
        <v>2008</v>
      </c>
      <c r="C825" s="219" t="s">
        <v>162</v>
      </c>
      <c r="D825" s="337" t="s">
        <v>182</v>
      </c>
      <c r="E825" s="337" t="s">
        <v>1862</v>
      </c>
      <c r="F825" s="205">
        <v>-248</v>
      </c>
      <c r="G825" s="337" t="s">
        <v>171</v>
      </c>
      <c r="H825" s="31">
        <v>9.1</v>
      </c>
      <c r="I825" s="27">
        <f t="shared" si="27"/>
        <v>-2256.7999999999997</v>
      </c>
      <c r="J825" s="28" t="s">
        <v>167</v>
      </c>
      <c r="K825" s="25" t="s">
        <v>5750</v>
      </c>
      <c r="M825" s="56" t="s">
        <v>5749</v>
      </c>
      <c r="N825" s="29" t="s">
        <v>165</v>
      </c>
      <c r="O825" s="322" t="s">
        <v>5370</v>
      </c>
      <c r="P825" s="321">
        <v>10660.4</v>
      </c>
      <c r="Q825" s="56">
        <v>41338</v>
      </c>
      <c r="R825" s="337" t="s">
        <v>5754</v>
      </c>
    </row>
    <row r="826" spans="1:33" ht="12" customHeight="1">
      <c r="A826" s="25">
        <v>41355</v>
      </c>
      <c r="B826" s="337" t="s">
        <v>228</v>
      </c>
      <c r="C826" s="219" t="s">
        <v>162</v>
      </c>
      <c r="D826" s="5" t="s">
        <v>182</v>
      </c>
      <c r="E826" s="28" t="s">
        <v>186</v>
      </c>
      <c r="F826" s="205">
        <v>1000</v>
      </c>
      <c r="G826" s="337" t="s">
        <v>171</v>
      </c>
      <c r="H826" s="31">
        <v>1.54</v>
      </c>
      <c r="I826" s="27">
        <f t="shared" si="27"/>
        <v>1540</v>
      </c>
      <c r="J826" s="28" t="s">
        <v>5751</v>
      </c>
      <c r="K826" s="25">
        <v>41355</v>
      </c>
      <c r="M826" s="56">
        <v>41376</v>
      </c>
      <c r="N826" s="29" t="s">
        <v>166</v>
      </c>
      <c r="O826" s="28" t="s">
        <v>6453</v>
      </c>
      <c r="P826" s="32">
        <v>162522.63</v>
      </c>
      <c r="Q826" s="56">
        <v>41387</v>
      </c>
    </row>
    <row r="827" spans="1:33" ht="12" customHeight="1">
      <c r="A827" s="25">
        <v>41358</v>
      </c>
      <c r="B827" s="338" t="s">
        <v>5770</v>
      </c>
      <c r="C827" s="219" t="s">
        <v>5772</v>
      </c>
      <c r="D827" s="338" t="s">
        <v>5771</v>
      </c>
      <c r="E827" s="338" t="s">
        <v>5772</v>
      </c>
      <c r="F827" s="205">
        <v>45</v>
      </c>
      <c r="G827" s="338" t="s">
        <v>5776</v>
      </c>
      <c r="H827" s="31">
        <v>1.68</v>
      </c>
      <c r="I827" s="27">
        <f t="shared" si="27"/>
        <v>75.599999999999994</v>
      </c>
      <c r="J827" s="28" t="s">
        <v>5778</v>
      </c>
      <c r="K827" s="25">
        <v>41358</v>
      </c>
      <c r="M827" s="56">
        <v>41374</v>
      </c>
      <c r="N827" s="29" t="s">
        <v>166</v>
      </c>
      <c r="O827" s="28" t="s">
        <v>6120</v>
      </c>
      <c r="P827" s="32">
        <v>35658.1</v>
      </c>
      <c r="Q827" s="56">
        <v>41374</v>
      </c>
    </row>
    <row r="828" spans="1:33" ht="12" customHeight="1">
      <c r="A828" s="25">
        <v>41358</v>
      </c>
      <c r="B828" s="338" t="s">
        <v>5770</v>
      </c>
      <c r="C828" s="219" t="s">
        <v>5772</v>
      </c>
      <c r="D828" s="338" t="s">
        <v>5773</v>
      </c>
      <c r="E828" s="338" t="s">
        <v>5772</v>
      </c>
      <c r="F828" s="205">
        <v>15</v>
      </c>
      <c r="G828" s="338" t="s">
        <v>5777</v>
      </c>
      <c r="H828" s="31">
        <v>30</v>
      </c>
      <c r="I828" s="27">
        <f t="shared" si="27"/>
        <v>450</v>
      </c>
      <c r="J828" s="28" t="s">
        <v>5778</v>
      </c>
      <c r="K828" s="25">
        <v>41358</v>
      </c>
      <c r="M828" s="56">
        <v>41374</v>
      </c>
      <c r="N828" s="29" t="s">
        <v>166</v>
      </c>
      <c r="O828" s="28" t="s">
        <v>6120</v>
      </c>
      <c r="P828" s="32">
        <v>35658.1</v>
      </c>
      <c r="Q828" s="56">
        <v>41374</v>
      </c>
    </row>
    <row r="829" spans="1:33" ht="12" customHeight="1">
      <c r="A829" s="25">
        <v>41358</v>
      </c>
      <c r="B829" s="338" t="s">
        <v>5770</v>
      </c>
      <c r="C829" s="219" t="s">
        <v>5772</v>
      </c>
      <c r="D829" s="338" t="s">
        <v>5774</v>
      </c>
      <c r="E829" s="338" t="s">
        <v>5772</v>
      </c>
      <c r="F829" s="205">
        <v>400</v>
      </c>
      <c r="G829" s="338" t="s">
        <v>5776</v>
      </c>
      <c r="H829" s="31">
        <v>0.7</v>
      </c>
      <c r="I829" s="27">
        <f t="shared" si="27"/>
        <v>280</v>
      </c>
      <c r="J829" s="28" t="s">
        <v>5778</v>
      </c>
      <c r="K829" s="25">
        <v>41358</v>
      </c>
      <c r="M829" s="56">
        <v>41374</v>
      </c>
      <c r="N829" s="29" t="s">
        <v>166</v>
      </c>
      <c r="O829" s="28" t="s">
        <v>6120</v>
      </c>
      <c r="P829" s="32">
        <v>35658.1</v>
      </c>
      <c r="Q829" s="56">
        <v>41374</v>
      </c>
    </row>
    <row r="830" spans="1:33" ht="12" customHeight="1">
      <c r="A830" s="25">
        <v>41358</v>
      </c>
      <c r="B830" s="338" t="s">
        <v>5770</v>
      </c>
      <c r="C830" s="219" t="s">
        <v>5772</v>
      </c>
      <c r="D830" s="338" t="s">
        <v>5775</v>
      </c>
      <c r="E830" s="338" t="s">
        <v>5772</v>
      </c>
      <c r="F830" s="205">
        <v>40</v>
      </c>
      <c r="G830" s="338" t="s">
        <v>5777</v>
      </c>
      <c r="H830" s="31">
        <v>3.8</v>
      </c>
      <c r="I830" s="27">
        <f t="shared" si="27"/>
        <v>152</v>
      </c>
      <c r="J830" s="28" t="s">
        <v>5778</v>
      </c>
      <c r="K830" s="25">
        <v>41358</v>
      </c>
      <c r="M830" s="56">
        <v>41374</v>
      </c>
      <c r="N830" s="29" t="s">
        <v>166</v>
      </c>
      <c r="O830" s="28" t="s">
        <v>6120</v>
      </c>
      <c r="P830" s="32">
        <v>35658.1</v>
      </c>
      <c r="Q830" s="56">
        <v>41374</v>
      </c>
    </row>
    <row r="831" spans="1:33" ht="12" customHeight="1">
      <c r="A831" s="25">
        <v>41359</v>
      </c>
      <c r="B831" s="339" t="s">
        <v>5792</v>
      </c>
      <c r="C831" s="220" t="s">
        <v>7</v>
      </c>
      <c r="D831" s="5" t="s">
        <v>1663</v>
      </c>
      <c r="E831" s="1" t="s">
        <v>1659</v>
      </c>
      <c r="F831" s="1">
        <v>8</v>
      </c>
      <c r="G831" s="339" t="s">
        <v>5793</v>
      </c>
      <c r="H831" s="31">
        <v>69.5</v>
      </c>
      <c r="I831" s="27">
        <f t="shared" si="27"/>
        <v>556</v>
      </c>
      <c r="J831" s="28" t="s">
        <v>5812</v>
      </c>
      <c r="K831" s="25">
        <v>41360</v>
      </c>
      <c r="M831" s="56">
        <v>41359</v>
      </c>
      <c r="N831" s="29" t="s">
        <v>166</v>
      </c>
      <c r="O831" s="28" t="s">
        <v>5811</v>
      </c>
      <c r="P831" s="32">
        <v>1801</v>
      </c>
      <c r="Q831" s="56">
        <v>41360</v>
      </c>
    </row>
    <row r="832" spans="1:33" ht="12" customHeight="1">
      <c r="A832" s="25">
        <v>41359</v>
      </c>
      <c r="B832" s="339" t="s">
        <v>228</v>
      </c>
      <c r="C832" s="219" t="s">
        <v>162</v>
      </c>
      <c r="D832" s="339" t="s">
        <v>5802</v>
      </c>
      <c r="E832" s="28" t="s">
        <v>5791</v>
      </c>
      <c r="F832" s="205">
        <v>3</v>
      </c>
      <c r="G832" s="339" t="s">
        <v>5798</v>
      </c>
      <c r="H832" s="31">
        <v>60</v>
      </c>
      <c r="I832" s="27">
        <f t="shared" si="27"/>
        <v>180</v>
      </c>
      <c r="J832" s="28" t="s">
        <v>5803</v>
      </c>
      <c r="K832" s="25">
        <v>41359</v>
      </c>
      <c r="M832" s="56">
        <v>41376</v>
      </c>
      <c r="N832" s="29" t="s">
        <v>166</v>
      </c>
      <c r="O832" s="28" t="s">
        <v>6453</v>
      </c>
      <c r="P832" s="32">
        <v>162522.63</v>
      </c>
      <c r="Q832" s="56">
        <v>41387</v>
      </c>
    </row>
    <row r="833" spans="1:33" ht="12" customHeight="1">
      <c r="A833" s="25">
        <v>41360</v>
      </c>
      <c r="B833" s="340" t="s">
        <v>5823</v>
      </c>
      <c r="C833" s="219" t="s">
        <v>162</v>
      </c>
      <c r="D833" s="340" t="s">
        <v>350</v>
      </c>
      <c r="E833" s="196">
        <v>7502</v>
      </c>
      <c r="F833" s="205">
        <v>10</v>
      </c>
      <c r="G833" s="340" t="s">
        <v>5815</v>
      </c>
      <c r="H833" s="31">
        <v>121.16</v>
      </c>
      <c r="I833" s="27">
        <f t="shared" si="27"/>
        <v>1211.5999999999999</v>
      </c>
      <c r="J833" s="28" t="s">
        <v>5955</v>
      </c>
      <c r="K833" s="25">
        <v>41365</v>
      </c>
      <c r="M833" s="56">
        <v>41360</v>
      </c>
      <c r="N833" s="29" t="s">
        <v>166</v>
      </c>
      <c r="O833" s="28" t="s">
        <v>6427</v>
      </c>
      <c r="P833" s="32">
        <v>6050</v>
      </c>
      <c r="Q833" s="56">
        <v>41386</v>
      </c>
    </row>
    <row r="834" spans="1:33" ht="12" customHeight="1">
      <c r="A834" s="25">
        <v>41360</v>
      </c>
      <c r="B834" s="342" t="s">
        <v>5823</v>
      </c>
      <c r="C834" s="219" t="s">
        <v>162</v>
      </c>
      <c r="D834" s="1" t="s">
        <v>1711</v>
      </c>
      <c r="E834" s="342">
        <v>8210</v>
      </c>
      <c r="F834" s="342">
        <v>1280</v>
      </c>
      <c r="G834" s="342" t="s">
        <v>5867</v>
      </c>
      <c r="H834" s="31">
        <v>3.78</v>
      </c>
      <c r="I834" s="27">
        <f t="shared" si="27"/>
        <v>4838.3999999999996</v>
      </c>
      <c r="J834" s="28" t="s">
        <v>5955</v>
      </c>
      <c r="K834" s="25">
        <v>41365</v>
      </c>
      <c r="M834" s="56">
        <v>41360</v>
      </c>
      <c r="N834" s="29" t="s">
        <v>166</v>
      </c>
      <c r="O834" s="28" t="s">
        <v>6427</v>
      </c>
      <c r="P834" s="32">
        <v>6050</v>
      </c>
      <c r="Q834" s="56">
        <v>41386</v>
      </c>
      <c r="R834" s="342"/>
      <c r="S834" s="342"/>
      <c r="T834" s="342"/>
      <c r="U834" s="342"/>
      <c r="V834" s="342"/>
      <c r="W834" s="342"/>
      <c r="X834" s="342"/>
      <c r="Y834" s="342"/>
      <c r="Z834" s="342"/>
      <c r="AA834" s="342"/>
      <c r="AB834" s="342"/>
      <c r="AC834" s="342"/>
      <c r="AD834" s="342"/>
      <c r="AE834" s="342"/>
      <c r="AF834" s="342"/>
      <c r="AG834" s="342"/>
    </row>
    <row r="835" spans="1:33" ht="12" customHeight="1">
      <c r="A835" s="25">
        <v>41361</v>
      </c>
      <c r="B835" s="341" t="s">
        <v>1980</v>
      </c>
      <c r="C835" s="220" t="s">
        <v>7</v>
      </c>
      <c r="D835" s="95" t="s">
        <v>5008</v>
      </c>
      <c r="E835" s="341" t="s">
        <v>5828</v>
      </c>
      <c r="F835" s="205">
        <v>144</v>
      </c>
      <c r="G835" s="341" t="s">
        <v>827</v>
      </c>
      <c r="H835" s="31">
        <v>10</v>
      </c>
      <c r="I835" s="27">
        <f t="shared" si="27"/>
        <v>1440</v>
      </c>
      <c r="J835" s="28" t="s">
        <v>5829</v>
      </c>
      <c r="K835" s="25">
        <v>41361</v>
      </c>
      <c r="M835" s="56">
        <v>41362</v>
      </c>
      <c r="N835" s="29" t="s">
        <v>166</v>
      </c>
      <c r="O835" s="28" t="s">
        <v>5830</v>
      </c>
      <c r="P835" s="32">
        <v>6240</v>
      </c>
      <c r="Q835" s="56">
        <v>41361</v>
      </c>
    </row>
    <row r="836" spans="1:33" ht="12" customHeight="1">
      <c r="A836" s="25">
        <v>41361</v>
      </c>
      <c r="B836" s="341" t="s">
        <v>1980</v>
      </c>
      <c r="C836" s="219" t="s">
        <v>162</v>
      </c>
      <c r="D836" s="5" t="s">
        <v>2014</v>
      </c>
      <c r="E836" s="341">
        <v>7502</v>
      </c>
      <c r="F836" s="205">
        <v>40</v>
      </c>
      <c r="G836" s="341" t="s">
        <v>5836</v>
      </c>
      <c r="H836" s="31">
        <v>120</v>
      </c>
      <c r="I836" s="27">
        <f t="shared" si="27"/>
        <v>4800</v>
      </c>
      <c r="J836" s="28" t="s">
        <v>5829</v>
      </c>
      <c r="K836" s="25">
        <v>41361</v>
      </c>
      <c r="M836" s="56">
        <v>41362</v>
      </c>
      <c r="N836" s="29" t="s">
        <v>166</v>
      </c>
      <c r="O836" s="28" t="s">
        <v>5830</v>
      </c>
      <c r="P836" s="32">
        <v>6240</v>
      </c>
      <c r="Q836" s="56">
        <v>41361</v>
      </c>
    </row>
    <row r="837" spans="1:33" ht="12" customHeight="1">
      <c r="A837" s="25">
        <v>41361</v>
      </c>
      <c r="B837" s="341" t="s">
        <v>1980</v>
      </c>
      <c r="C837" s="219" t="s">
        <v>162</v>
      </c>
      <c r="D837" s="341" t="s">
        <v>5840</v>
      </c>
      <c r="E837" s="196">
        <v>1110</v>
      </c>
      <c r="F837" s="205">
        <v>3000</v>
      </c>
      <c r="G837" s="341" t="s">
        <v>5839</v>
      </c>
      <c r="H837" s="31">
        <v>0.71</v>
      </c>
      <c r="I837" s="27">
        <f t="shared" si="27"/>
        <v>2130</v>
      </c>
      <c r="J837" s="28" t="s">
        <v>5829</v>
      </c>
      <c r="K837" s="25">
        <v>41361</v>
      </c>
      <c r="M837" s="56">
        <v>41362</v>
      </c>
      <c r="N837" s="29" t="s">
        <v>166</v>
      </c>
      <c r="O837" s="28" t="s">
        <v>6061</v>
      </c>
      <c r="P837" s="32">
        <v>18643</v>
      </c>
      <c r="Q837" s="56">
        <v>41372</v>
      </c>
    </row>
    <row r="838" spans="1:33" ht="12" customHeight="1">
      <c r="A838" s="25">
        <v>41361</v>
      </c>
      <c r="B838" s="341" t="s">
        <v>228</v>
      </c>
      <c r="C838" s="219" t="s">
        <v>162</v>
      </c>
      <c r="D838" s="341" t="s">
        <v>353</v>
      </c>
      <c r="E838" s="28" t="s">
        <v>22</v>
      </c>
      <c r="F838" s="341">
        <v>300</v>
      </c>
      <c r="G838" s="341" t="s">
        <v>170</v>
      </c>
      <c r="H838" s="31">
        <v>10.94</v>
      </c>
      <c r="I838" s="27">
        <f t="shared" si="27"/>
        <v>3282</v>
      </c>
      <c r="J838" s="28" t="s">
        <v>5833</v>
      </c>
      <c r="K838" s="25">
        <v>41361</v>
      </c>
      <c r="M838" s="56">
        <v>41376</v>
      </c>
      <c r="N838" s="29" t="s">
        <v>166</v>
      </c>
      <c r="O838" s="28" t="s">
        <v>6453</v>
      </c>
      <c r="P838" s="32">
        <v>162522.63</v>
      </c>
      <c r="Q838" s="56">
        <v>41387</v>
      </c>
    </row>
    <row r="839" spans="1:33" ht="12" customHeight="1">
      <c r="A839" s="25">
        <v>41361</v>
      </c>
      <c r="B839" s="341" t="s">
        <v>228</v>
      </c>
      <c r="C839" s="219" t="s">
        <v>162</v>
      </c>
      <c r="D839" s="1" t="s">
        <v>268</v>
      </c>
      <c r="E839" s="238" t="s">
        <v>177</v>
      </c>
      <c r="F839" s="341">
        <v>500</v>
      </c>
      <c r="G839" s="341" t="s">
        <v>171</v>
      </c>
      <c r="H839" s="31">
        <v>1.17</v>
      </c>
      <c r="I839" s="27">
        <f t="shared" si="27"/>
        <v>585</v>
      </c>
      <c r="J839" s="28" t="s">
        <v>5833</v>
      </c>
      <c r="K839" s="25">
        <v>41361</v>
      </c>
      <c r="M839" s="56">
        <v>41376</v>
      </c>
      <c r="N839" s="29" t="s">
        <v>166</v>
      </c>
      <c r="O839" s="28" t="s">
        <v>6453</v>
      </c>
      <c r="P839" s="32">
        <v>162522.63</v>
      </c>
      <c r="Q839" s="56">
        <v>41387</v>
      </c>
    </row>
    <row r="840" spans="1:33" ht="12" customHeight="1">
      <c r="A840" s="25">
        <v>41361</v>
      </c>
      <c r="B840" s="342" t="s">
        <v>5676</v>
      </c>
      <c r="C840" s="1" t="s">
        <v>5643</v>
      </c>
      <c r="D840" s="342" t="s">
        <v>5858</v>
      </c>
      <c r="E840" s="342" t="s">
        <v>5857</v>
      </c>
      <c r="F840" s="205">
        <v>60</v>
      </c>
      <c r="G840" s="342" t="s">
        <v>5859</v>
      </c>
      <c r="H840" s="31">
        <v>250</v>
      </c>
      <c r="I840" s="27">
        <f t="shared" si="27"/>
        <v>15000</v>
      </c>
      <c r="J840" s="28" t="s">
        <v>5899</v>
      </c>
      <c r="K840" s="25">
        <v>41365</v>
      </c>
      <c r="M840" s="56">
        <v>41362</v>
      </c>
      <c r="N840" s="29" t="s">
        <v>166</v>
      </c>
      <c r="O840" s="28" t="s">
        <v>6025</v>
      </c>
      <c r="P840" s="32">
        <v>15000</v>
      </c>
      <c r="Q840" s="56">
        <v>41371</v>
      </c>
    </row>
    <row r="841" spans="1:33" ht="12" customHeight="1">
      <c r="A841" s="25">
        <v>41361</v>
      </c>
      <c r="B841" s="342" t="s">
        <v>5676</v>
      </c>
      <c r="C841" s="1" t="s">
        <v>5643</v>
      </c>
      <c r="D841" s="342" t="s">
        <v>5858</v>
      </c>
      <c r="E841" s="342" t="s">
        <v>5857</v>
      </c>
      <c r="F841" s="205">
        <v>2</v>
      </c>
      <c r="G841" s="342" t="s">
        <v>5859</v>
      </c>
      <c r="H841" s="31">
        <v>0</v>
      </c>
      <c r="I841" s="27">
        <f t="shared" si="27"/>
        <v>0</v>
      </c>
      <c r="J841" s="28" t="s">
        <v>5899</v>
      </c>
      <c r="K841" s="25">
        <v>41365</v>
      </c>
      <c r="M841" s="56">
        <v>41362</v>
      </c>
      <c r="N841" s="29" t="s">
        <v>166</v>
      </c>
      <c r="O841" s="28" t="s">
        <v>6025</v>
      </c>
      <c r="P841" s="32">
        <v>15000</v>
      </c>
      <c r="Q841" s="56">
        <v>41371</v>
      </c>
    </row>
    <row r="842" spans="1:33" ht="12" customHeight="1">
      <c r="A842" s="25">
        <v>41362</v>
      </c>
      <c r="B842" s="342" t="s">
        <v>5864</v>
      </c>
      <c r="C842" s="219" t="s">
        <v>162</v>
      </c>
      <c r="D842" s="342" t="s">
        <v>5865</v>
      </c>
      <c r="E842" s="342" t="s">
        <v>5866</v>
      </c>
      <c r="F842" s="205">
        <v>1</v>
      </c>
      <c r="G842" s="342" t="s">
        <v>5867</v>
      </c>
      <c r="H842" s="31">
        <v>6380.01</v>
      </c>
      <c r="I842" s="27">
        <f t="shared" si="27"/>
        <v>6380.01</v>
      </c>
      <c r="J842" s="28" t="s">
        <v>5955</v>
      </c>
      <c r="K842" s="25">
        <v>41366</v>
      </c>
      <c r="M842" s="56">
        <v>41362</v>
      </c>
      <c r="N842" s="29" t="s">
        <v>166</v>
      </c>
      <c r="O842" s="28" t="s">
        <v>6213</v>
      </c>
      <c r="P842" s="32">
        <v>12339.06</v>
      </c>
      <c r="Q842" s="56">
        <v>41377</v>
      </c>
    </row>
    <row r="843" spans="1:33" ht="12" customHeight="1">
      <c r="A843" s="25">
        <v>41362</v>
      </c>
      <c r="B843" s="342" t="s">
        <v>5864</v>
      </c>
      <c r="C843" s="219" t="s">
        <v>162</v>
      </c>
      <c r="D843" s="342" t="s">
        <v>5868</v>
      </c>
      <c r="E843" s="342" t="s">
        <v>5869</v>
      </c>
      <c r="F843" s="205">
        <v>1</v>
      </c>
      <c r="G843" s="342" t="s">
        <v>5876</v>
      </c>
      <c r="H843" s="31">
        <v>1228.5</v>
      </c>
      <c r="I843" s="27">
        <f t="shared" si="27"/>
        <v>1228.5</v>
      </c>
      <c r="J843" s="28" t="s">
        <v>5955</v>
      </c>
      <c r="K843" s="25">
        <v>41366</v>
      </c>
      <c r="M843" s="56">
        <v>41362</v>
      </c>
      <c r="N843" s="29" t="s">
        <v>166</v>
      </c>
      <c r="O843" s="28" t="s">
        <v>6213</v>
      </c>
      <c r="P843" s="32">
        <v>12339.06</v>
      </c>
      <c r="Q843" s="56">
        <v>41377</v>
      </c>
    </row>
    <row r="844" spans="1:33" ht="12" customHeight="1">
      <c r="A844" s="25">
        <v>41362</v>
      </c>
      <c r="B844" s="342" t="s">
        <v>5864</v>
      </c>
      <c r="C844" s="219" t="s">
        <v>162</v>
      </c>
      <c r="D844" s="342" t="s">
        <v>5873</v>
      </c>
      <c r="E844" s="342" t="s">
        <v>5870</v>
      </c>
      <c r="F844" s="205">
        <v>1</v>
      </c>
      <c r="G844" s="342" t="s">
        <v>5867</v>
      </c>
      <c r="H844" s="31">
        <v>1310.4000000000001</v>
      </c>
      <c r="I844" s="27">
        <f t="shared" si="27"/>
        <v>1310.4000000000001</v>
      </c>
      <c r="J844" s="28" t="s">
        <v>5955</v>
      </c>
      <c r="K844" s="25">
        <v>41366</v>
      </c>
      <c r="M844" s="56">
        <v>41362</v>
      </c>
      <c r="N844" s="29" t="s">
        <v>166</v>
      </c>
      <c r="O844" s="28" t="s">
        <v>6213</v>
      </c>
      <c r="P844" s="32">
        <v>12339.06</v>
      </c>
      <c r="Q844" s="56">
        <v>41377</v>
      </c>
    </row>
    <row r="845" spans="1:33" ht="12" customHeight="1">
      <c r="A845" s="25">
        <v>41362</v>
      </c>
      <c r="B845" s="342" t="s">
        <v>5864</v>
      </c>
      <c r="C845" s="219" t="s">
        <v>162</v>
      </c>
      <c r="D845" s="342" t="s">
        <v>5874</v>
      </c>
      <c r="E845" s="342" t="s">
        <v>5871</v>
      </c>
      <c r="F845" s="205">
        <v>3</v>
      </c>
      <c r="G845" s="342" t="s">
        <v>5876</v>
      </c>
      <c r="H845" s="31">
        <v>367.73</v>
      </c>
      <c r="I845" s="27">
        <f t="shared" si="27"/>
        <v>1103.19</v>
      </c>
      <c r="J845" s="28" t="s">
        <v>5955</v>
      </c>
      <c r="K845" s="25">
        <v>41366</v>
      </c>
      <c r="M845" s="56">
        <v>41362</v>
      </c>
      <c r="N845" s="29" t="s">
        <v>166</v>
      </c>
      <c r="O845" s="28" t="s">
        <v>6213</v>
      </c>
      <c r="P845" s="32">
        <v>12339.06</v>
      </c>
      <c r="Q845" s="56">
        <v>41377</v>
      </c>
    </row>
    <row r="846" spans="1:33" ht="12" customHeight="1">
      <c r="A846" s="25">
        <v>41362</v>
      </c>
      <c r="B846" s="342" t="s">
        <v>5864</v>
      </c>
      <c r="C846" s="219" t="s">
        <v>162</v>
      </c>
      <c r="D846" s="342" t="s">
        <v>5875</v>
      </c>
      <c r="E846" s="342" t="s">
        <v>5872</v>
      </c>
      <c r="F846" s="205">
        <v>3</v>
      </c>
      <c r="G846" s="342" t="s">
        <v>5867</v>
      </c>
      <c r="H846" s="31">
        <v>772.32</v>
      </c>
      <c r="I846" s="27">
        <f t="shared" si="27"/>
        <v>2316.96</v>
      </c>
      <c r="J846" s="28" t="s">
        <v>5955</v>
      </c>
      <c r="K846" s="25">
        <v>41366</v>
      </c>
      <c r="M846" s="56">
        <v>41362</v>
      </c>
      <c r="N846" s="29" t="s">
        <v>166</v>
      </c>
      <c r="O846" s="28" t="s">
        <v>6213</v>
      </c>
      <c r="P846" s="32">
        <v>12339.06</v>
      </c>
      <c r="Q846" s="56">
        <v>41377</v>
      </c>
    </row>
    <row r="847" spans="1:33" ht="12" customHeight="1">
      <c r="A847" s="25">
        <v>41362</v>
      </c>
      <c r="B847" s="342" t="s">
        <v>5864</v>
      </c>
      <c r="C847" s="219" t="s">
        <v>162</v>
      </c>
      <c r="D847" s="342" t="s">
        <v>5868</v>
      </c>
      <c r="E847" s="342" t="s">
        <v>5869</v>
      </c>
      <c r="F847" s="205">
        <v>2</v>
      </c>
      <c r="G847" s="342" t="s">
        <v>5876</v>
      </c>
      <c r="H847" s="31">
        <v>1246.05</v>
      </c>
      <c r="I847" s="27">
        <f t="shared" si="27"/>
        <v>2492.1</v>
      </c>
      <c r="J847" s="28" t="s">
        <v>6583</v>
      </c>
      <c r="K847" s="25">
        <v>41387</v>
      </c>
      <c r="M847" s="56">
        <v>41380</v>
      </c>
      <c r="N847" s="29" t="s">
        <v>166</v>
      </c>
    </row>
    <row r="848" spans="1:33" ht="12" customHeight="1">
      <c r="A848" s="25">
        <v>41362</v>
      </c>
      <c r="B848" s="342" t="s">
        <v>5864</v>
      </c>
      <c r="C848" s="219" t="s">
        <v>162</v>
      </c>
      <c r="D848" s="342" t="s">
        <v>5873</v>
      </c>
      <c r="E848" s="342" t="s">
        <v>5877</v>
      </c>
      <c r="F848" s="205">
        <v>2</v>
      </c>
      <c r="G848" s="342" t="s">
        <v>5867</v>
      </c>
      <c r="H848" s="31">
        <v>2649.93</v>
      </c>
      <c r="I848" s="27">
        <f t="shared" si="27"/>
        <v>5299.86</v>
      </c>
      <c r="J848" s="28" t="s">
        <v>6583</v>
      </c>
      <c r="K848" s="25">
        <v>41387</v>
      </c>
      <c r="M848" s="56">
        <v>41380</v>
      </c>
      <c r="N848" s="29" t="s">
        <v>166</v>
      </c>
    </row>
    <row r="849" spans="1:17" ht="12" customHeight="1">
      <c r="A849" s="25">
        <v>41362</v>
      </c>
      <c r="B849" s="342" t="s">
        <v>5864</v>
      </c>
      <c r="C849" s="219" t="s">
        <v>162</v>
      </c>
      <c r="D849" s="342" t="s">
        <v>5878</v>
      </c>
      <c r="E849" s="342" t="s">
        <v>5880</v>
      </c>
      <c r="F849" s="205">
        <v>2</v>
      </c>
      <c r="G849" s="342" t="s">
        <v>5867</v>
      </c>
      <c r="H849" s="31">
        <v>6795.13</v>
      </c>
      <c r="I849" s="27">
        <f t="shared" si="27"/>
        <v>13590.26</v>
      </c>
      <c r="J849" s="28" t="s">
        <v>6583</v>
      </c>
      <c r="K849" s="25">
        <v>41387</v>
      </c>
      <c r="M849" s="56">
        <v>41380</v>
      </c>
      <c r="N849" s="29" t="s">
        <v>166</v>
      </c>
    </row>
    <row r="850" spans="1:17" ht="12" customHeight="1">
      <c r="A850" s="25">
        <v>41362</v>
      </c>
      <c r="B850" s="342" t="s">
        <v>5864</v>
      </c>
      <c r="C850" s="219" t="s">
        <v>162</v>
      </c>
      <c r="D850" s="342" t="s">
        <v>5879</v>
      </c>
      <c r="E850" s="342" t="s">
        <v>5881</v>
      </c>
      <c r="F850" s="205">
        <v>2</v>
      </c>
      <c r="G850" s="342" t="s">
        <v>5867</v>
      </c>
      <c r="H850" s="31">
        <v>597.27</v>
      </c>
      <c r="I850" s="27">
        <f t="shared" si="27"/>
        <v>1194.54</v>
      </c>
      <c r="J850" s="28" t="s">
        <v>6583</v>
      </c>
      <c r="K850" s="25">
        <v>41387</v>
      </c>
      <c r="M850" s="56">
        <v>41380</v>
      </c>
      <c r="N850" s="29" t="s">
        <v>166</v>
      </c>
    </row>
    <row r="851" spans="1:17" ht="12" customHeight="1">
      <c r="A851" s="25">
        <v>41362</v>
      </c>
      <c r="B851" s="312" t="s">
        <v>1987</v>
      </c>
      <c r="C851" s="219" t="s">
        <v>162</v>
      </c>
      <c r="D851" s="342" t="s">
        <v>1945</v>
      </c>
      <c r="E851" s="342">
        <v>52000183617</v>
      </c>
      <c r="F851" s="205">
        <v>50</v>
      </c>
      <c r="G851" s="342" t="s">
        <v>5882</v>
      </c>
      <c r="H851" s="31">
        <v>17.57</v>
      </c>
      <c r="I851" s="27">
        <f t="shared" si="27"/>
        <v>878.5</v>
      </c>
      <c r="J851" s="28" t="s">
        <v>5883</v>
      </c>
      <c r="K851" s="25">
        <v>41362</v>
      </c>
      <c r="M851" s="56">
        <v>41362</v>
      </c>
      <c r="N851" s="97" t="s">
        <v>166</v>
      </c>
      <c r="O851" s="28" t="s">
        <v>5966</v>
      </c>
      <c r="P851" s="32">
        <v>1083.5</v>
      </c>
      <c r="Q851" s="56">
        <v>41366</v>
      </c>
    </row>
    <row r="852" spans="1:17" ht="12" customHeight="1">
      <c r="A852" s="25">
        <v>41362</v>
      </c>
      <c r="B852" s="312" t="s">
        <v>5134</v>
      </c>
      <c r="C852" s="219" t="s">
        <v>162</v>
      </c>
      <c r="D852" s="342" t="s">
        <v>182</v>
      </c>
      <c r="E852" s="342" t="s">
        <v>1862</v>
      </c>
      <c r="F852" s="205">
        <v>100</v>
      </c>
      <c r="G852" s="342" t="s">
        <v>5882</v>
      </c>
      <c r="H852" s="31">
        <v>8.73</v>
      </c>
      <c r="I852" s="27">
        <f t="shared" si="27"/>
        <v>873</v>
      </c>
      <c r="J852" s="28" t="s">
        <v>6092</v>
      </c>
      <c r="K852" s="25">
        <v>41373</v>
      </c>
      <c r="M852" s="56">
        <v>41362</v>
      </c>
      <c r="N852" s="97" t="s">
        <v>166</v>
      </c>
      <c r="O852" s="28" t="s">
        <v>6424</v>
      </c>
      <c r="P852" s="32">
        <v>25828</v>
      </c>
      <c r="Q852" s="56">
        <v>41386</v>
      </c>
    </row>
    <row r="853" spans="1:17" ht="12" customHeight="1">
      <c r="A853" s="25">
        <v>41362</v>
      </c>
      <c r="B853" s="312" t="s">
        <v>5134</v>
      </c>
      <c r="C853" s="219" t="s">
        <v>162</v>
      </c>
      <c r="D853" s="342" t="s">
        <v>670</v>
      </c>
      <c r="E853" s="342" t="s">
        <v>5892</v>
      </c>
      <c r="F853" s="205">
        <v>500</v>
      </c>
      <c r="G853" s="342" t="s">
        <v>5867</v>
      </c>
      <c r="H853" s="31">
        <v>3.69</v>
      </c>
      <c r="I853" s="27">
        <f t="shared" si="27"/>
        <v>1845</v>
      </c>
      <c r="J853" s="28" t="s">
        <v>6092</v>
      </c>
      <c r="K853" s="25">
        <v>41373</v>
      </c>
      <c r="M853" s="56">
        <v>41362</v>
      </c>
      <c r="N853" s="97" t="s">
        <v>166</v>
      </c>
      <c r="O853" s="28" t="s">
        <v>6424</v>
      </c>
      <c r="P853" s="32">
        <v>25828</v>
      </c>
      <c r="Q853" s="56">
        <v>41386</v>
      </c>
    </row>
    <row r="854" spans="1:17" ht="12" customHeight="1">
      <c r="A854" s="25">
        <v>41362</v>
      </c>
      <c r="B854" s="312" t="s">
        <v>5134</v>
      </c>
      <c r="C854" s="219" t="s">
        <v>162</v>
      </c>
      <c r="D854" s="342" t="s">
        <v>182</v>
      </c>
      <c r="E854" s="342" t="s">
        <v>194</v>
      </c>
      <c r="F854" s="205">
        <v>200</v>
      </c>
      <c r="G854" s="342" t="s">
        <v>5882</v>
      </c>
      <c r="H854" s="31">
        <v>4.75</v>
      </c>
      <c r="I854" s="27">
        <f t="shared" si="27"/>
        <v>950</v>
      </c>
      <c r="J854" s="28" t="s">
        <v>6092</v>
      </c>
      <c r="K854" s="25">
        <v>41373</v>
      </c>
      <c r="M854" s="56">
        <v>41362</v>
      </c>
      <c r="N854" s="97" t="s">
        <v>166</v>
      </c>
      <c r="O854" s="28" t="s">
        <v>6424</v>
      </c>
      <c r="P854" s="32">
        <v>25828</v>
      </c>
      <c r="Q854" s="56">
        <v>41386</v>
      </c>
    </row>
    <row r="855" spans="1:17" ht="12" customHeight="1">
      <c r="A855" s="25">
        <v>41362</v>
      </c>
      <c r="B855" s="312" t="s">
        <v>5134</v>
      </c>
      <c r="C855" s="219" t="s">
        <v>162</v>
      </c>
      <c r="D855" s="342" t="s">
        <v>287</v>
      </c>
      <c r="E855" s="196">
        <v>10434</v>
      </c>
      <c r="F855" s="205">
        <v>100</v>
      </c>
      <c r="G855" s="342" t="s">
        <v>5893</v>
      </c>
      <c r="H855" s="31">
        <v>14.2</v>
      </c>
      <c r="I855" s="27">
        <f t="shared" si="27"/>
        <v>1420</v>
      </c>
      <c r="J855" s="28" t="s">
        <v>6092</v>
      </c>
      <c r="K855" s="25">
        <v>41373</v>
      </c>
      <c r="M855" s="56">
        <v>41362</v>
      </c>
      <c r="N855" s="97" t="s">
        <v>166</v>
      </c>
      <c r="O855" s="28" t="s">
        <v>6424</v>
      </c>
      <c r="P855" s="32">
        <v>25828</v>
      </c>
      <c r="Q855" s="56">
        <v>41386</v>
      </c>
    </row>
    <row r="856" spans="1:17" ht="12" customHeight="1">
      <c r="A856" s="25">
        <v>41362</v>
      </c>
      <c r="B856" s="312" t="s">
        <v>5134</v>
      </c>
      <c r="C856" s="219" t="s">
        <v>162</v>
      </c>
      <c r="D856" s="5" t="s">
        <v>2014</v>
      </c>
      <c r="E856" s="196">
        <v>7502</v>
      </c>
      <c r="F856" s="205">
        <v>50</v>
      </c>
      <c r="G856" s="342" t="s">
        <v>5867</v>
      </c>
      <c r="H856" s="31">
        <v>110</v>
      </c>
      <c r="I856" s="27">
        <f t="shared" si="27"/>
        <v>5500</v>
      </c>
      <c r="J856" s="28" t="s">
        <v>6092</v>
      </c>
      <c r="K856" s="25">
        <v>41373</v>
      </c>
      <c r="M856" s="56">
        <v>41362</v>
      </c>
      <c r="N856" s="97" t="s">
        <v>166</v>
      </c>
      <c r="O856" s="28" t="s">
        <v>6424</v>
      </c>
      <c r="P856" s="32">
        <v>25828</v>
      </c>
      <c r="Q856" s="56">
        <v>41386</v>
      </c>
    </row>
    <row r="857" spans="1:17" ht="12" customHeight="1">
      <c r="A857" s="25">
        <v>41362</v>
      </c>
      <c r="B857" s="342" t="s">
        <v>1986</v>
      </c>
      <c r="C857" s="219" t="s">
        <v>162</v>
      </c>
      <c r="D857" s="5" t="s">
        <v>2012</v>
      </c>
      <c r="E857" s="342" t="s">
        <v>180</v>
      </c>
      <c r="F857" s="342">
        <v>2500</v>
      </c>
      <c r="G857" s="342" t="s">
        <v>170</v>
      </c>
      <c r="H857" s="31">
        <v>1.44</v>
      </c>
      <c r="I857" s="27">
        <f t="shared" si="27"/>
        <v>3600</v>
      </c>
      <c r="J857" s="28" t="s">
        <v>5967</v>
      </c>
      <c r="K857" s="25">
        <v>41365</v>
      </c>
      <c r="M857" s="56">
        <v>41362</v>
      </c>
      <c r="N857" s="97" t="s">
        <v>166</v>
      </c>
    </row>
    <row r="858" spans="1:17" ht="12" customHeight="1">
      <c r="A858" s="25">
        <v>41362</v>
      </c>
      <c r="B858" s="342" t="s">
        <v>5894</v>
      </c>
      <c r="C858" s="219" t="s">
        <v>162</v>
      </c>
      <c r="D858" s="342" t="s">
        <v>1485</v>
      </c>
      <c r="E858" s="196">
        <v>1426</v>
      </c>
      <c r="F858" s="205">
        <v>20</v>
      </c>
      <c r="G858" s="342" t="s">
        <v>172</v>
      </c>
      <c r="H858" s="31">
        <v>19.420000000000002</v>
      </c>
      <c r="I858" s="27">
        <f t="shared" si="27"/>
        <v>388.40000000000003</v>
      </c>
      <c r="J858" s="28" t="s">
        <v>6011</v>
      </c>
      <c r="K858" s="25">
        <v>41367</v>
      </c>
      <c r="M858" s="56">
        <v>41362</v>
      </c>
      <c r="N858" s="29" t="s">
        <v>166</v>
      </c>
      <c r="O858" s="28" t="s">
        <v>6799</v>
      </c>
      <c r="P858" s="32">
        <v>13863.4</v>
      </c>
      <c r="Q858" s="56">
        <v>41404</v>
      </c>
    </row>
    <row r="859" spans="1:17" ht="12" customHeight="1">
      <c r="A859" s="25">
        <v>41362</v>
      </c>
      <c r="B859" s="342" t="s">
        <v>5895</v>
      </c>
      <c r="C859" s="219" t="s">
        <v>162</v>
      </c>
      <c r="D859" s="342" t="s">
        <v>1872</v>
      </c>
      <c r="E859" s="342" t="s">
        <v>5896</v>
      </c>
      <c r="F859" s="205">
        <v>20</v>
      </c>
      <c r="G859" s="342" t="s">
        <v>172</v>
      </c>
      <c r="H859" s="31">
        <v>14.1</v>
      </c>
      <c r="I859" s="27">
        <f t="shared" si="27"/>
        <v>282</v>
      </c>
      <c r="J859" s="28" t="s">
        <v>6030</v>
      </c>
      <c r="K859" s="25">
        <v>41371</v>
      </c>
      <c r="M859" s="56">
        <v>41362</v>
      </c>
      <c r="N859" s="29" t="s">
        <v>166</v>
      </c>
      <c r="O859" s="28" t="s">
        <v>7013</v>
      </c>
      <c r="P859" s="32">
        <v>7504</v>
      </c>
      <c r="Q859" s="56">
        <v>41418</v>
      </c>
    </row>
    <row r="860" spans="1:17" ht="12" customHeight="1">
      <c r="A860" s="25">
        <v>41362</v>
      </c>
      <c r="B860" s="342" t="s">
        <v>5895</v>
      </c>
      <c r="C860" s="219" t="s">
        <v>162</v>
      </c>
      <c r="D860" s="1" t="s">
        <v>1213</v>
      </c>
      <c r="E860" s="342" t="s">
        <v>178</v>
      </c>
      <c r="F860" s="205">
        <v>200</v>
      </c>
      <c r="G860" s="342" t="s">
        <v>172</v>
      </c>
      <c r="H860" s="31">
        <v>12.3</v>
      </c>
      <c r="I860" s="27">
        <f t="shared" si="27"/>
        <v>2460</v>
      </c>
      <c r="J860" s="28" t="s">
        <v>6030</v>
      </c>
      <c r="K860" s="25">
        <v>41371</v>
      </c>
      <c r="M860" s="56">
        <v>41362</v>
      </c>
      <c r="N860" s="29" t="s">
        <v>166</v>
      </c>
      <c r="O860" s="28" t="s">
        <v>7013</v>
      </c>
      <c r="P860" s="32">
        <v>7504</v>
      </c>
      <c r="Q860" s="56">
        <v>41418</v>
      </c>
    </row>
    <row r="861" spans="1:17" ht="12" customHeight="1">
      <c r="A861" s="25">
        <v>41362</v>
      </c>
      <c r="B861" s="342" t="s">
        <v>5895</v>
      </c>
      <c r="C861" s="219" t="s">
        <v>162</v>
      </c>
      <c r="D861" s="342" t="s">
        <v>240</v>
      </c>
      <c r="E861" s="196">
        <v>6200</v>
      </c>
      <c r="F861" s="205">
        <v>60</v>
      </c>
      <c r="G861" s="342" t="s">
        <v>5867</v>
      </c>
      <c r="H861" s="31">
        <v>43.7</v>
      </c>
      <c r="I861" s="27">
        <f t="shared" si="27"/>
        <v>2622</v>
      </c>
      <c r="J861" s="28" t="s">
        <v>6030</v>
      </c>
      <c r="K861" s="25">
        <v>41371</v>
      </c>
      <c r="M861" s="56">
        <v>41362</v>
      </c>
      <c r="N861" s="29" t="s">
        <v>166</v>
      </c>
      <c r="O861" s="28" t="s">
        <v>7013</v>
      </c>
      <c r="P861" s="32">
        <v>7504</v>
      </c>
      <c r="Q861" s="56">
        <v>41418</v>
      </c>
    </row>
    <row r="862" spans="1:17" ht="12" customHeight="1">
      <c r="A862" s="25">
        <v>41362</v>
      </c>
      <c r="B862" s="342" t="s">
        <v>5895</v>
      </c>
      <c r="C862" s="219" t="s">
        <v>162</v>
      </c>
      <c r="D862" s="5" t="s">
        <v>1902</v>
      </c>
      <c r="E862" s="196">
        <v>1270</v>
      </c>
      <c r="F862" s="205">
        <v>500</v>
      </c>
      <c r="G862" s="342" t="s">
        <v>172</v>
      </c>
      <c r="H862" s="31">
        <v>4.28</v>
      </c>
      <c r="I862" s="27">
        <f t="shared" si="27"/>
        <v>2140</v>
      </c>
      <c r="J862" s="28" t="s">
        <v>6030</v>
      </c>
      <c r="K862" s="25">
        <v>41371</v>
      </c>
      <c r="M862" s="56">
        <v>41362</v>
      </c>
      <c r="N862" s="29" t="s">
        <v>166</v>
      </c>
      <c r="O862" s="28" t="s">
        <v>7013</v>
      </c>
      <c r="P862" s="32">
        <v>7504</v>
      </c>
      <c r="Q862" s="56">
        <v>41418</v>
      </c>
    </row>
    <row r="863" spans="1:17" ht="12" customHeight="1">
      <c r="A863" s="25">
        <v>41365</v>
      </c>
      <c r="B863" s="343" t="s">
        <v>228</v>
      </c>
      <c r="C863" s="219" t="s">
        <v>162</v>
      </c>
      <c r="D863" s="5" t="s">
        <v>69</v>
      </c>
      <c r="E863" s="28">
        <v>1100</v>
      </c>
      <c r="F863" s="205">
        <v>200</v>
      </c>
      <c r="G863" s="343" t="s">
        <v>172</v>
      </c>
      <c r="H863" s="31">
        <v>0.38</v>
      </c>
      <c r="I863" s="27">
        <f t="shared" si="27"/>
        <v>76</v>
      </c>
      <c r="J863" s="28" t="s">
        <v>5905</v>
      </c>
      <c r="K863" s="25">
        <v>41365</v>
      </c>
      <c r="M863" s="56">
        <v>41376</v>
      </c>
      <c r="N863" s="29" t="s">
        <v>166</v>
      </c>
      <c r="O863" s="28" t="s">
        <v>6453</v>
      </c>
      <c r="P863" s="32">
        <v>162522.63</v>
      </c>
      <c r="Q863" s="56">
        <v>41387</v>
      </c>
    </row>
    <row r="864" spans="1:17" ht="12" customHeight="1">
      <c r="A864" s="25">
        <v>41365</v>
      </c>
      <c r="B864" s="343" t="s">
        <v>5914</v>
      </c>
      <c r="C864" s="219" t="s">
        <v>162</v>
      </c>
      <c r="D864" s="1" t="s">
        <v>1219</v>
      </c>
      <c r="E864" s="343" t="s">
        <v>5911</v>
      </c>
      <c r="F864" s="205">
        <v>510</v>
      </c>
      <c r="G864" s="343" t="s">
        <v>5912</v>
      </c>
      <c r="H864" s="31">
        <v>3.96</v>
      </c>
      <c r="I864" s="27">
        <f t="shared" si="27"/>
        <v>2019.6</v>
      </c>
      <c r="J864" s="28" t="s">
        <v>5899</v>
      </c>
      <c r="K864" s="25">
        <v>41365</v>
      </c>
      <c r="M864" s="56">
        <v>41365</v>
      </c>
      <c r="N864" s="29" t="s">
        <v>166</v>
      </c>
      <c r="O864" s="28" t="s">
        <v>5965</v>
      </c>
      <c r="P864" s="32">
        <v>2574.6</v>
      </c>
      <c r="Q864" s="56">
        <v>41366</v>
      </c>
    </row>
    <row r="865" spans="1:18" ht="12" customHeight="1">
      <c r="A865" s="25">
        <v>41365</v>
      </c>
      <c r="B865" s="343" t="s">
        <v>5914</v>
      </c>
      <c r="C865" s="219" t="s">
        <v>162</v>
      </c>
      <c r="D865" s="343" t="s">
        <v>182</v>
      </c>
      <c r="E865" s="343" t="s">
        <v>1862</v>
      </c>
      <c r="F865" s="205">
        <v>60</v>
      </c>
      <c r="G865" s="343" t="s">
        <v>5932</v>
      </c>
      <c r="H865" s="31">
        <v>9.25</v>
      </c>
      <c r="I865" s="27">
        <f t="shared" si="27"/>
        <v>555</v>
      </c>
      <c r="J865" s="28" t="s">
        <v>5899</v>
      </c>
      <c r="K865" s="25">
        <v>41365</v>
      </c>
      <c r="M865" s="56">
        <v>41365</v>
      </c>
      <c r="N865" s="29" t="s">
        <v>166</v>
      </c>
      <c r="O865" s="28" t="s">
        <v>5965</v>
      </c>
      <c r="P865" s="32">
        <v>2574.6</v>
      </c>
      <c r="Q865" s="56">
        <v>41366</v>
      </c>
    </row>
    <row r="866" spans="1:18" ht="12" customHeight="1">
      <c r="A866" s="25">
        <v>41365</v>
      </c>
      <c r="B866" s="343" t="s">
        <v>5933</v>
      </c>
      <c r="C866" s="220" t="s">
        <v>7</v>
      </c>
      <c r="D866" s="343" t="s">
        <v>5934</v>
      </c>
      <c r="E866" s="343" t="s">
        <v>5916</v>
      </c>
      <c r="F866" s="205">
        <v>288</v>
      </c>
      <c r="G866" s="343" t="s">
        <v>5917</v>
      </c>
      <c r="H866" s="31">
        <v>7.66</v>
      </c>
      <c r="I866" s="27">
        <f t="shared" si="27"/>
        <v>2206.08</v>
      </c>
      <c r="J866" s="28" t="s">
        <v>5955</v>
      </c>
      <c r="K866" s="25">
        <v>41371</v>
      </c>
      <c r="M866" s="56">
        <v>41365</v>
      </c>
      <c r="N866" s="29" t="s">
        <v>166</v>
      </c>
      <c r="O866" s="28" t="s">
        <v>6217</v>
      </c>
      <c r="P866" s="32">
        <v>2206.08</v>
      </c>
      <c r="Q866" s="56">
        <v>41379</v>
      </c>
    </row>
    <row r="867" spans="1:18" ht="12" customHeight="1">
      <c r="A867" s="25">
        <v>41365</v>
      </c>
      <c r="B867" s="343" t="s">
        <v>228</v>
      </c>
      <c r="C867" s="219" t="s">
        <v>162</v>
      </c>
      <c r="D867" s="343" t="s">
        <v>670</v>
      </c>
      <c r="E867" s="28" t="s">
        <v>5919</v>
      </c>
      <c r="F867" s="205">
        <v>50</v>
      </c>
      <c r="G867" s="343" t="s">
        <v>5912</v>
      </c>
      <c r="H867" s="31">
        <v>4.0199999999999996</v>
      </c>
      <c r="I867" s="27">
        <f t="shared" si="27"/>
        <v>200.99999999999997</v>
      </c>
      <c r="J867" s="28" t="s">
        <v>5936</v>
      </c>
      <c r="K867" s="25">
        <v>41365</v>
      </c>
      <c r="M867" s="56">
        <v>41376</v>
      </c>
      <c r="N867" s="29" t="s">
        <v>166</v>
      </c>
      <c r="O867" s="28" t="s">
        <v>6453</v>
      </c>
      <c r="P867" s="32">
        <v>162522.63</v>
      </c>
      <c r="Q867" s="56">
        <v>41387</v>
      </c>
      <c r="R867" s="377" t="s">
        <v>6357</v>
      </c>
    </row>
    <row r="868" spans="1:18" ht="12" customHeight="1">
      <c r="A868" s="25">
        <v>41366</v>
      </c>
      <c r="B868" s="312" t="s">
        <v>1987</v>
      </c>
      <c r="C868" s="219" t="s">
        <v>162</v>
      </c>
      <c r="D868" s="344" t="s">
        <v>1945</v>
      </c>
      <c r="E868" s="344">
        <v>52000183617</v>
      </c>
      <c r="F868" s="344">
        <v>50</v>
      </c>
      <c r="G868" s="344" t="s">
        <v>171</v>
      </c>
      <c r="H868" s="31">
        <v>16.600000000000001</v>
      </c>
      <c r="I868" s="27">
        <f t="shared" si="27"/>
        <v>830.00000000000011</v>
      </c>
      <c r="J868" s="28" t="s">
        <v>5984</v>
      </c>
      <c r="K868" s="25">
        <v>41366</v>
      </c>
      <c r="M868" s="56">
        <v>41390</v>
      </c>
      <c r="N868" s="97" t="s">
        <v>166</v>
      </c>
      <c r="O868" s="28" t="s">
        <v>6706</v>
      </c>
      <c r="P868" s="32">
        <v>5266</v>
      </c>
      <c r="Q868" s="56">
        <v>41401</v>
      </c>
    </row>
    <row r="869" spans="1:18" ht="12" customHeight="1">
      <c r="A869" s="25">
        <v>41366</v>
      </c>
      <c r="B869" s="312" t="s">
        <v>1987</v>
      </c>
      <c r="C869" s="219" t="s">
        <v>162</v>
      </c>
      <c r="D869" s="344" t="s">
        <v>1901</v>
      </c>
      <c r="E869" s="344">
        <v>52000183617</v>
      </c>
      <c r="F869" s="205">
        <v>5</v>
      </c>
      <c r="G869" s="344" t="s">
        <v>5979</v>
      </c>
      <c r="H869" s="31">
        <v>870</v>
      </c>
      <c r="I869" s="27">
        <f t="shared" si="27"/>
        <v>4350</v>
      </c>
      <c r="J869" s="28" t="s">
        <v>5984</v>
      </c>
      <c r="K869" s="25">
        <v>41366</v>
      </c>
      <c r="M869" s="56">
        <v>41390</v>
      </c>
      <c r="N869" s="97" t="s">
        <v>166</v>
      </c>
      <c r="O869" s="28" t="s">
        <v>6706</v>
      </c>
      <c r="P869" s="32">
        <v>5266</v>
      </c>
      <c r="Q869" s="56">
        <v>41401</v>
      </c>
    </row>
    <row r="870" spans="1:18" ht="12" customHeight="1">
      <c r="A870" s="25">
        <v>41366</v>
      </c>
      <c r="B870" s="344" t="s">
        <v>1985</v>
      </c>
      <c r="C870" s="220" t="s">
        <v>7</v>
      </c>
      <c r="D870" s="344" t="s">
        <v>4977</v>
      </c>
      <c r="E870" s="344" t="s">
        <v>4974</v>
      </c>
      <c r="F870" s="367">
        <v>1000</v>
      </c>
      <c r="G870" s="344" t="s">
        <v>827</v>
      </c>
      <c r="H870" s="31">
        <v>1.32</v>
      </c>
      <c r="I870" s="27">
        <f t="shared" si="27"/>
        <v>1320</v>
      </c>
      <c r="J870" s="28" t="s">
        <v>6028</v>
      </c>
      <c r="K870" s="25">
        <v>41371</v>
      </c>
      <c r="M870" s="56">
        <v>41366</v>
      </c>
      <c r="N870" s="29" t="s">
        <v>166</v>
      </c>
      <c r="O870" s="28" t="s">
        <v>6151</v>
      </c>
      <c r="P870" s="32">
        <v>15880.44</v>
      </c>
      <c r="Q870" s="56">
        <v>41375</v>
      </c>
    </row>
    <row r="871" spans="1:18" ht="12" customHeight="1">
      <c r="A871" s="25">
        <v>41366</v>
      </c>
      <c r="B871" s="344" t="s">
        <v>1979</v>
      </c>
      <c r="C871" s="219" t="s">
        <v>167</v>
      </c>
      <c r="D871" s="344" t="s">
        <v>5985</v>
      </c>
      <c r="E871" s="344" t="s">
        <v>167</v>
      </c>
      <c r="F871" s="205">
        <v>100</v>
      </c>
      <c r="G871" s="344" t="s">
        <v>5988</v>
      </c>
      <c r="H871" s="31">
        <v>2</v>
      </c>
      <c r="I871" s="27">
        <f t="shared" si="27"/>
        <v>200</v>
      </c>
      <c r="J871" s="28" t="s">
        <v>5989</v>
      </c>
      <c r="K871" s="25">
        <v>41366</v>
      </c>
      <c r="M871" s="56">
        <v>41374</v>
      </c>
      <c r="N871" s="29" t="s">
        <v>166</v>
      </c>
      <c r="O871" s="28" t="s">
        <v>6120</v>
      </c>
      <c r="P871" s="32">
        <v>35658.1</v>
      </c>
      <c r="Q871" s="56">
        <v>41374</v>
      </c>
    </row>
    <row r="872" spans="1:18" ht="12" customHeight="1">
      <c r="A872" s="25">
        <v>41366</v>
      </c>
      <c r="B872" s="344" t="s">
        <v>1979</v>
      </c>
      <c r="C872" s="219" t="s">
        <v>167</v>
      </c>
      <c r="D872" s="344" t="s">
        <v>5986</v>
      </c>
      <c r="E872" s="344" t="s">
        <v>167</v>
      </c>
      <c r="F872" s="205">
        <v>90</v>
      </c>
      <c r="G872" s="344" t="s">
        <v>5987</v>
      </c>
      <c r="H872" s="31">
        <v>2</v>
      </c>
      <c r="I872" s="27">
        <f t="shared" si="27"/>
        <v>180</v>
      </c>
      <c r="J872" s="28" t="s">
        <v>5989</v>
      </c>
      <c r="K872" s="25">
        <v>41366</v>
      </c>
      <c r="M872" s="56">
        <v>41374</v>
      </c>
      <c r="N872" s="29" t="s">
        <v>166</v>
      </c>
      <c r="O872" s="28" t="s">
        <v>6120</v>
      </c>
      <c r="P872" s="32">
        <v>35658.1</v>
      </c>
      <c r="Q872" s="56">
        <v>41374</v>
      </c>
    </row>
    <row r="873" spans="1:18" ht="12" customHeight="1">
      <c r="A873" s="25">
        <v>41366</v>
      </c>
      <c r="B873" s="344" t="s">
        <v>1980</v>
      </c>
      <c r="C873" s="219" t="s">
        <v>162</v>
      </c>
      <c r="D873" s="1" t="s">
        <v>1219</v>
      </c>
      <c r="E873" s="344" t="s">
        <v>779</v>
      </c>
      <c r="F873" s="344">
        <v>500</v>
      </c>
      <c r="G873" s="344" t="s">
        <v>170</v>
      </c>
      <c r="H873" s="31">
        <v>3.96</v>
      </c>
      <c r="I873" s="27">
        <f t="shared" si="27"/>
        <v>1980</v>
      </c>
      <c r="J873" s="28" t="s">
        <v>6028</v>
      </c>
      <c r="K873" s="25">
        <v>41366</v>
      </c>
      <c r="M873" s="56">
        <v>41366</v>
      </c>
      <c r="N873" s="29" t="s">
        <v>166</v>
      </c>
      <c r="O873" s="28" t="s">
        <v>5999</v>
      </c>
      <c r="P873" s="32">
        <v>8033.5</v>
      </c>
      <c r="Q873" s="56">
        <v>41366</v>
      </c>
    </row>
    <row r="874" spans="1:18" ht="12" customHeight="1">
      <c r="A874" s="25">
        <v>41366</v>
      </c>
      <c r="B874" s="344" t="s">
        <v>1980</v>
      </c>
      <c r="C874" s="220" t="s">
        <v>7</v>
      </c>
      <c r="D874" s="5" t="s">
        <v>1663</v>
      </c>
      <c r="E874" s="1" t="s">
        <v>1659</v>
      </c>
      <c r="F874" s="1">
        <v>72</v>
      </c>
      <c r="G874" s="344" t="s">
        <v>827</v>
      </c>
      <c r="H874" s="31">
        <v>69.5</v>
      </c>
      <c r="I874" s="27">
        <f t="shared" si="27"/>
        <v>5004</v>
      </c>
      <c r="J874" s="28" t="s">
        <v>6028</v>
      </c>
      <c r="K874" s="25">
        <v>41366</v>
      </c>
      <c r="M874" s="56">
        <v>41366</v>
      </c>
      <c r="N874" s="29" t="s">
        <v>166</v>
      </c>
      <c r="O874" s="28" t="s">
        <v>5999</v>
      </c>
      <c r="P874" s="32">
        <v>8033.5</v>
      </c>
      <c r="Q874" s="56">
        <v>41366</v>
      </c>
    </row>
    <row r="875" spans="1:18" ht="12" customHeight="1">
      <c r="A875" s="25">
        <v>41366</v>
      </c>
      <c r="B875" s="344" t="s">
        <v>1980</v>
      </c>
      <c r="C875" s="219" t="s">
        <v>162</v>
      </c>
      <c r="D875" s="344" t="s">
        <v>182</v>
      </c>
      <c r="E875" s="344" t="s">
        <v>194</v>
      </c>
      <c r="F875" s="344">
        <v>200</v>
      </c>
      <c r="G875" s="344" t="s">
        <v>231</v>
      </c>
      <c r="H875" s="31">
        <v>4.9000000000000004</v>
      </c>
      <c r="I875" s="27">
        <f t="shared" si="27"/>
        <v>980.00000000000011</v>
      </c>
      <c r="J875" s="28" t="s">
        <v>6028</v>
      </c>
      <c r="K875" s="25">
        <v>41366</v>
      </c>
      <c r="M875" s="56">
        <v>41366</v>
      </c>
      <c r="N875" s="29" t="s">
        <v>166</v>
      </c>
      <c r="O875" s="28" t="s">
        <v>5999</v>
      </c>
      <c r="P875" s="32">
        <v>8033.5</v>
      </c>
      <c r="Q875" s="56">
        <v>41366</v>
      </c>
    </row>
    <row r="876" spans="1:18" ht="12" customHeight="1">
      <c r="A876" s="25">
        <v>41366</v>
      </c>
      <c r="B876" s="344" t="s">
        <v>1980</v>
      </c>
      <c r="C876" s="219" t="s">
        <v>162</v>
      </c>
      <c r="D876" s="344" t="s">
        <v>1869</v>
      </c>
      <c r="E876" s="344">
        <v>501</v>
      </c>
      <c r="F876" s="344">
        <v>50</v>
      </c>
      <c r="G876" s="344" t="s">
        <v>170</v>
      </c>
      <c r="H876" s="31">
        <v>1.39</v>
      </c>
      <c r="I876" s="27">
        <f t="shared" si="27"/>
        <v>69.5</v>
      </c>
      <c r="J876" s="28" t="s">
        <v>6028</v>
      </c>
      <c r="K876" s="25">
        <v>41366</v>
      </c>
      <c r="M876" s="56">
        <v>41366</v>
      </c>
      <c r="N876" s="29" t="s">
        <v>166</v>
      </c>
      <c r="O876" s="28" t="s">
        <v>5999</v>
      </c>
      <c r="P876" s="32">
        <v>8033.5</v>
      </c>
      <c r="Q876" s="56">
        <v>41366</v>
      </c>
    </row>
    <row r="877" spans="1:18" ht="12" customHeight="1">
      <c r="A877" s="25">
        <v>41366</v>
      </c>
      <c r="B877" s="344" t="s">
        <v>1994</v>
      </c>
      <c r="C877" s="220" t="s">
        <v>7</v>
      </c>
      <c r="D877" s="5" t="s">
        <v>1663</v>
      </c>
      <c r="E877" s="344" t="s">
        <v>6000</v>
      </c>
      <c r="F877" s="205">
        <v>30</v>
      </c>
      <c r="G877" s="344" t="s">
        <v>827</v>
      </c>
      <c r="H877" s="31">
        <v>68.34</v>
      </c>
      <c r="I877" s="27">
        <f t="shared" si="27"/>
        <v>2050.2000000000003</v>
      </c>
      <c r="J877" s="28" t="s">
        <v>6028</v>
      </c>
      <c r="K877" s="25">
        <v>41371</v>
      </c>
      <c r="M877" s="56">
        <v>41366</v>
      </c>
      <c r="N877" s="29" t="s">
        <v>166</v>
      </c>
      <c r="O877" s="28" t="s">
        <v>7014</v>
      </c>
      <c r="P877" s="32">
        <v>2557</v>
      </c>
      <c r="Q877" s="56">
        <v>41418</v>
      </c>
    </row>
    <row r="878" spans="1:18" ht="12" customHeight="1">
      <c r="A878" s="25">
        <v>41367</v>
      </c>
      <c r="B878" s="345" t="s">
        <v>1979</v>
      </c>
      <c r="C878" s="219" t="s">
        <v>162</v>
      </c>
      <c r="D878" s="345" t="s">
        <v>240</v>
      </c>
      <c r="E878" s="345">
        <v>6200</v>
      </c>
      <c r="F878" s="345">
        <v>95</v>
      </c>
      <c r="G878" s="345" t="s">
        <v>170</v>
      </c>
      <c r="H878" s="31">
        <v>44.5</v>
      </c>
      <c r="I878" s="27">
        <f t="shared" si="27"/>
        <v>4227.5</v>
      </c>
      <c r="J878" s="28" t="s">
        <v>6015</v>
      </c>
      <c r="K878" s="25">
        <v>41367</v>
      </c>
      <c r="M878" s="56">
        <v>41374</v>
      </c>
      <c r="N878" s="29" t="s">
        <v>166</v>
      </c>
      <c r="O878" s="28" t="s">
        <v>6120</v>
      </c>
      <c r="P878" s="32">
        <v>35658.1</v>
      </c>
      <c r="Q878" s="56">
        <v>41374</v>
      </c>
      <c r="R878" s="366" t="s">
        <v>6121</v>
      </c>
    </row>
    <row r="879" spans="1:18" ht="12" customHeight="1">
      <c r="A879" s="25">
        <v>41367</v>
      </c>
      <c r="B879" s="345" t="s">
        <v>1979</v>
      </c>
      <c r="C879" s="219" t="s">
        <v>6011</v>
      </c>
      <c r="D879" s="345" t="s">
        <v>6012</v>
      </c>
      <c r="E879" s="345" t="s">
        <v>167</v>
      </c>
      <c r="F879" s="345">
        <v>100</v>
      </c>
      <c r="G879" s="345" t="s">
        <v>827</v>
      </c>
      <c r="H879" s="31">
        <v>4</v>
      </c>
      <c r="I879" s="27">
        <f t="shared" si="27"/>
        <v>400</v>
      </c>
      <c r="J879" s="28" t="s">
        <v>6011</v>
      </c>
      <c r="K879" s="25">
        <v>41367</v>
      </c>
      <c r="M879" s="56">
        <v>41367</v>
      </c>
      <c r="N879" s="29" t="s">
        <v>6013</v>
      </c>
      <c r="O879" s="28" t="s">
        <v>6014</v>
      </c>
    </row>
    <row r="880" spans="1:18" ht="12" customHeight="1">
      <c r="A880" s="25">
        <v>41372</v>
      </c>
      <c r="B880" s="348" t="s">
        <v>1980</v>
      </c>
      <c r="C880" s="219" t="s">
        <v>162</v>
      </c>
      <c r="D880" s="348" t="s">
        <v>287</v>
      </c>
      <c r="E880" s="196">
        <v>10434</v>
      </c>
      <c r="F880" s="205">
        <v>100</v>
      </c>
      <c r="G880" s="348" t="s">
        <v>6058</v>
      </c>
      <c r="H880" s="31">
        <v>15.84</v>
      </c>
      <c r="I880" s="27">
        <f t="shared" si="27"/>
        <v>1584</v>
      </c>
      <c r="J880" s="28" t="s">
        <v>6060</v>
      </c>
      <c r="K880" s="25">
        <v>41372</v>
      </c>
      <c r="M880" s="56">
        <v>41375</v>
      </c>
      <c r="N880" s="29" t="s">
        <v>166</v>
      </c>
      <c r="O880" s="28" t="s">
        <v>6061</v>
      </c>
      <c r="P880" s="32">
        <v>18643</v>
      </c>
      <c r="Q880" s="56">
        <v>41372</v>
      </c>
    </row>
    <row r="881" spans="1:17" ht="10.5" customHeight="1">
      <c r="A881" s="25">
        <v>41372</v>
      </c>
      <c r="B881" s="348" t="s">
        <v>1980</v>
      </c>
      <c r="C881" s="219" t="s">
        <v>162</v>
      </c>
      <c r="D881" s="348" t="s">
        <v>1869</v>
      </c>
      <c r="E881" s="196">
        <v>501</v>
      </c>
      <c r="F881" s="205">
        <v>300</v>
      </c>
      <c r="G881" s="348" t="s">
        <v>6057</v>
      </c>
      <c r="H881" s="31">
        <v>1.39</v>
      </c>
      <c r="I881" s="27">
        <f t="shared" si="27"/>
        <v>416.99999999999994</v>
      </c>
      <c r="J881" s="28" t="s">
        <v>6060</v>
      </c>
      <c r="K881" s="25">
        <v>41372</v>
      </c>
      <c r="M881" s="56">
        <v>41375</v>
      </c>
      <c r="N881" s="29" t="s">
        <v>166</v>
      </c>
      <c r="O881" s="28" t="s">
        <v>6061</v>
      </c>
      <c r="P881" s="32">
        <v>18643</v>
      </c>
      <c r="Q881" s="56">
        <v>41372</v>
      </c>
    </row>
    <row r="882" spans="1:17" ht="12" customHeight="1">
      <c r="A882" s="25">
        <v>41372</v>
      </c>
      <c r="B882" s="348" t="s">
        <v>1980</v>
      </c>
      <c r="C882" s="219" t="s">
        <v>162</v>
      </c>
      <c r="D882" s="348" t="s">
        <v>182</v>
      </c>
      <c r="E882" s="348" t="s">
        <v>194</v>
      </c>
      <c r="F882" s="205">
        <v>1000</v>
      </c>
      <c r="G882" s="348" t="s">
        <v>6059</v>
      </c>
      <c r="H882" s="31">
        <v>4.9000000000000004</v>
      </c>
      <c r="I882" s="27">
        <f t="shared" si="27"/>
        <v>4900</v>
      </c>
      <c r="J882" s="28" t="s">
        <v>6060</v>
      </c>
      <c r="K882" s="25">
        <v>41372</v>
      </c>
      <c r="M882" s="56">
        <v>41375</v>
      </c>
      <c r="N882" s="29" t="s">
        <v>166</v>
      </c>
      <c r="O882" s="28" t="s">
        <v>6061</v>
      </c>
      <c r="P882" s="32">
        <v>18643</v>
      </c>
      <c r="Q882" s="56">
        <v>41372</v>
      </c>
    </row>
    <row r="883" spans="1:17" ht="12" customHeight="1">
      <c r="A883" s="25">
        <v>41372</v>
      </c>
      <c r="B883" s="348" t="s">
        <v>1980</v>
      </c>
      <c r="C883" s="219" t="s">
        <v>162</v>
      </c>
      <c r="D883" s="348" t="s">
        <v>1882</v>
      </c>
      <c r="E883" s="348" t="s">
        <v>145</v>
      </c>
      <c r="F883" s="205">
        <v>540</v>
      </c>
      <c r="G883" s="348" t="s">
        <v>6057</v>
      </c>
      <c r="H883" s="31">
        <v>17.8</v>
      </c>
      <c r="I883" s="27">
        <f t="shared" si="27"/>
        <v>9612</v>
      </c>
      <c r="J883" s="28" t="s">
        <v>6060</v>
      </c>
      <c r="K883" s="25">
        <v>41372</v>
      </c>
      <c r="M883" s="56">
        <v>41375</v>
      </c>
      <c r="N883" s="29" t="s">
        <v>166</v>
      </c>
      <c r="O883" s="28" t="s">
        <v>6061</v>
      </c>
      <c r="P883" s="32">
        <v>18643</v>
      </c>
      <c r="Q883" s="56">
        <v>41372</v>
      </c>
    </row>
    <row r="884" spans="1:17" ht="12" customHeight="1">
      <c r="A884" s="25">
        <v>41372</v>
      </c>
      <c r="B884" s="349" t="s">
        <v>6063</v>
      </c>
      <c r="C884" s="1" t="s">
        <v>6055</v>
      </c>
      <c r="D884" s="1" t="s">
        <v>6139</v>
      </c>
      <c r="E884" s="1" t="s">
        <v>6054</v>
      </c>
      <c r="F884" s="1">
        <v>4</v>
      </c>
      <c r="G884" s="1" t="s">
        <v>827</v>
      </c>
      <c r="H884" s="31">
        <v>58</v>
      </c>
      <c r="I884" s="27">
        <f t="shared" si="27"/>
        <v>232</v>
      </c>
      <c r="J884" s="28" t="s">
        <v>167</v>
      </c>
      <c r="K884" s="25">
        <v>41375</v>
      </c>
      <c r="M884" s="56">
        <v>41373</v>
      </c>
      <c r="N884" s="29" t="s">
        <v>168</v>
      </c>
      <c r="O884" s="28" t="s">
        <v>6602</v>
      </c>
      <c r="P884" s="32">
        <v>602</v>
      </c>
      <c r="Q884" s="56">
        <v>41392</v>
      </c>
    </row>
    <row r="885" spans="1:17" ht="12" customHeight="1">
      <c r="A885" s="25">
        <v>41372</v>
      </c>
      <c r="B885" s="349" t="s">
        <v>6063</v>
      </c>
      <c r="C885" s="1" t="s">
        <v>6055</v>
      </c>
      <c r="D885" s="1" t="s">
        <v>6065</v>
      </c>
      <c r="E885" s="1">
        <v>91115802</v>
      </c>
      <c r="F885" s="1">
        <v>4</v>
      </c>
      <c r="G885" s="1" t="s">
        <v>827</v>
      </c>
      <c r="H885" s="31">
        <v>90</v>
      </c>
      <c r="I885" s="27">
        <f t="shared" si="27"/>
        <v>360</v>
      </c>
      <c r="J885" s="28" t="s">
        <v>167</v>
      </c>
      <c r="K885" s="25">
        <v>41375</v>
      </c>
      <c r="M885" s="56">
        <v>41373</v>
      </c>
      <c r="N885" s="29" t="s">
        <v>168</v>
      </c>
      <c r="O885" s="28" t="s">
        <v>6602</v>
      </c>
      <c r="P885" s="32">
        <v>602</v>
      </c>
      <c r="Q885" s="56">
        <v>41392</v>
      </c>
    </row>
    <row r="886" spans="1:17" ht="12" customHeight="1">
      <c r="A886" s="25">
        <v>41373</v>
      </c>
      <c r="B886" s="362" t="s">
        <v>1979</v>
      </c>
      <c r="C886" s="219" t="s">
        <v>167</v>
      </c>
      <c r="D886" s="369" t="s">
        <v>5680</v>
      </c>
      <c r="E886" s="362" t="s">
        <v>167</v>
      </c>
      <c r="F886" s="362">
        <v>3500</v>
      </c>
      <c r="G886" s="362" t="s">
        <v>827</v>
      </c>
      <c r="H886" s="31">
        <v>0.68</v>
      </c>
      <c r="I886" s="27">
        <f t="shared" si="27"/>
        <v>2380</v>
      </c>
      <c r="J886" s="28" t="s">
        <v>6084</v>
      </c>
      <c r="K886" s="25">
        <v>41373</v>
      </c>
      <c r="M886" s="56">
        <v>41390</v>
      </c>
      <c r="N886" s="29" t="s">
        <v>6535</v>
      </c>
    </row>
    <row r="887" spans="1:17" ht="12" customHeight="1">
      <c r="A887" s="25">
        <v>41373</v>
      </c>
      <c r="B887" s="363" t="s">
        <v>228</v>
      </c>
      <c r="C887" s="219" t="s">
        <v>162</v>
      </c>
      <c r="D887" s="1" t="s">
        <v>1210</v>
      </c>
      <c r="E887" s="238">
        <v>3200</v>
      </c>
      <c r="F887" s="205">
        <v>500</v>
      </c>
      <c r="G887" s="363" t="s">
        <v>6100</v>
      </c>
      <c r="H887" s="31">
        <v>23.94</v>
      </c>
      <c r="I887" s="27">
        <f t="shared" si="27"/>
        <v>11970</v>
      </c>
      <c r="J887" s="28" t="s">
        <v>6101</v>
      </c>
      <c r="K887" s="25">
        <v>41373</v>
      </c>
      <c r="M887" s="56">
        <v>41376</v>
      </c>
      <c r="N887" s="29" t="s">
        <v>165</v>
      </c>
      <c r="O887" s="28" t="s">
        <v>6453</v>
      </c>
      <c r="P887" s="32">
        <v>162522.63</v>
      </c>
      <c r="Q887" s="56">
        <v>41387</v>
      </c>
    </row>
    <row r="888" spans="1:17" ht="12" customHeight="1">
      <c r="A888" s="25">
        <v>41373</v>
      </c>
      <c r="B888" s="364" t="s">
        <v>1985</v>
      </c>
      <c r="C888" s="220" t="s">
        <v>7</v>
      </c>
      <c r="D888" s="364" t="s">
        <v>4977</v>
      </c>
      <c r="E888" s="364" t="s">
        <v>4974</v>
      </c>
      <c r="F888" s="367">
        <v>1500</v>
      </c>
      <c r="G888" s="364" t="s">
        <v>827</v>
      </c>
      <c r="H888" s="31">
        <v>1.32</v>
      </c>
      <c r="I888" s="27">
        <f t="shared" si="27"/>
        <v>1980</v>
      </c>
      <c r="J888" s="28" t="s">
        <v>6283</v>
      </c>
      <c r="K888" s="25">
        <v>41380</v>
      </c>
      <c r="M888" s="56">
        <v>41373</v>
      </c>
      <c r="N888" s="29" t="s">
        <v>168</v>
      </c>
      <c r="O888" s="28" t="s">
        <v>6151</v>
      </c>
      <c r="P888" s="32">
        <v>15880.44</v>
      </c>
      <c r="Q888" s="56">
        <v>41375</v>
      </c>
    </row>
    <row r="889" spans="1:17" ht="12" customHeight="1">
      <c r="A889" s="25">
        <v>41373</v>
      </c>
      <c r="B889" s="364" t="s">
        <v>1985</v>
      </c>
      <c r="C889" s="219" t="s">
        <v>162</v>
      </c>
      <c r="D889" s="364" t="s">
        <v>5047</v>
      </c>
      <c r="E889" s="364">
        <v>8210</v>
      </c>
      <c r="F889" s="367">
        <v>1280</v>
      </c>
      <c r="G889" s="364" t="s">
        <v>170</v>
      </c>
      <c r="H889" s="31">
        <v>3.78</v>
      </c>
      <c r="I889" s="27">
        <f t="shared" si="27"/>
        <v>4838.3999999999996</v>
      </c>
      <c r="J889" s="28" t="s">
        <v>6283</v>
      </c>
      <c r="K889" s="25">
        <v>41380</v>
      </c>
      <c r="M889" s="56">
        <v>41373</v>
      </c>
      <c r="N889" s="29" t="s">
        <v>168</v>
      </c>
      <c r="O889" s="28" t="s">
        <v>6151</v>
      </c>
      <c r="P889" s="32">
        <v>15880.44</v>
      </c>
      <c r="Q889" s="56">
        <v>41375</v>
      </c>
    </row>
    <row r="890" spans="1:17" ht="12" customHeight="1">
      <c r="A890" s="25">
        <v>41373</v>
      </c>
      <c r="B890" s="364" t="s">
        <v>1985</v>
      </c>
      <c r="C890" s="219" t="s">
        <v>162</v>
      </c>
      <c r="D890" s="1" t="s">
        <v>1213</v>
      </c>
      <c r="E890" s="364" t="s">
        <v>178</v>
      </c>
      <c r="F890" s="367">
        <v>200</v>
      </c>
      <c r="G890" s="364" t="s">
        <v>172</v>
      </c>
      <c r="H890" s="31">
        <v>12.4</v>
      </c>
      <c r="I890" s="27">
        <f>H890*F890</f>
        <v>2480</v>
      </c>
      <c r="J890" s="28" t="s">
        <v>6283</v>
      </c>
      <c r="K890" s="25">
        <v>41380</v>
      </c>
      <c r="M890" s="56">
        <v>41373</v>
      </c>
      <c r="N890" s="29" t="s">
        <v>168</v>
      </c>
      <c r="O890" s="28" t="s">
        <v>6151</v>
      </c>
      <c r="P890" s="32">
        <v>15880.44</v>
      </c>
      <c r="Q890" s="56">
        <v>41375</v>
      </c>
    </row>
    <row r="891" spans="1:17" ht="12" customHeight="1">
      <c r="A891" s="25">
        <v>41373</v>
      </c>
      <c r="B891" s="364" t="s">
        <v>1985</v>
      </c>
      <c r="C891" s="219" t="s">
        <v>162</v>
      </c>
      <c r="D891" s="1" t="s">
        <v>1899</v>
      </c>
      <c r="E891" s="1">
        <v>3100</v>
      </c>
      <c r="F891" s="1">
        <v>60</v>
      </c>
      <c r="G891" s="1" t="s">
        <v>229</v>
      </c>
      <c r="H891" s="31">
        <v>31.2</v>
      </c>
      <c r="I891" s="27">
        <f>H891*F891</f>
        <v>1872</v>
      </c>
      <c r="J891" s="28" t="s">
        <v>6283</v>
      </c>
      <c r="K891" s="25">
        <v>41380</v>
      </c>
      <c r="M891" s="56">
        <v>41373</v>
      </c>
      <c r="N891" s="29" t="s">
        <v>168</v>
      </c>
      <c r="O891" s="28" t="s">
        <v>6151</v>
      </c>
      <c r="P891" s="32">
        <v>15880.44</v>
      </c>
      <c r="Q891" s="56">
        <v>41375</v>
      </c>
    </row>
    <row r="892" spans="1:17" ht="12" customHeight="1">
      <c r="A892" s="25">
        <v>41373</v>
      </c>
      <c r="B892" s="364" t="s">
        <v>1999</v>
      </c>
      <c r="C892" s="219" t="s">
        <v>1013</v>
      </c>
      <c r="D892" s="364" t="s">
        <v>1906</v>
      </c>
      <c r="E892" s="364" t="s">
        <v>1014</v>
      </c>
      <c r="F892" s="364">
        <v>1</v>
      </c>
      <c r="G892" s="364" t="s">
        <v>1015</v>
      </c>
      <c r="H892" s="31">
        <v>708</v>
      </c>
      <c r="I892" s="27">
        <f>H892*F892</f>
        <v>708</v>
      </c>
      <c r="J892" s="28" t="s">
        <v>6198</v>
      </c>
      <c r="K892" s="25">
        <v>41378</v>
      </c>
      <c r="M892" s="56">
        <v>41373</v>
      </c>
      <c r="N892" s="97" t="s">
        <v>168</v>
      </c>
      <c r="O892" s="28" t="s">
        <v>6426</v>
      </c>
      <c r="P892" s="32">
        <v>708</v>
      </c>
      <c r="Q892" s="56">
        <v>41386</v>
      </c>
    </row>
    <row r="893" spans="1:17" ht="12" customHeight="1">
      <c r="A893" s="25">
        <v>41374</v>
      </c>
      <c r="B893" s="363" t="s">
        <v>1979</v>
      </c>
      <c r="C893" s="219" t="s">
        <v>162</v>
      </c>
      <c r="D893" s="1" t="s">
        <v>1210</v>
      </c>
      <c r="E893" s="1">
        <v>3200</v>
      </c>
      <c r="F893" s="363">
        <v>100</v>
      </c>
      <c r="G893" s="363" t="s">
        <v>6100</v>
      </c>
      <c r="H893" s="31">
        <v>27.4</v>
      </c>
      <c r="I893" s="27">
        <f>H893*F893</f>
        <v>2740</v>
      </c>
      <c r="J893" s="28" t="s">
        <v>6102</v>
      </c>
      <c r="K893" s="25">
        <v>41374</v>
      </c>
      <c r="M893" s="56">
        <v>41390</v>
      </c>
      <c r="N893" s="29" t="s">
        <v>6535</v>
      </c>
    </row>
    <row r="894" spans="1:17" ht="12" customHeight="1">
      <c r="A894" s="25">
        <v>41375</v>
      </c>
      <c r="B894" s="367" t="s">
        <v>228</v>
      </c>
      <c r="C894" s="219" t="s">
        <v>162</v>
      </c>
      <c r="D894" s="1" t="s">
        <v>6193</v>
      </c>
      <c r="E894" s="238" t="s">
        <v>177</v>
      </c>
      <c r="F894" s="367">
        <v>100</v>
      </c>
      <c r="G894" s="367" t="s">
        <v>171</v>
      </c>
      <c r="H894" s="31">
        <v>1.53</v>
      </c>
      <c r="I894" s="27">
        <f>H894*F894</f>
        <v>153</v>
      </c>
      <c r="J894" s="28" t="s">
        <v>6138</v>
      </c>
      <c r="K894" s="25">
        <v>41375</v>
      </c>
      <c r="M894" s="56">
        <v>41376</v>
      </c>
      <c r="N894" s="29" t="s">
        <v>165</v>
      </c>
      <c r="O894" s="28" t="s">
        <v>6453</v>
      </c>
      <c r="P894" s="32">
        <v>162522.63</v>
      </c>
      <c r="Q894" s="56">
        <v>41387</v>
      </c>
    </row>
    <row r="895" spans="1:17" ht="12" customHeight="1">
      <c r="A895" s="25">
        <v>41375</v>
      </c>
      <c r="B895" s="367" t="s">
        <v>6145</v>
      </c>
      <c r="C895" s="219" t="s">
        <v>162</v>
      </c>
      <c r="D895" s="367" t="s">
        <v>1712</v>
      </c>
      <c r="E895" s="196">
        <v>9010</v>
      </c>
      <c r="F895" s="205">
        <v>500</v>
      </c>
      <c r="G895" s="367" t="s">
        <v>170</v>
      </c>
      <c r="H895" s="31">
        <v>2.6</v>
      </c>
      <c r="I895" s="27">
        <f t="shared" ref="I895:I913" si="28">H895*F895</f>
        <v>1300</v>
      </c>
      <c r="J895" s="28" t="s">
        <v>6264</v>
      </c>
      <c r="K895" s="25">
        <v>41380</v>
      </c>
      <c r="M895" s="56">
        <v>41375</v>
      </c>
      <c r="N895" s="97" t="s">
        <v>166</v>
      </c>
    </row>
    <row r="896" spans="1:17" ht="12" customHeight="1">
      <c r="A896" s="25">
        <v>41375</v>
      </c>
      <c r="B896" s="1" t="s">
        <v>6146</v>
      </c>
      <c r="C896" s="219" t="s">
        <v>162</v>
      </c>
      <c r="D896" s="1" t="s">
        <v>1763</v>
      </c>
      <c r="E896" s="196">
        <v>1860</v>
      </c>
      <c r="F896" s="205">
        <v>720</v>
      </c>
      <c r="G896" s="367" t="s">
        <v>170</v>
      </c>
      <c r="H896" s="31">
        <v>12.15</v>
      </c>
      <c r="I896" s="27">
        <f t="shared" si="28"/>
        <v>8748</v>
      </c>
      <c r="J896" s="28" t="s">
        <v>6160</v>
      </c>
      <c r="K896" s="25">
        <v>41376</v>
      </c>
      <c r="M896" s="56">
        <v>41375</v>
      </c>
      <c r="N896" s="29" t="s">
        <v>165</v>
      </c>
    </row>
    <row r="897" spans="1:33" ht="12" customHeight="1">
      <c r="A897" s="25">
        <v>41375</v>
      </c>
      <c r="B897" s="367" t="s">
        <v>1980</v>
      </c>
      <c r="C897" s="219" t="s">
        <v>162</v>
      </c>
      <c r="D897" s="5" t="s">
        <v>346</v>
      </c>
      <c r="E897" s="196">
        <v>3700</v>
      </c>
      <c r="F897" s="205">
        <v>200</v>
      </c>
      <c r="G897" s="367" t="s">
        <v>170</v>
      </c>
      <c r="H897" s="31">
        <v>3.65</v>
      </c>
      <c r="I897" s="27">
        <f t="shared" si="28"/>
        <v>730</v>
      </c>
      <c r="J897" s="28" t="s">
        <v>6160</v>
      </c>
      <c r="K897" s="25">
        <v>41376</v>
      </c>
      <c r="M897" s="56">
        <v>41375</v>
      </c>
      <c r="N897" s="29" t="s">
        <v>166</v>
      </c>
      <c r="O897" s="28" t="s">
        <v>6166</v>
      </c>
      <c r="P897" s="32">
        <v>5154</v>
      </c>
      <c r="Q897" s="56">
        <v>41376</v>
      </c>
    </row>
    <row r="898" spans="1:33" ht="12" customHeight="1">
      <c r="A898" s="25">
        <v>41375</v>
      </c>
      <c r="B898" s="367" t="s">
        <v>1980</v>
      </c>
      <c r="C898" s="219" t="s">
        <v>162</v>
      </c>
      <c r="D898" s="1" t="s">
        <v>1867</v>
      </c>
      <c r="E898" s="196">
        <v>6006</v>
      </c>
      <c r="F898" s="205">
        <v>80</v>
      </c>
      <c r="G898" s="367" t="s">
        <v>170</v>
      </c>
      <c r="H898" s="31">
        <v>55.3</v>
      </c>
      <c r="I898" s="27">
        <f t="shared" si="28"/>
        <v>4424</v>
      </c>
      <c r="J898" s="28" t="s">
        <v>6160</v>
      </c>
      <c r="K898" s="25">
        <v>41376</v>
      </c>
      <c r="M898" s="56">
        <v>41375</v>
      </c>
      <c r="N898" s="29" t="s">
        <v>166</v>
      </c>
      <c r="O898" s="28" t="s">
        <v>6166</v>
      </c>
      <c r="P898" s="32">
        <v>5154</v>
      </c>
      <c r="Q898" s="56">
        <v>41376</v>
      </c>
    </row>
    <row r="899" spans="1:33" ht="12" customHeight="1">
      <c r="A899" s="25">
        <v>41375</v>
      </c>
      <c r="B899" s="372" t="s">
        <v>6252</v>
      </c>
      <c r="C899" s="219" t="s">
        <v>162</v>
      </c>
      <c r="D899" s="399" t="s">
        <v>1970</v>
      </c>
      <c r="E899" s="372" t="s">
        <v>6253</v>
      </c>
      <c r="F899" s="372">
        <v>10000</v>
      </c>
      <c r="G899" s="372" t="s">
        <v>170</v>
      </c>
      <c r="H899" s="31">
        <v>1.68</v>
      </c>
      <c r="I899" s="27">
        <f t="shared" si="28"/>
        <v>16800</v>
      </c>
      <c r="J899" s="28" t="s">
        <v>6412</v>
      </c>
      <c r="K899" s="25">
        <v>41386</v>
      </c>
      <c r="M899" s="56">
        <v>41380</v>
      </c>
      <c r="N899" s="29" t="s">
        <v>166</v>
      </c>
      <c r="O899" s="28" t="s">
        <v>6425</v>
      </c>
      <c r="P899" s="32">
        <v>16800</v>
      </c>
      <c r="Q899" s="56">
        <v>41386</v>
      </c>
      <c r="R899" s="375" t="s">
        <v>6322</v>
      </c>
      <c r="S899" s="372"/>
      <c r="T899" s="372"/>
      <c r="U899" s="372"/>
      <c r="V899" s="372"/>
      <c r="W899" s="372"/>
      <c r="X899" s="372"/>
      <c r="Y899" s="372"/>
      <c r="Z899" s="372"/>
      <c r="AA899" s="372"/>
      <c r="AB899" s="372"/>
      <c r="AC899" s="372"/>
      <c r="AD899" s="372"/>
      <c r="AE899" s="372"/>
      <c r="AF899" s="372"/>
      <c r="AG899" s="372"/>
    </row>
    <row r="900" spans="1:33" ht="12" customHeight="1">
      <c r="A900" s="25">
        <v>41376</v>
      </c>
      <c r="B900" s="1" t="s">
        <v>6180</v>
      </c>
      <c r="C900" s="1" t="s">
        <v>6177</v>
      </c>
      <c r="D900" s="1" t="s">
        <v>6178</v>
      </c>
      <c r="E900" s="238" t="s">
        <v>6179</v>
      </c>
      <c r="F900" s="1">
        <v>14</v>
      </c>
      <c r="G900" s="1" t="s">
        <v>827</v>
      </c>
      <c r="H900" s="31">
        <v>102.08</v>
      </c>
      <c r="I900" s="27">
        <f t="shared" si="28"/>
        <v>1429.12</v>
      </c>
      <c r="J900" s="28" t="s">
        <v>6160</v>
      </c>
      <c r="K900" s="25">
        <v>41376</v>
      </c>
      <c r="M900" s="56">
        <v>41376</v>
      </c>
      <c r="N900" s="29" t="s">
        <v>166</v>
      </c>
      <c r="O900" s="322" t="s">
        <v>6181</v>
      </c>
      <c r="P900" s="32">
        <v>1429.12</v>
      </c>
      <c r="Q900" s="56">
        <v>41376</v>
      </c>
    </row>
    <row r="901" spans="1:33" ht="12" customHeight="1">
      <c r="A901" s="25">
        <v>41376</v>
      </c>
      <c r="B901" s="370" t="s">
        <v>228</v>
      </c>
      <c r="C901" s="219" t="s">
        <v>162</v>
      </c>
      <c r="D901" s="370" t="s">
        <v>702</v>
      </c>
      <c r="E901" s="28" t="s">
        <v>6211</v>
      </c>
      <c r="F901" s="205">
        <v>9000</v>
      </c>
      <c r="G901" s="370" t="s">
        <v>170</v>
      </c>
      <c r="H901" s="31">
        <v>2.3199999999999998</v>
      </c>
      <c r="I901" s="27">
        <f t="shared" si="28"/>
        <v>20880</v>
      </c>
      <c r="J901" s="28" t="s">
        <v>6282</v>
      </c>
      <c r="K901" s="25">
        <v>41376</v>
      </c>
      <c r="M901" s="56">
        <v>41383</v>
      </c>
      <c r="N901" s="29" t="s">
        <v>166</v>
      </c>
      <c r="O901" s="28" t="s">
        <v>6453</v>
      </c>
      <c r="P901" s="32">
        <v>162522.63</v>
      </c>
      <c r="Q901" s="56">
        <v>41387</v>
      </c>
    </row>
    <row r="902" spans="1:33" ht="12" customHeight="1">
      <c r="A902" s="25">
        <v>41376</v>
      </c>
      <c r="B902" s="368" t="s">
        <v>228</v>
      </c>
      <c r="C902" s="219" t="s">
        <v>162</v>
      </c>
      <c r="D902" s="1" t="s">
        <v>6156</v>
      </c>
      <c r="E902" s="238">
        <v>8577</v>
      </c>
      <c r="F902" s="205">
        <v>10</v>
      </c>
      <c r="G902" s="368" t="s">
        <v>6172</v>
      </c>
      <c r="H902" s="31">
        <v>28.65</v>
      </c>
      <c r="I902" s="27">
        <f>H902*F902</f>
        <v>286.5</v>
      </c>
      <c r="J902" s="28" t="s">
        <v>6188</v>
      </c>
      <c r="K902" s="25">
        <v>41376</v>
      </c>
      <c r="M902" s="56">
        <v>41392</v>
      </c>
      <c r="N902" s="29" t="s">
        <v>166</v>
      </c>
    </row>
    <row r="903" spans="1:33" ht="12" customHeight="1">
      <c r="A903" s="25">
        <v>41379</v>
      </c>
      <c r="B903" s="312" t="s">
        <v>5134</v>
      </c>
      <c r="C903" s="219" t="s">
        <v>162</v>
      </c>
      <c r="D903" s="1" t="s">
        <v>660</v>
      </c>
      <c r="E903" s="1" t="s">
        <v>6053</v>
      </c>
      <c r="F903" s="1">
        <v>10</v>
      </c>
      <c r="G903" s="1" t="s">
        <v>172</v>
      </c>
      <c r="H903" s="31">
        <v>115</v>
      </c>
      <c r="I903" s="27">
        <f t="shared" si="28"/>
        <v>1150</v>
      </c>
      <c r="J903" s="28" t="s">
        <v>6198</v>
      </c>
      <c r="K903" s="25">
        <v>41379</v>
      </c>
      <c r="M903" s="56">
        <v>41379</v>
      </c>
      <c r="N903" s="29" t="s">
        <v>6226</v>
      </c>
      <c r="O903" s="28" t="s">
        <v>7180</v>
      </c>
      <c r="P903" s="32">
        <v>66676</v>
      </c>
      <c r="Q903" s="56">
        <v>41418</v>
      </c>
    </row>
    <row r="904" spans="1:33" ht="12" customHeight="1">
      <c r="A904" s="25">
        <v>41379</v>
      </c>
      <c r="B904" s="312" t="s">
        <v>5134</v>
      </c>
      <c r="C904" s="219" t="s">
        <v>162</v>
      </c>
      <c r="D904" s="1" t="s">
        <v>1218</v>
      </c>
      <c r="E904" s="1">
        <v>6004</v>
      </c>
      <c r="F904" s="1">
        <v>20</v>
      </c>
      <c r="G904" s="1" t="s">
        <v>170</v>
      </c>
      <c r="H904" s="31">
        <v>37.9</v>
      </c>
      <c r="I904" s="27">
        <f t="shared" si="28"/>
        <v>758</v>
      </c>
      <c r="J904" s="28" t="s">
        <v>6198</v>
      </c>
      <c r="K904" s="25">
        <v>41379</v>
      </c>
      <c r="M904" s="56">
        <v>41379</v>
      </c>
      <c r="N904" s="29" t="s">
        <v>6226</v>
      </c>
      <c r="O904" s="28" t="s">
        <v>7180</v>
      </c>
      <c r="P904" s="32">
        <v>66676</v>
      </c>
      <c r="Q904" s="56">
        <v>41418</v>
      </c>
    </row>
    <row r="905" spans="1:33" ht="12" customHeight="1">
      <c r="A905" s="25">
        <v>41379</v>
      </c>
      <c r="B905" s="312" t="s">
        <v>5134</v>
      </c>
      <c r="C905" s="219" t="s">
        <v>162</v>
      </c>
      <c r="D905" s="1" t="s">
        <v>1220</v>
      </c>
      <c r="E905" s="1">
        <v>6005</v>
      </c>
      <c r="F905" s="1">
        <v>20</v>
      </c>
      <c r="G905" s="1" t="s">
        <v>170</v>
      </c>
      <c r="H905" s="31">
        <v>37.9</v>
      </c>
      <c r="I905" s="27">
        <f t="shared" si="28"/>
        <v>758</v>
      </c>
      <c r="J905" s="28" t="s">
        <v>6198</v>
      </c>
      <c r="K905" s="25">
        <v>41379</v>
      </c>
      <c r="M905" s="56">
        <v>41379</v>
      </c>
      <c r="N905" s="29" t="s">
        <v>6226</v>
      </c>
      <c r="O905" s="28" t="s">
        <v>7180</v>
      </c>
      <c r="P905" s="32">
        <v>66676</v>
      </c>
      <c r="Q905" s="56">
        <v>41418</v>
      </c>
    </row>
    <row r="906" spans="1:33" ht="12" customHeight="1">
      <c r="A906" s="25">
        <v>41379</v>
      </c>
      <c r="B906" s="312" t="s">
        <v>5134</v>
      </c>
      <c r="C906" s="219" t="s">
        <v>162</v>
      </c>
      <c r="D906" s="5" t="s">
        <v>983</v>
      </c>
      <c r="E906" s="1">
        <v>6800</v>
      </c>
      <c r="F906" s="1">
        <v>36</v>
      </c>
      <c r="G906" s="1" t="s">
        <v>170</v>
      </c>
      <c r="H906" s="31">
        <v>420</v>
      </c>
      <c r="I906" s="27">
        <f t="shared" si="28"/>
        <v>15120</v>
      </c>
      <c r="J906" s="28" t="s">
        <v>6198</v>
      </c>
      <c r="K906" s="25">
        <v>41379</v>
      </c>
      <c r="M906" s="56">
        <v>41379</v>
      </c>
      <c r="N906" s="29" t="s">
        <v>6226</v>
      </c>
      <c r="O906" s="28" t="s">
        <v>7180</v>
      </c>
      <c r="P906" s="32">
        <v>66676</v>
      </c>
      <c r="Q906" s="56">
        <v>41418</v>
      </c>
    </row>
    <row r="907" spans="1:33" ht="12" customHeight="1">
      <c r="A907" s="25">
        <v>41379</v>
      </c>
      <c r="B907" s="312" t="s">
        <v>5134</v>
      </c>
      <c r="C907" s="219" t="s">
        <v>162</v>
      </c>
      <c r="D907" s="370" t="s">
        <v>287</v>
      </c>
      <c r="E907" s="196">
        <v>10434</v>
      </c>
      <c r="F907" s="205">
        <v>300</v>
      </c>
      <c r="G907" s="1" t="s">
        <v>172</v>
      </c>
      <c r="H907" s="31">
        <v>14.2</v>
      </c>
      <c r="I907" s="27">
        <f t="shared" si="28"/>
        <v>4260</v>
      </c>
      <c r="J907" s="28" t="s">
        <v>6198</v>
      </c>
      <c r="K907" s="25">
        <v>41379</v>
      </c>
      <c r="M907" s="56">
        <v>41379</v>
      </c>
      <c r="N907" s="29" t="s">
        <v>6226</v>
      </c>
      <c r="O907" s="28" t="s">
        <v>7180</v>
      </c>
      <c r="P907" s="32">
        <v>66676</v>
      </c>
      <c r="Q907" s="56">
        <v>41418</v>
      </c>
    </row>
    <row r="908" spans="1:33" ht="12" customHeight="1">
      <c r="A908" s="25">
        <v>41379</v>
      </c>
      <c r="B908" s="312" t="s">
        <v>5134</v>
      </c>
      <c r="C908" s="219" t="s">
        <v>162</v>
      </c>
      <c r="D908" s="1" t="s">
        <v>1867</v>
      </c>
      <c r="E908" s="1">
        <v>6006</v>
      </c>
      <c r="F908" s="1">
        <v>20</v>
      </c>
      <c r="G908" s="1" t="s">
        <v>170</v>
      </c>
      <c r="H908" s="31">
        <v>47.5</v>
      </c>
      <c r="I908" s="27">
        <f t="shared" si="28"/>
        <v>950</v>
      </c>
      <c r="J908" s="28" t="s">
        <v>6198</v>
      </c>
      <c r="K908" s="25">
        <v>41379</v>
      </c>
      <c r="M908" s="56">
        <v>41379</v>
      </c>
      <c r="N908" s="29" t="s">
        <v>6226</v>
      </c>
      <c r="O908" s="28" t="s">
        <v>7180</v>
      </c>
      <c r="P908" s="32">
        <v>66676</v>
      </c>
      <c r="Q908" s="56">
        <v>41418</v>
      </c>
    </row>
    <row r="909" spans="1:33" ht="12" customHeight="1">
      <c r="A909" s="25">
        <v>41379</v>
      </c>
      <c r="B909" s="371" t="s">
        <v>6233</v>
      </c>
      <c r="C909" s="219" t="s">
        <v>162</v>
      </c>
      <c r="D909" s="371" t="s">
        <v>1882</v>
      </c>
      <c r="E909" s="371" t="s">
        <v>145</v>
      </c>
      <c r="F909" s="205">
        <v>66</v>
      </c>
      <c r="G909" s="1" t="s">
        <v>170</v>
      </c>
      <c r="H909" s="31">
        <v>14</v>
      </c>
      <c r="I909" s="27">
        <f t="shared" si="28"/>
        <v>924</v>
      </c>
      <c r="J909" s="28" t="s">
        <v>167</v>
      </c>
      <c r="K909" s="25">
        <v>41379</v>
      </c>
      <c r="M909" s="56">
        <v>41386</v>
      </c>
      <c r="N909" s="29" t="s">
        <v>165</v>
      </c>
      <c r="O909" s="28" t="s">
        <v>175</v>
      </c>
    </row>
    <row r="910" spans="1:33" ht="12" customHeight="1">
      <c r="A910" s="25">
        <v>41379</v>
      </c>
      <c r="B910" s="371" t="s">
        <v>6233</v>
      </c>
      <c r="C910" s="219" t="s">
        <v>162</v>
      </c>
      <c r="D910" s="371" t="s">
        <v>182</v>
      </c>
      <c r="E910" s="371" t="s">
        <v>194</v>
      </c>
      <c r="F910" s="205">
        <v>50</v>
      </c>
      <c r="G910" s="371" t="s">
        <v>6235</v>
      </c>
      <c r="H910" s="31">
        <v>4</v>
      </c>
      <c r="I910" s="27">
        <f t="shared" si="28"/>
        <v>200</v>
      </c>
      <c r="J910" s="28" t="s">
        <v>167</v>
      </c>
      <c r="K910" s="25">
        <v>41379</v>
      </c>
      <c r="M910" s="56">
        <v>41386</v>
      </c>
      <c r="N910" s="29" t="s">
        <v>165</v>
      </c>
      <c r="O910" s="28" t="s">
        <v>175</v>
      </c>
    </row>
    <row r="911" spans="1:33" ht="12" customHeight="1">
      <c r="A911" s="25">
        <v>41379</v>
      </c>
      <c r="B911" s="371" t="s">
        <v>6233</v>
      </c>
      <c r="C911" s="219" t="s">
        <v>162</v>
      </c>
      <c r="D911" s="371" t="s">
        <v>6232</v>
      </c>
      <c r="E911" s="196">
        <v>6885</v>
      </c>
      <c r="F911" s="205">
        <v>25</v>
      </c>
      <c r="G911" s="371" t="s">
        <v>6234</v>
      </c>
      <c r="H911" s="31">
        <v>2.5</v>
      </c>
      <c r="I911" s="27">
        <f t="shared" si="28"/>
        <v>62.5</v>
      </c>
      <c r="J911" s="28" t="s">
        <v>167</v>
      </c>
      <c r="K911" s="25">
        <v>41379</v>
      </c>
      <c r="M911" s="56">
        <v>41386</v>
      </c>
      <c r="N911" s="29" t="s">
        <v>165</v>
      </c>
      <c r="O911" s="28" t="s">
        <v>175</v>
      </c>
      <c r="P911" s="32" t="s">
        <v>6236</v>
      </c>
      <c r="S911" s="371" t="s">
        <v>6237</v>
      </c>
    </row>
    <row r="912" spans="1:33" ht="12" customHeight="1">
      <c r="A912" s="25">
        <v>41379</v>
      </c>
      <c r="B912" s="371" t="s">
        <v>228</v>
      </c>
      <c r="C912" s="219" t="s">
        <v>162</v>
      </c>
      <c r="D912" s="1" t="s">
        <v>268</v>
      </c>
      <c r="E912" s="238" t="s">
        <v>177</v>
      </c>
      <c r="F912" s="371">
        <v>300</v>
      </c>
      <c r="G912" s="371" t="s">
        <v>171</v>
      </c>
      <c r="H912" s="31">
        <v>1.53</v>
      </c>
      <c r="I912" s="27">
        <f t="shared" si="28"/>
        <v>459</v>
      </c>
      <c r="J912" s="28" t="s">
        <v>6241</v>
      </c>
      <c r="K912" s="25">
        <v>41379</v>
      </c>
      <c r="M912" s="56">
        <v>41392</v>
      </c>
      <c r="N912" s="29" t="s">
        <v>166</v>
      </c>
    </row>
    <row r="913" spans="1:33" ht="12" customHeight="1">
      <c r="A913" s="25">
        <v>41379</v>
      </c>
      <c r="B913" s="372" t="s">
        <v>1987</v>
      </c>
      <c r="C913" s="219" t="s">
        <v>162</v>
      </c>
      <c r="D913" s="372" t="s">
        <v>6245</v>
      </c>
      <c r="E913" s="372" t="s">
        <v>6246</v>
      </c>
      <c r="F913" s="205">
        <v>2</v>
      </c>
      <c r="G913" s="372" t="s">
        <v>6247</v>
      </c>
      <c r="H913" s="31">
        <v>87</v>
      </c>
      <c r="I913" s="27">
        <f t="shared" si="28"/>
        <v>174</v>
      </c>
      <c r="J913" s="28" t="s">
        <v>6753</v>
      </c>
      <c r="K913" s="25">
        <v>41380</v>
      </c>
      <c r="M913" s="56">
        <v>41390</v>
      </c>
      <c r="N913" s="97" t="s">
        <v>166</v>
      </c>
      <c r="O913" s="28" t="s">
        <v>6706</v>
      </c>
      <c r="P913" s="32">
        <v>5266</v>
      </c>
      <c r="Q913" s="56">
        <v>41401</v>
      </c>
    </row>
    <row r="914" spans="1:33" ht="12" customHeight="1">
      <c r="A914" s="25">
        <v>41379</v>
      </c>
      <c r="B914" s="373" t="s">
        <v>1994</v>
      </c>
      <c r="C914" s="1" t="s">
        <v>6347</v>
      </c>
      <c r="D914" s="1" t="s">
        <v>6349</v>
      </c>
      <c r="E914" s="1" t="s">
        <v>6348</v>
      </c>
      <c r="F914" s="373">
        <v>4</v>
      </c>
      <c r="G914" s="373" t="s">
        <v>6289</v>
      </c>
      <c r="H914" s="31">
        <v>96.2</v>
      </c>
      <c r="I914" s="27">
        <f>H914*F914</f>
        <v>384.8</v>
      </c>
      <c r="J914" s="28" t="s">
        <v>6411</v>
      </c>
      <c r="K914" s="25">
        <v>41386</v>
      </c>
      <c r="M914" s="56">
        <v>41381</v>
      </c>
      <c r="N914" s="29" t="s">
        <v>6286</v>
      </c>
      <c r="O914" s="28" t="s">
        <v>7014</v>
      </c>
      <c r="P914" s="32">
        <v>2557</v>
      </c>
      <c r="Q914" s="56">
        <v>41418</v>
      </c>
      <c r="R914" s="373"/>
      <c r="S914" s="373"/>
      <c r="T914" s="373"/>
      <c r="U914" s="373"/>
      <c r="V914" s="373"/>
      <c r="W914" s="373"/>
      <c r="X914" s="373"/>
      <c r="Y914" s="373"/>
      <c r="Z914" s="373"/>
      <c r="AA914" s="373"/>
      <c r="AB914" s="373"/>
      <c r="AC914" s="373"/>
      <c r="AD914" s="373"/>
      <c r="AE914" s="373"/>
      <c r="AF914" s="373"/>
      <c r="AG914" s="373"/>
    </row>
    <row r="915" spans="1:33" ht="12" customHeight="1">
      <c r="A915" s="25">
        <v>41379</v>
      </c>
      <c r="B915" s="372" t="s">
        <v>6255</v>
      </c>
      <c r="C915" s="219" t="s">
        <v>162</v>
      </c>
      <c r="D915" s="372" t="s">
        <v>52</v>
      </c>
      <c r="E915" s="372">
        <v>9032</v>
      </c>
      <c r="F915" s="372">
        <v>10000</v>
      </c>
      <c r="G915" s="372" t="s">
        <v>170</v>
      </c>
      <c r="H915" s="31">
        <v>1.56</v>
      </c>
      <c r="I915" s="27">
        <f>H915*F915</f>
        <v>15600</v>
      </c>
      <c r="J915" s="28" t="s">
        <v>6413</v>
      </c>
      <c r="K915" s="25">
        <v>41387</v>
      </c>
      <c r="M915" s="56">
        <v>41380</v>
      </c>
      <c r="N915" s="29" t="s">
        <v>6286</v>
      </c>
      <c r="R915" s="372"/>
      <c r="S915" s="372"/>
      <c r="T915" s="372"/>
      <c r="U915" s="372"/>
      <c r="V915" s="372"/>
      <c r="W915" s="372"/>
      <c r="X915" s="372"/>
      <c r="Y915" s="372"/>
      <c r="Z915" s="372"/>
      <c r="AA915" s="372"/>
      <c r="AB915" s="372"/>
      <c r="AC915" s="372"/>
      <c r="AD915" s="372"/>
      <c r="AE915" s="372"/>
      <c r="AF915" s="372"/>
      <c r="AG915" s="372"/>
    </row>
    <row r="916" spans="1:33" ht="12" customHeight="1">
      <c r="A916" s="25">
        <v>41380</v>
      </c>
      <c r="B916" s="372" t="s">
        <v>228</v>
      </c>
      <c r="C916" s="219" t="s">
        <v>162</v>
      </c>
      <c r="D916" s="5" t="s">
        <v>6218</v>
      </c>
      <c r="E916" s="238" t="s">
        <v>6169</v>
      </c>
      <c r="F916" s="1">
        <v>35</v>
      </c>
      <c r="G916" s="1" t="s">
        <v>174</v>
      </c>
      <c r="H916" s="31">
        <v>23.92</v>
      </c>
      <c r="I916" s="27">
        <f>H916*F916</f>
        <v>837.2</v>
      </c>
      <c r="J916" s="28" t="s">
        <v>6256</v>
      </c>
      <c r="K916" s="25">
        <v>41380</v>
      </c>
      <c r="M916" s="56">
        <v>41392</v>
      </c>
      <c r="N916" s="29" t="s">
        <v>166</v>
      </c>
    </row>
    <row r="917" spans="1:33" ht="12" customHeight="1">
      <c r="A917" s="25">
        <v>41380</v>
      </c>
      <c r="B917" s="372" t="s">
        <v>228</v>
      </c>
      <c r="C917" s="219" t="s">
        <v>162</v>
      </c>
      <c r="D917" s="5" t="s">
        <v>6219</v>
      </c>
      <c r="E917" s="238">
        <v>4620</v>
      </c>
      <c r="F917" s="1">
        <v>43</v>
      </c>
      <c r="G917" s="1" t="s">
        <v>174</v>
      </c>
      <c r="H917" s="31">
        <v>17.79</v>
      </c>
      <c r="I917" s="27">
        <f>F917*H917</f>
        <v>764.96999999999991</v>
      </c>
      <c r="J917" s="28" t="s">
        <v>6256</v>
      </c>
      <c r="K917" s="25">
        <v>41380</v>
      </c>
      <c r="M917" s="56">
        <v>41392</v>
      </c>
      <c r="N917" s="29" t="s">
        <v>166</v>
      </c>
    </row>
    <row r="918" spans="1:33" ht="12" customHeight="1">
      <c r="A918" s="25">
        <v>41380</v>
      </c>
      <c r="B918" s="372" t="s">
        <v>228</v>
      </c>
      <c r="C918" s="219" t="s">
        <v>162</v>
      </c>
      <c r="D918" s="5" t="s">
        <v>182</v>
      </c>
      <c r="E918" s="238" t="s">
        <v>186</v>
      </c>
      <c r="F918" s="205">
        <v>3000</v>
      </c>
      <c r="G918" s="372" t="s">
        <v>6249</v>
      </c>
      <c r="H918" s="31">
        <v>1.54</v>
      </c>
      <c r="I918" s="27">
        <f t="shared" ref="I918:I938" si="29">H918*F918</f>
        <v>4620</v>
      </c>
      <c r="J918" s="28" t="s">
        <v>6256</v>
      </c>
      <c r="K918" s="25">
        <v>41380</v>
      </c>
      <c r="M918" s="56">
        <v>41392</v>
      </c>
      <c r="N918" s="29" t="s">
        <v>166</v>
      </c>
    </row>
    <row r="919" spans="1:33" ht="12" customHeight="1">
      <c r="A919" s="25">
        <v>41380</v>
      </c>
      <c r="B919" s="372" t="s">
        <v>228</v>
      </c>
      <c r="C919" s="219" t="s">
        <v>162</v>
      </c>
      <c r="D919" s="1" t="s">
        <v>268</v>
      </c>
      <c r="E919" s="238" t="s">
        <v>177</v>
      </c>
      <c r="F919" s="372">
        <v>100</v>
      </c>
      <c r="G919" s="372" t="s">
        <v>171</v>
      </c>
      <c r="H919" s="31">
        <v>1.53</v>
      </c>
      <c r="I919" s="27">
        <f t="shared" si="29"/>
        <v>153</v>
      </c>
      <c r="J919" s="28" t="s">
        <v>6256</v>
      </c>
      <c r="K919" s="25">
        <v>41380</v>
      </c>
      <c r="M919" s="56">
        <v>41392</v>
      </c>
      <c r="N919" s="29" t="s">
        <v>166</v>
      </c>
    </row>
    <row r="920" spans="1:33" ht="12" customHeight="1">
      <c r="A920" s="25">
        <v>41380</v>
      </c>
      <c r="B920" s="372" t="s">
        <v>228</v>
      </c>
      <c r="C920" s="219" t="s">
        <v>162</v>
      </c>
      <c r="D920" s="5" t="s">
        <v>1880</v>
      </c>
      <c r="E920" s="238">
        <v>4620</v>
      </c>
      <c r="F920" s="205">
        <v>1</v>
      </c>
      <c r="G920" s="372" t="s">
        <v>6276</v>
      </c>
      <c r="H920" s="31">
        <v>17.79</v>
      </c>
      <c r="I920" s="27">
        <f t="shared" si="29"/>
        <v>17.79</v>
      </c>
      <c r="J920" s="28" t="s">
        <v>6277</v>
      </c>
      <c r="K920" s="25">
        <v>41380</v>
      </c>
      <c r="M920" s="56">
        <v>41392</v>
      </c>
      <c r="N920" s="29" t="s">
        <v>166</v>
      </c>
    </row>
    <row r="921" spans="1:33" ht="12" customHeight="1">
      <c r="A921" s="25">
        <v>41380</v>
      </c>
      <c r="B921" s="373" t="s">
        <v>1985</v>
      </c>
      <c r="C921" s="1" t="s">
        <v>6177</v>
      </c>
      <c r="D921" s="373" t="s">
        <v>6223</v>
      </c>
      <c r="E921" s="373">
        <v>110110</v>
      </c>
      <c r="F921" s="373">
        <v>200</v>
      </c>
      <c r="G921" s="373" t="s">
        <v>172</v>
      </c>
      <c r="H921" s="31">
        <v>13.12</v>
      </c>
      <c r="I921" s="27">
        <f t="shared" si="29"/>
        <v>2624</v>
      </c>
      <c r="J921" s="28" t="s">
        <v>6401</v>
      </c>
      <c r="K921" s="25">
        <v>41383</v>
      </c>
      <c r="M921" s="56">
        <v>41383</v>
      </c>
      <c r="N921" s="29" t="s">
        <v>166</v>
      </c>
    </row>
    <row r="922" spans="1:33" ht="12" customHeight="1">
      <c r="A922" s="25">
        <v>41380</v>
      </c>
      <c r="B922" s="373" t="s">
        <v>1985</v>
      </c>
      <c r="C922" s="219" t="s">
        <v>162</v>
      </c>
      <c r="D922" s="373" t="s">
        <v>5047</v>
      </c>
      <c r="E922" s="196">
        <v>8210</v>
      </c>
      <c r="F922" s="205">
        <v>1600</v>
      </c>
      <c r="G922" s="373" t="s">
        <v>6288</v>
      </c>
      <c r="H922" s="31">
        <v>3.78</v>
      </c>
      <c r="I922" s="27">
        <f t="shared" si="29"/>
        <v>6048</v>
      </c>
      <c r="J922" s="28" t="s">
        <v>6401</v>
      </c>
      <c r="K922" s="25">
        <v>41383</v>
      </c>
      <c r="M922" s="56">
        <v>41383</v>
      </c>
      <c r="N922" s="29" t="s">
        <v>166</v>
      </c>
    </row>
    <row r="923" spans="1:33" ht="12" customHeight="1">
      <c r="A923" s="25">
        <v>41380</v>
      </c>
      <c r="B923" s="373" t="s">
        <v>1985</v>
      </c>
      <c r="C923" s="220" t="s">
        <v>7</v>
      </c>
      <c r="D923" s="373" t="s">
        <v>5062</v>
      </c>
      <c r="E923" s="196">
        <v>3985</v>
      </c>
      <c r="F923" s="205">
        <v>200</v>
      </c>
      <c r="G923" s="373" t="s">
        <v>6289</v>
      </c>
      <c r="H923" s="31">
        <v>6.8</v>
      </c>
      <c r="I923" s="27">
        <f t="shared" si="29"/>
        <v>1360</v>
      </c>
      <c r="J923" s="28" t="s">
        <v>6401</v>
      </c>
      <c r="K923" s="25">
        <v>41383</v>
      </c>
      <c r="M923" s="56">
        <v>41383</v>
      </c>
      <c r="N923" s="29" t="s">
        <v>166</v>
      </c>
    </row>
    <row r="924" spans="1:33" ht="12" customHeight="1">
      <c r="A924" s="25">
        <v>41380</v>
      </c>
      <c r="B924" s="373" t="s">
        <v>1985</v>
      </c>
      <c r="C924" s="219" t="s">
        <v>162</v>
      </c>
      <c r="D924" s="1" t="s">
        <v>6171</v>
      </c>
      <c r="E924" s="373" t="s">
        <v>6287</v>
      </c>
      <c r="F924" s="205">
        <v>3</v>
      </c>
      <c r="G924" s="373" t="s">
        <v>6288</v>
      </c>
      <c r="H924" s="31">
        <v>133.69999999999999</v>
      </c>
      <c r="I924" s="27">
        <f t="shared" si="29"/>
        <v>401.09999999999997</v>
      </c>
      <c r="J924" s="28" t="s">
        <v>6401</v>
      </c>
      <c r="K924" s="25">
        <v>41383</v>
      </c>
      <c r="M924" s="56">
        <v>41383</v>
      </c>
      <c r="N924" s="29" t="s">
        <v>166</v>
      </c>
      <c r="R924" s="375" t="s">
        <v>6321</v>
      </c>
    </row>
    <row r="925" spans="1:33" ht="12" customHeight="1">
      <c r="A925" s="25">
        <v>41382</v>
      </c>
      <c r="B925" s="375" t="s">
        <v>1979</v>
      </c>
      <c r="C925" s="219" t="s">
        <v>167</v>
      </c>
      <c r="D925" s="375" t="s">
        <v>5775</v>
      </c>
      <c r="E925" s="375" t="s">
        <v>167</v>
      </c>
      <c r="F925" s="375">
        <v>40</v>
      </c>
      <c r="G925" s="375" t="s">
        <v>1071</v>
      </c>
      <c r="H925" s="31">
        <v>3.8</v>
      </c>
      <c r="I925" s="27">
        <f t="shared" si="29"/>
        <v>152</v>
      </c>
      <c r="J925" s="28" t="s">
        <v>6331</v>
      </c>
      <c r="K925" s="25">
        <v>41382</v>
      </c>
      <c r="M925" s="56">
        <v>41390</v>
      </c>
      <c r="N925" s="29" t="s">
        <v>6535</v>
      </c>
    </row>
    <row r="926" spans="1:33" ht="12" customHeight="1">
      <c r="A926" s="25">
        <v>41382</v>
      </c>
      <c r="B926" s="375" t="s">
        <v>1979</v>
      </c>
      <c r="C926" s="219" t="s">
        <v>167</v>
      </c>
      <c r="D926" s="375" t="s">
        <v>5679</v>
      </c>
      <c r="E926" s="375" t="s">
        <v>167</v>
      </c>
      <c r="F926" s="375">
        <v>20</v>
      </c>
      <c r="G926" s="375" t="s">
        <v>1071</v>
      </c>
      <c r="H926" s="31">
        <v>30</v>
      </c>
      <c r="I926" s="27">
        <f t="shared" si="29"/>
        <v>600</v>
      </c>
      <c r="J926" s="28" t="s">
        <v>6331</v>
      </c>
      <c r="K926" s="25">
        <v>41382</v>
      </c>
      <c r="M926" s="56">
        <v>41390</v>
      </c>
      <c r="N926" s="29" t="s">
        <v>6535</v>
      </c>
    </row>
    <row r="927" spans="1:33" ht="12" customHeight="1">
      <c r="A927" s="25">
        <v>41382</v>
      </c>
      <c r="B927" s="376" t="s">
        <v>5079</v>
      </c>
      <c r="C927" s="219" t="s">
        <v>6366</v>
      </c>
      <c r="D927" s="376" t="s">
        <v>6367</v>
      </c>
      <c r="E927" s="388" t="s">
        <v>6368</v>
      </c>
      <c r="F927" s="376">
        <v>240</v>
      </c>
      <c r="G927" s="376" t="s">
        <v>6369</v>
      </c>
      <c r="H927" s="31">
        <v>35</v>
      </c>
      <c r="I927" s="27">
        <f t="shared" si="29"/>
        <v>8400</v>
      </c>
      <c r="J927" s="28" t="s">
        <v>6605</v>
      </c>
      <c r="K927" s="25">
        <v>41392</v>
      </c>
      <c r="O927" s="28" t="s">
        <v>7001</v>
      </c>
      <c r="P927" s="32">
        <v>9550</v>
      </c>
      <c r="Q927" s="56">
        <v>41417</v>
      </c>
      <c r="R927" s="376"/>
      <c r="S927" s="376"/>
      <c r="T927" s="376"/>
      <c r="U927" s="376"/>
      <c r="V927" s="376"/>
      <c r="W927" s="376"/>
      <c r="X927" s="376"/>
      <c r="Y927" s="376"/>
      <c r="Z927" s="376"/>
      <c r="AA927" s="376"/>
      <c r="AB927" s="376"/>
      <c r="AC927" s="376"/>
      <c r="AD927" s="376"/>
      <c r="AE927" s="376"/>
      <c r="AF927" s="376"/>
      <c r="AG927" s="376"/>
    </row>
    <row r="928" spans="1:33" ht="12" customHeight="1">
      <c r="A928" s="25">
        <v>41383</v>
      </c>
      <c r="B928" s="376" t="s">
        <v>6344</v>
      </c>
      <c r="C928" s="219" t="s">
        <v>162</v>
      </c>
      <c r="D928" s="376" t="s">
        <v>1944</v>
      </c>
      <c r="E928" s="28">
        <v>8515</v>
      </c>
      <c r="F928" s="205">
        <v>1</v>
      </c>
      <c r="G928" s="376" t="s">
        <v>170</v>
      </c>
      <c r="H928" s="31">
        <v>18.96</v>
      </c>
      <c r="I928" s="27">
        <f t="shared" si="29"/>
        <v>18.96</v>
      </c>
      <c r="J928" s="28" t="s">
        <v>6345</v>
      </c>
      <c r="K928" s="25">
        <v>41383</v>
      </c>
      <c r="M928" s="56">
        <v>41392</v>
      </c>
      <c r="N928" s="29" t="s">
        <v>165</v>
      </c>
      <c r="O928" s="28" t="s">
        <v>175</v>
      </c>
    </row>
    <row r="929" spans="1:33" ht="12" customHeight="1">
      <c r="A929" s="25">
        <v>41383</v>
      </c>
      <c r="B929" s="376" t="s">
        <v>1980</v>
      </c>
      <c r="C929" s="220" t="s">
        <v>7</v>
      </c>
      <c r="D929" s="376" t="s">
        <v>4977</v>
      </c>
      <c r="E929" s="376" t="s">
        <v>6370</v>
      </c>
      <c r="F929" s="205">
        <v>500</v>
      </c>
      <c r="G929" s="376" t="s">
        <v>6350</v>
      </c>
      <c r="H929" s="31">
        <v>1.35</v>
      </c>
      <c r="I929" s="27">
        <f t="shared" si="29"/>
        <v>675</v>
      </c>
      <c r="J929" s="28" t="s">
        <v>6388</v>
      </c>
      <c r="K929" s="25">
        <v>41383</v>
      </c>
      <c r="M929" s="56">
        <v>41386</v>
      </c>
      <c r="N929" s="29" t="s">
        <v>166</v>
      </c>
      <c r="O929" s="28" t="s">
        <v>6400</v>
      </c>
      <c r="P929" s="32">
        <v>2792</v>
      </c>
      <c r="Q929" s="56">
        <v>41383</v>
      </c>
    </row>
    <row r="930" spans="1:33" ht="12" customHeight="1">
      <c r="A930" s="25">
        <v>41383</v>
      </c>
      <c r="B930" s="376" t="s">
        <v>1980</v>
      </c>
      <c r="C930" s="219" t="s">
        <v>162</v>
      </c>
      <c r="D930" s="1" t="s">
        <v>1867</v>
      </c>
      <c r="E930" s="196">
        <v>6006</v>
      </c>
      <c r="F930" s="205">
        <v>20</v>
      </c>
      <c r="G930" s="376" t="s">
        <v>6339</v>
      </c>
      <c r="H930" s="31">
        <v>55.3</v>
      </c>
      <c r="I930" s="27">
        <f t="shared" si="29"/>
        <v>1106</v>
      </c>
      <c r="J930" s="28" t="s">
        <v>6388</v>
      </c>
      <c r="K930" s="25">
        <v>41383</v>
      </c>
      <c r="M930" s="56">
        <v>41386</v>
      </c>
      <c r="N930" s="29" t="s">
        <v>166</v>
      </c>
      <c r="O930" s="28" t="s">
        <v>6400</v>
      </c>
      <c r="P930" s="32">
        <v>2792</v>
      </c>
      <c r="Q930" s="56">
        <v>41383</v>
      </c>
    </row>
    <row r="931" spans="1:33" ht="12" customHeight="1">
      <c r="A931" s="25">
        <v>41383</v>
      </c>
      <c r="B931" s="376" t="s">
        <v>1980</v>
      </c>
      <c r="C931" s="219" t="s">
        <v>162</v>
      </c>
      <c r="D931" s="1" t="s">
        <v>1218</v>
      </c>
      <c r="E931" s="196">
        <v>6004</v>
      </c>
      <c r="F931" s="205">
        <v>10</v>
      </c>
      <c r="G931" s="376" t="s">
        <v>6339</v>
      </c>
      <c r="H931" s="31">
        <v>41.6</v>
      </c>
      <c r="I931" s="27">
        <f t="shared" si="29"/>
        <v>416</v>
      </c>
      <c r="J931" s="28" t="s">
        <v>6388</v>
      </c>
      <c r="K931" s="25">
        <v>41383</v>
      </c>
      <c r="M931" s="56">
        <v>41386</v>
      </c>
      <c r="N931" s="29" t="s">
        <v>166</v>
      </c>
      <c r="O931" s="28" t="s">
        <v>6400</v>
      </c>
      <c r="P931" s="32">
        <v>2792</v>
      </c>
      <c r="Q931" s="56">
        <v>41383</v>
      </c>
    </row>
    <row r="932" spans="1:33" ht="12" customHeight="1">
      <c r="A932" s="25">
        <v>41383</v>
      </c>
      <c r="B932" s="376" t="s">
        <v>1980</v>
      </c>
      <c r="C932" s="219" t="s">
        <v>861</v>
      </c>
      <c r="D932" s="376" t="s">
        <v>6375</v>
      </c>
      <c r="E932" s="65" t="s">
        <v>860</v>
      </c>
      <c r="F932" s="376">
        <v>7</v>
      </c>
      <c r="G932" s="376" t="s">
        <v>192</v>
      </c>
      <c r="H932" s="31">
        <v>85</v>
      </c>
      <c r="I932" s="27">
        <f t="shared" si="29"/>
        <v>595</v>
      </c>
      <c r="J932" s="28" t="s">
        <v>6388</v>
      </c>
      <c r="K932" s="25">
        <v>41383</v>
      </c>
      <c r="M932" s="56">
        <v>41386</v>
      </c>
      <c r="N932" s="29" t="s">
        <v>166</v>
      </c>
      <c r="O932" s="28" t="s">
        <v>6400</v>
      </c>
      <c r="P932" s="32">
        <v>2792</v>
      </c>
      <c r="Q932" s="56">
        <v>41383</v>
      </c>
      <c r="R932" s="376"/>
      <c r="S932" s="376"/>
      <c r="T932" s="376"/>
      <c r="U932" s="376"/>
      <c r="V932" s="376"/>
      <c r="W932" s="376"/>
      <c r="X932" s="376"/>
      <c r="Y932" s="376"/>
      <c r="Z932" s="376"/>
      <c r="AA932" s="376"/>
      <c r="AB932" s="376"/>
      <c r="AC932" s="376"/>
      <c r="AD932" s="376"/>
      <c r="AE932" s="376"/>
      <c r="AF932" s="376"/>
      <c r="AG932" s="376"/>
    </row>
    <row r="933" spans="1:33" ht="12" customHeight="1">
      <c r="A933" s="25">
        <v>41383</v>
      </c>
      <c r="B933" s="376" t="s">
        <v>1979</v>
      </c>
      <c r="C933" s="219" t="s">
        <v>162</v>
      </c>
      <c r="D933" s="1" t="s">
        <v>6374</v>
      </c>
      <c r="E933" s="196">
        <v>6100</v>
      </c>
      <c r="F933" s="205">
        <v>2</v>
      </c>
      <c r="G933" s="376" t="s">
        <v>6339</v>
      </c>
      <c r="H933" s="31">
        <v>87.5</v>
      </c>
      <c r="I933" s="27">
        <f t="shared" si="29"/>
        <v>175</v>
      </c>
      <c r="J933" s="28" t="s">
        <v>6371</v>
      </c>
      <c r="K933" s="25">
        <v>41383</v>
      </c>
      <c r="M933" s="56">
        <v>41390</v>
      </c>
      <c r="N933" s="29" t="s">
        <v>6535</v>
      </c>
    </row>
    <row r="934" spans="1:33" ht="12" customHeight="1">
      <c r="A934" s="25">
        <v>41383</v>
      </c>
      <c r="B934" s="376" t="s">
        <v>1979</v>
      </c>
      <c r="C934" s="219" t="s">
        <v>162</v>
      </c>
      <c r="D934" s="376" t="s">
        <v>240</v>
      </c>
      <c r="E934" s="196">
        <v>6200</v>
      </c>
      <c r="F934" s="205">
        <v>-30</v>
      </c>
      <c r="G934" s="376" t="s">
        <v>6339</v>
      </c>
      <c r="H934" s="31">
        <v>44.5</v>
      </c>
      <c r="I934" s="27">
        <f t="shared" si="29"/>
        <v>-1335</v>
      </c>
      <c r="J934" s="28" t="s">
        <v>6359</v>
      </c>
      <c r="K934" s="25" t="s">
        <v>6372</v>
      </c>
      <c r="M934" s="56">
        <v>41390</v>
      </c>
      <c r="N934" s="29" t="s">
        <v>6535</v>
      </c>
    </row>
    <row r="935" spans="1:33" ht="12" customHeight="1">
      <c r="A935" s="25">
        <v>41383</v>
      </c>
      <c r="B935" s="376" t="s">
        <v>5079</v>
      </c>
      <c r="C935" s="219" t="s">
        <v>6404</v>
      </c>
      <c r="D935" s="376" t="s">
        <v>6376</v>
      </c>
      <c r="E935" s="1" t="s">
        <v>6402</v>
      </c>
      <c r="F935" s="205">
        <v>20</v>
      </c>
      <c r="G935" s="376" t="s">
        <v>6338</v>
      </c>
      <c r="H935" s="31">
        <v>57.5</v>
      </c>
      <c r="I935" s="27">
        <f t="shared" si="29"/>
        <v>1150</v>
      </c>
      <c r="J935" s="28" t="s">
        <v>6403</v>
      </c>
      <c r="K935" s="25">
        <v>41386</v>
      </c>
      <c r="O935" s="28" t="s">
        <v>7001</v>
      </c>
      <c r="P935" s="32">
        <v>9550</v>
      </c>
      <c r="Q935" s="56">
        <v>41417</v>
      </c>
    </row>
    <row r="936" spans="1:33" ht="12" customHeight="1">
      <c r="A936" s="25">
        <v>41383</v>
      </c>
      <c r="B936" s="312" t="s">
        <v>5134</v>
      </c>
      <c r="C936" s="219" t="s">
        <v>162</v>
      </c>
      <c r="D936" s="1" t="s">
        <v>1763</v>
      </c>
      <c r="E936" s="196">
        <v>1860</v>
      </c>
      <c r="F936" s="205">
        <v>1200</v>
      </c>
      <c r="G936" s="376" t="s">
        <v>6339</v>
      </c>
      <c r="H936" s="31">
        <v>13.2</v>
      </c>
      <c r="I936" s="27">
        <f t="shared" si="29"/>
        <v>15840</v>
      </c>
      <c r="J936" s="28" t="s">
        <v>6463</v>
      </c>
      <c r="K936" s="25">
        <v>41388</v>
      </c>
      <c r="M936" s="56">
        <v>41383</v>
      </c>
      <c r="N936" s="29" t="s">
        <v>6354</v>
      </c>
      <c r="O936" s="28" t="s">
        <v>7180</v>
      </c>
      <c r="P936" s="32">
        <v>66676</v>
      </c>
      <c r="Q936" s="56">
        <v>41418</v>
      </c>
    </row>
    <row r="937" spans="1:33" ht="12" customHeight="1">
      <c r="A937" s="25">
        <v>41386</v>
      </c>
      <c r="B937" s="379" t="s">
        <v>1975</v>
      </c>
      <c r="C937" s="219" t="s">
        <v>162</v>
      </c>
      <c r="D937" s="1" t="s">
        <v>1749</v>
      </c>
      <c r="E937" s="28">
        <v>1621</v>
      </c>
      <c r="F937" s="205">
        <v>100</v>
      </c>
      <c r="G937" s="379" t="s">
        <v>172</v>
      </c>
      <c r="H937" s="31">
        <v>8.84</v>
      </c>
      <c r="I937" s="27">
        <f t="shared" si="29"/>
        <v>884</v>
      </c>
      <c r="J937" s="28" t="s">
        <v>6410</v>
      </c>
      <c r="K937" s="25">
        <v>41386</v>
      </c>
      <c r="M937" s="56">
        <v>41392</v>
      </c>
      <c r="N937" s="29" t="s">
        <v>166</v>
      </c>
    </row>
    <row r="938" spans="1:33" ht="12" customHeight="1">
      <c r="A938" s="25">
        <v>41386</v>
      </c>
      <c r="B938" s="379" t="s">
        <v>1985</v>
      </c>
      <c r="C938" s="220" t="s">
        <v>7</v>
      </c>
      <c r="D938" s="379" t="s">
        <v>6430</v>
      </c>
      <c r="E938" s="379" t="s">
        <v>6428</v>
      </c>
      <c r="F938" s="205">
        <v>30</v>
      </c>
      <c r="G938" s="379" t="s">
        <v>6429</v>
      </c>
      <c r="H938" s="31">
        <v>7.8</v>
      </c>
      <c r="I938" s="27">
        <f t="shared" si="29"/>
        <v>234</v>
      </c>
      <c r="J938" s="28" t="s">
        <v>6413</v>
      </c>
      <c r="K938" s="25">
        <v>41386</v>
      </c>
      <c r="M938" s="56">
        <v>41390</v>
      </c>
      <c r="N938" s="29" t="s">
        <v>166</v>
      </c>
    </row>
    <row r="939" spans="1:33" ht="12" customHeight="1">
      <c r="A939" s="25">
        <v>41386</v>
      </c>
      <c r="B939" s="379" t="s">
        <v>1981</v>
      </c>
      <c r="C939" s="219" t="s">
        <v>861</v>
      </c>
      <c r="D939" s="384" t="s">
        <v>6553</v>
      </c>
      <c r="E939" s="384" t="s">
        <v>6552</v>
      </c>
      <c r="F939" s="205">
        <v>50</v>
      </c>
      <c r="G939" s="379" t="s">
        <v>6429</v>
      </c>
      <c r="H939" s="31">
        <v>4.5</v>
      </c>
      <c r="I939" s="27">
        <f t="shared" ref="I939:I952" si="30">F939*H939</f>
        <v>225</v>
      </c>
      <c r="J939" s="28" t="s">
        <v>6538</v>
      </c>
      <c r="K939" s="25">
        <v>41390</v>
      </c>
      <c r="M939" s="56">
        <v>41387</v>
      </c>
      <c r="N939" s="29" t="s">
        <v>166</v>
      </c>
      <c r="O939" s="28" t="s">
        <v>6800</v>
      </c>
      <c r="P939" s="32">
        <v>225</v>
      </c>
      <c r="Q939" s="56">
        <v>41402</v>
      </c>
    </row>
    <row r="940" spans="1:33" ht="12" customHeight="1">
      <c r="A940" s="25">
        <v>41386</v>
      </c>
      <c r="B940" s="312" t="s">
        <v>5134</v>
      </c>
      <c r="C940" s="219" t="s">
        <v>162</v>
      </c>
      <c r="D940" s="379" t="s">
        <v>1916</v>
      </c>
      <c r="E940" s="379">
        <v>6800</v>
      </c>
      <c r="F940" s="379">
        <v>4</v>
      </c>
      <c r="G940" s="379" t="s">
        <v>170</v>
      </c>
      <c r="H940" s="31">
        <v>420</v>
      </c>
      <c r="I940" s="27">
        <f t="shared" si="30"/>
        <v>1680</v>
      </c>
      <c r="J940" s="28" t="s">
        <v>6463</v>
      </c>
      <c r="K940" s="25">
        <v>41388</v>
      </c>
      <c r="M940" s="56">
        <v>41387</v>
      </c>
      <c r="N940" s="29" t="s">
        <v>166</v>
      </c>
      <c r="O940" s="28" t="s">
        <v>7180</v>
      </c>
      <c r="P940" s="32">
        <v>66676</v>
      </c>
      <c r="Q940" s="56">
        <v>41418</v>
      </c>
    </row>
    <row r="941" spans="1:33" ht="12" customHeight="1">
      <c r="A941" s="25">
        <v>41386</v>
      </c>
      <c r="B941" s="312" t="s">
        <v>5134</v>
      </c>
      <c r="C941" s="219" t="s">
        <v>162</v>
      </c>
      <c r="D941" s="379" t="s">
        <v>182</v>
      </c>
      <c r="E941" s="379" t="s">
        <v>194</v>
      </c>
      <c r="F941" s="379">
        <v>400</v>
      </c>
      <c r="G941" s="379" t="s">
        <v>171</v>
      </c>
      <c r="H941" s="31">
        <v>4.75</v>
      </c>
      <c r="I941" s="27">
        <f t="shared" si="30"/>
        <v>1900</v>
      </c>
      <c r="J941" s="28" t="s">
        <v>6463</v>
      </c>
      <c r="K941" s="25">
        <v>41388</v>
      </c>
      <c r="M941" s="56">
        <v>41387</v>
      </c>
      <c r="N941" s="29" t="s">
        <v>166</v>
      </c>
      <c r="O941" s="28" t="s">
        <v>7180</v>
      </c>
      <c r="P941" s="32">
        <v>66676</v>
      </c>
      <c r="Q941" s="56">
        <v>41418</v>
      </c>
    </row>
    <row r="942" spans="1:33" ht="12" customHeight="1">
      <c r="A942" s="25">
        <v>41387</v>
      </c>
      <c r="B942" s="380" t="s">
        <v>1979</v>
      </c>
      <c r="C942" s="219" t="s">
        <v>162</v>
      </c>
      <c r="D942" s="1" t="s">
        <v>1764</v>
      </c>
      <c r="E942" s="380" t="s">
        <v>6435</v>
      </c>
      <c r="F942" s="205">
        <v>2500</v>
      </c>
      <c r="G942" s="380" t="s">
        <v>6415</v>
      </c>
      <c r="H942" s="31">
        <v>1.62</v>
      </c>
      <c r="I942" s="27">
        <f t="shared" si="30"/>
        <v>4050.0000000000005</v>
      </c>
      <c r="J942" s="28" t="s">
        <v>6454</v>
      </c>
      <c r="K942" s="25">
        <v>41387</v>
      </c>
      <c r="M942" s="56">
        <v>41387</v>
      </c>
      <c r="N942" s="29" t="s">
        <v>165</v>
      </c>
      <c r="O942" s="28" t="s">
        <v>6437</v>
      </c>
    </row>
    <row r="943" spans="1:33" ht="12" customHeight="1">
      <c r="A943" s="25">
        <v>41387</v>
      </c>
      <c r="B943" s="380" t="s">
        <v>1980</v>
      </c>
      <c r="C943" s="219" t="s">
        <v>162</v>
      </c>
      <c r="D943" s="380" t="s">
        <v>6451</v>
      </c>
      <c r="E943" s="196">
        <v>6281</v>
      </c>
      <c r="F943" s="205">
        <v>30</v>
      </c>
      <c r="G943" s="380" t="s">
        <v>6415</v>
      </c>
      <c r="H943" s="31">
        <v>15.5</v>
      </c>
      <c r="I943" s="27">
        <f t="shared" si="30"/>
        <v>465</v>
      </c>
      <c r="J943" s="28" t="s">
        <v>6463</v>
      </c>
      <c r="K943" s="25">
        <v>41387</v>
      </c>
      <c r="M943" s="56">
        <v>41387</v>
      </c>
      <c r="N943" s="29" t="s">
        <v>166</v>
      </c>
      <c r="O943" s="28" t="s">
        <v>6464</v>
      </c>
      <c r="P943" s="32">
        <v>2847</v>
      </c>
      <c r="Q943" s="56">
        <v>41387</v>
      </c>
    </row>
    <row r="944" spans="1:33" ht="12" customHeight="1">
      <c r="A944" s="25">
        <v>41387</v>
      </c>
      <c r="B944" s="380" t="s">
        <v>1980</v>
      </c>
      <c r="C944" s="219" t="s">
        <v>162</v>
      </c>
      <c r="D944" s="380" t="s">
        <v>1916</v>
      </c>
      <c r="E944" s="196">
        <v>6800</v>
      </c>
      <c r="F944" s="205">
        <v>3</v>
      </c>
      <c r="G944" s="380" t="s">
        <v>6415</v>
      </c>
      <c r="H944" s="31">
        <v>429</v>
      </c>
      <c r="I944" s="27">
        <f t="shared" si="30"/>
        <v>1287</v>
      </c>
      <c r="J944" s="28" t="s">
        <v>6463</v>
      </c>
      <c r="K944" s="25">
        <v>41387</v>
      </c>
      <c r="M944" s="56">
        <v>41387</v>
      </c>
      <c r="N944" s="29" t="s">
        <v>166</v>
      </c>
      <c r="O944" s="28" t="s">
        <v>6464</v>
      </c>
      <c r="P944" s="32">
        <v>2847</v>
      </c>
      <c r="Q944" s="56">
        <v>41387</v>
      </c>
    </row>
    <row r="945" spans="1:17" ht="12" customHeight="1">
      <c r="A945" s="25">
        <v>41387</v>
      </c>
      <c r="B945" s="380" t="s">
        <v>1980</v>
      </c>
      <c r="C945" s="219" t="s">
        <v>162</v>
      </c>
      <c r="D945" s="5" t="s">
        <v>346</v>
      </c>
      <c r="E945" s="196">
        <v>3700</v>
      </c>
      <c r="F945" s="205">
        <v>300</v>
      </c>
      <c r="G945" s="380" t="s">
        <v>6415</v>
      </c>
      <c r="H945" s="31">
        <v>3.65</v>
      </c>
      <c r="I945" s="27">
        <f t="shared" si="30"/>
        <v>1095</v>
      </c>
      <c r="J945" s="28" t="s">
        <v>6463</v>
      </c>
      <c r="K945" s="25">
        <v>41387</v>
      </c>
      <c r="M945" s="56">
        <v>41387</v>
      </c>
      <c r="N945" s="29" t="s">
        <v>166</v>
      </c>
      <c r="O945" s="28" t="s">
        <v>6464</v>
      </c>
      <c r="P945" s="32">
        <v>2847</v>
      </c>
      <c r="Q945" s="56">
        <v>41387</v>
      </c>
    </row>
    <row r="946" spans="1:17" ht="12" customHeight="1">
      <c r="A946" s="25">
        <v>41387</v>
      </c>
      <c r="B946" s="380" t="s">
        <v>228</v>
      </c>
      <c r="C946" s="219" t="s">
        <v>162</v>
      </c>
      <c r="D946" s="5" t="s">
        <v>182</v>
      </c>
      <c r="E946" s="238" t="s">
        <v>186</v>
      </c>
      <c r="F946" s="380">
        <v>1500</v>
      </c>
      <c r="G946" s="380" t="s">
        <v>171</v>
      </c>
      <c r="H946" s="31">
        <v>1.54</v>
      </c>
      <c r="I946" s="27">
        <f t="shared" ref="I946" si="31">H946*F946</f>
        <v>2310</v>
      </c>
      <c r="J946" s="28" t="s">
        <v>6452</v>
      </c>
      <c r="K946" s="25">
        <v>41387</v>
      </c>
      <c r="M946" s="56">
        <v>41392</v>
      </c>
      <c r="N946" s="29" t="s">
        <v>166</v>
      </c>
    </row>
    <row r="947" spans="1:17" ht="12" customHeight="1">
      <c r="A947" s="25">
        <v>41387</v>
      </c>
      <c r="B947" s="312" t="s">
        <v>5134</v>
      </c>
      <c r="C947" s="219" t="s">
        <v>162</v>
      </c>
      <c r="D947" s="1" t="s">
        <v>1867</v>
      </c>
      <c r="E947" s="196">
        <v>6006</v>
      </c>
      <c r="F947" s="205">
        <v>60</v>
      </c>
      <c r="G947" s="381" t="s">
        <v>6461</v>
      </c>
      <c r="H947" s="31">
        <v>47.5</v>
      </c>
      <c r="I947" s="27">
        <f t="shared" si="30"/>
        <v>2850</v>
      </c>
      <c r="J947" s="28" t="s">
        <v>167</v>
      </c>
      <c r="K947" s="25">
        <v>41396</v>
      </c>
      <c r="M947" s="56">
        <v>41387</v>
      </c>
      <c r="N947" s="29" t="s">
        <v>166</v>
      </c>
      <c r="O947" s="28" t="s">
        <v>7180</v>
      </c>
      <c r="P947" s="32">
        <v>66676</v>
      </c>
      <c r="Q947" s="56">
        <v>41418</v>
      </c>
    </row>
    <row r="948" spans="1:17" ht="12" customHeight="1">
      <c r="A948" s="25">
        <v>41387</v>
      </c>
      <c r="B948" s="312" t="s">
        <v>5134</v>
      </c>
      <c r="C948" s="219" t="s">
        <v>162</v>
      </c>
      <c r="D948" s="381" t="s">
        <v>240</v>
      </c>
      <c r="E948" s="196">
        <v>6200</v>
      </c>
      <c r="F948" s="205">
        <v>96</v>
      </c>
      <c r="G948" s="381" t="s">
        <v>6461</v>
      </c>
      <c r="H948" s="31">
        <v>44.5</v>
      </c>
      <c r="I948" s="27">
        <f t="shared" si="30"/>
        <v>4272</v>
      </c>
      <c r="J948" s="28" t="s">
        <v>167</v>
      </c>
      <c r="K948" s="25">
        <v>41396</v>
      </c>
      <c r="M948" s="56">
        <v>41387</v>
      </c>
      <c r="N948" s="29" t="s">
        <v>166</v>
      </c>
      <c r="O948" s="28" t="s">
        <v>7180</v>
      </c>
      <c r="P948" s="32">
        <v>66676</v>
      </c>
      <c r="Q948" s="56">
        <v>41418</v>
      </c>
    </row>
    <row r="949" spans="1:17" ht="12" customHeight="1">
      <c r="A949" s="25">
        <v>41387</v>
      </c>
      <c r="B949" s="312" t="s">
        <v>5134</v>
      </c>
      <c r="C949" s="219" t="s">
        <v>162</v>
      </c>
      <c r="D949" s="5" t="s">
        <v>1717</v>
      </c>
      <c r="E949" s="381">
        <v>10435</v>
      </c>
      <c r="F949" s="205">
        <v>100</v>
      </c>
      <c r="G949" s="381" t="s">
        <v>6470</v>
      </c>
      <c r="H949" s="31">
        <v>14.2</v>
      </c>
      <c r="I949" s="27">
        <f t="shared" si="30"/>
        <v>1420</v>
      </c>
      <c r="J949" s="28" t="s">
        <v>167</v>
      </c>
      <c r="K949" s="25">
        <v>41396</v>
      </c>
      <c r="M949" s="56">
        <v>41387</v>
      </c>
      <c r="N949" s="29" t="s">
        <v>166</v>
      </c>
      <c r="O949" s="28" t="s">
        <v>7180</v>
      </c>
      <c r="P949" s="32">
        <v>66676</v>
      </c>
      <c r="Q949" s="56">
        <v>41418</v>
      </c>
    </row>
    <row r="950" spans="1:17" ht="12" customHeight="1">
      <c r="A950" s="25">
        <v>41387</v>
      </c>
      <c r="B950" s="312" t="s">
        <v>5134</v>
      </c>
      <c r="C950" s="219" t="s">
        <v>162</v>
      </c>
      <c r="D950" s="381" t="s">
        <v>182</v>
      </c>
      <c r="E950" s="381" t="s">
        <v>194</v>
      </c>
      <c r="F950" s="205">
        <v>2000</v>
      </c>
      <c r="G950" s="381" t="s">
        <v>6471</v>
      </c>
      <c r="H950" s="31">
        <v>4.75</v>
      </c>
      <c r="I950" s="27">
        <f t="shared" si="30"/>
        <v>9500</v>
      </c>
      <c r="J950" s="28" t="s">
        <v>167</v>
      </c>
      <c r="K950" s="25">
        <v>41396</v>
      </c>
      <c r="M950" s="56">
        <v>41387</v>
      </c>
      <c r="N950" s="29" t="s">
        <v>166</v>
      </c>
      <c r="O950" s="28" t="s">
        <v>7180</v>
      </c>
      <c r="P950" s="32">
        <v>66676</v>
      </c>
      <c r="Q950" s="56">
        <v>41418</v>
      </c>
    </row>
    <row r="951" spans="1:17" ht="12" customHeight="1">
      <c r="A951" s="25">
        <v>41387</v>
      </c>
      <c r="B951" s="312" t="s">
        <v>5134</v>
      </c>
      <c r="C951" s="219" t="s">
        <v>162</v>
      </c>
      <c r="D951" s="5" t="s">
        <v>983</v>
      </c>
      <c r="E951" s="196">
        <v>6800</v>
      </c>
      <c r="F951" s="205">
        <v>8</v>
      </c>
      <c r="G951" s="381" t="s">
        <v>6461</v>
      </c>
      <c r="H951" s="31">
        <v>420</v>
      </c>
      <c r="I951" s="27">
        <f t="shared" si="30"/>
        <v>3360</v>
      </c>
      <c r="J951" s="28" t="s">
        <v>167</v>
      </c>
      <c r="K951" s="25">
        <v>41396</v>
      </c>
      <c r="M951" s="56">
        <v>41387</v>
      </c>
      <c r="N951" s="29" t="s">
        <v>166</v>
      </c>
      <c r="O951" s="28" t="s">
        <v>7180</v>
      </c>
      <c r="P951" s="32">
        <v>66676</v>
      </c>
      <c r="Q951" s="56">
        <v>41418</v>
      </c>
    </row>
    <row r="952" spans="1:17" ht="12" customHeight="1">
      <c r="A952" s="25">
        <v>41387</v>
      </c>
      <c r="B952" s="312" t="s">
        <v>5134</v>
      </c>
      <c r="C952" s="219" t="s">
        <v>162</v>
      </c>
      <c r="D952" s="1" t="s">
        <v>660</v>
      </c>
      <c r="E952" s="381" t="s">
        <v>6053</v>
      </c>
      <c r="F952" s="205">
        <v>10</v>
      </c>
      <c r="G952" s="381" t="s">
        <v>6470</v>
      </c>
      <c r="H952" s="31">
        <v>115</v>
      </c>
      <c r="I952" s="27">
        <f t="shared" si="30"/>
        <v>1150</v>
      </c>
      <c r="J952" s="28" t="s">
        <v>167</v>
      </c>
      <c r="K952" s="25">
        <v>41396</v>
      </c>
      <c r="M952" s="56">
        <v>41387</v>
      </c>
      <c r="N952" s="29" t="s">
        <v>166</v>
      </c>
      <c r="O952" s="28" t="s">
        <v>7180</v>
      </c>
      <c r="P952" s="32">
        <v>66676</v>
      </c>
      <c r="Q952" s="56">
        <v>41418</v>
      </c>
    </row>
    <row r="953" spans="1:17" ht="12" customHeight="1">
      <c r="A953" s="25">
        <v>41387</v>
      </c>
      <c r="B953" s="312" t="s">
        <v>5134</v>
      </c>
      <c r="C953" s="219" t="s">
        <v>162</v>
      </c>
      <c r="D953" s="5" t="s">
        <v>4769</v>
      </c>
      <c r="E953" s="28" t="s">
        <v>6634</v>
      </c>
      <c r="F953" s="205">
        <v>30</v>
      </c>
      <c r="G953" s="391" t="s">
        <v>6633</v>
      </c>
      <c r="H953" s="31">
        <v>12</v>
      </c>
      <c r="I953" s="27">
        <f>H953*F953</f>
        <v>360</v>
      </c>
      <c r="J953" s="28" t="s">
        <v>167</v>
      </c>
      <c r="K953" s="25">
        <v>41396</v>
      </c>
      <c r="M953" s="56">
        <v>41403</v>
      </c>
      <c r="N953" s="29" t="s">
        <v>165</v>
      </c>
      <c r="O953" s="28" t="s">
        <v>7180</v>
      </c>
      <c r="P953" s="32">
        <v>66676</v>
      </c>
      <c r="Q953" s="56">
        <v>41418</v>
      </c>
    </row>
    <row r="954" spans="1:17" ht="12" customHeight="1">
      <c r="A954" s="25">
        <v>41389</v>
      </c>
      <c r="B954" s="383" t="s">
        <v>1975</v>
      </c>
      <c r="C954" s="219" t="s">
        <v>861</v>
      </c>
      <c r="D954" s="383" t="s">
        <v>6506</v>
      </c>
      <c r="E954" s="96" t="s">
        <v>1067</v>
      </c>
      <c r="F954" s="383">
        <v>3</v>
      </c>
      <c r="G954" s="383" t="s">
        <v>192</v>
      </c>
      <c r="H954" s="31">
        <v>215</v>
      </c>
      <c r="I954" s="27">
        <f t="shared" ref="I954:I958" si="32">F954*H954</f>
        <v>645</v>
      </c>
      <c r="J954" s="28" t="s">
        <v>6511</v>
      </c>
      <c r="K954" s="25">
        <v>41389</v>
      </c>
      <c r="M954" s="56">
        <v>41392</v>
      </c>
      <c r="N954" s="29" t="s">
        <v>165</v>
      </c>
      <c r="O954" s="28" t="s">
        <v>6512</v>
      </c>
    </row>
    <row r="955" spans="1:17" ht="12" customHeight="1">
      <c r="A955" s="25">
        <v>41389</v>
      </c>
      <c r="B955" s="383" t="s">
        <v>1975</v>
      </c>
      <c r="C955" s="219" t="s">
        <v>162</v>
      </c>
      <c r="D955" s="383" t="s">
        <v>670</v>
      </c>
      <c r="E955" s="28" t="s">
        <v>6509</v>
      </c>
      <c r="F955" s="205">
        <v>400</v>
      </c>
      <c r="G955" s="383" t="s">
        <v>6510</v>
      </c>
      <c r="H955" s="31">
        <v>3.86</v>
      </c>
      <c r="I955" s="27">
        <f t="shared" si="32"/>
        <v>1544</v>
      </c>
      <c r="J955" s="28" t="s">
        <v>6511</v>
      </c>
      <c r="K955" s="25">
        <v>41389</v>
      </c>
      <c r="M955" s="56">
        <v>41392</v>
      </c>
      <c r="N955" s="29" t="s">
        <v>165</v>
      </c>
      <c r="O955" s="28" t="s">
        <v>6512</v>
      </c>
    </row>
    <row r="956" spans="1:17" ht="12" customHeight="1">
      <c r="A956" s="25">
        <v>41389</v>
      </c>
      <c r="B956" s="383" t="s">
        <v>1985</v>
      </c>
      <c r="C956" s="219" t="s">
        <v>162</v>
      </c>
      <c r="D956" s="383" t="s">
        <v>825</v>
      </c>
      <c r="E956" s="383" t="s">
        <v>325</v>
      </c>
      <c r="F956" s="205">
        <v>1600</v>
      </c>
      <c r="G956" s="383" t="s">
        <v>171</v>
      </c>
      <c r="H956" s="31">
        <v>4.28</v>
      </c>
      <c r="I956" s="27">
        <f t="shared" si="32"/>
        <v>6848</v>
      </c>
      <c r="J956" s="28" t="s">
        <v>6604</v>
      </c>
      <c r="K956" s="25">
        <v>41392</v>
      </c>
      <c r="M956" s="56">
        <v>41390</v>
      </c>
      <c r="N956" s="29" t="s">
        <v>166</v>
      </c>
    </row>
    <row r="957" spans="1:17" ht="12" customHeight="1">
      <c r="A957" s="25">
        <v>41389</v>
      </c>
      <c r="B957" s="383" t="s">
        <v>1985</v>
      </c>
      <c r="C957" s="219" t="s">
        <v>162</v>
      </c>
      <c r="D957" s="383" t="s">
        <v>5047</v>
      </c>
      <c r="E957" s="383">
        <v>8210</v>
      </c>
      <c r="F957" s="205">
        <v>2400</v>
      </c>
      <c r="G957" s="383" t="s">
        <v>170</v>
      </c>
      <c r="H957" s="31">
        <v>3.78</v>
      </c>
      <c r="I957" s="27">
        <f t="shared" si="32"/>
        <v>9072</v>
      </c>
      <c r="J957" s="28" t="s">
        <v>6604</v>
      </c>
      <c r="K957" s="25">
        <v>41392</v>
      </c>
      <c r="M957" s="56">
        <v>41390</v>
      </c>
      <c r="N957" s="29" t="s">
        <v>166</v>
      </c>
    </row>
    <row r="958" spans="1:17" ht="12" customHeight="1">
      <c r="A958" s="25">
        <v>41389</v>
      </c>
      <c r="B958" s="384" t="s">
        <v>6555</v>
      </c>
      <c r="C958" s="219" t="s">
        <v>162</v>
      </c>
      <c r="D958" s="383" t="s">
        <v>1915</v>
      </c>
      <c r="E958" s="383" t="s">
        <v>1847</v>
      </c>
      <c r="F958" s="205">
        <v>144</v>
      </c>
      <c r="G958" s="383" t="s">
        <v>170</v>
      </c>
      <c r="H958" s="31">
        <v>29.22</v>
      </c>
      <c r="I958" s="27">
        <f t="shared" si="32"/>
        <v>4207.68</v>
      </c>
      <c r="J958" s="28" t="s">
        <v>6603</v>
      </c>
      <c r="K958" s="25">
        <v>41392</v>
      </c>
      <c r="M958" s="56">
        <v>41390</v>
      </c>
      <c r="N958" s="29" t="s">
        <v>166</v>
      </c>
    </row>
    <row r="959" spans="1:17" ht="12" customHeight="1">
      <c r="A959" s="25">
        <v>41390</v>
      </c>
      <c r="B959" s="383" t="s">
        <v>6515</v>
      </c>
      <c r="C959" s="219" t="s">
        <v>162</v>
      </c>
      <c r="D959" s="1" t="s">
        <v>6473</v>
      </c>
      <c r="E959" s="383" t="s">
        <v>6516</v>
      </c>
      <c r="F959" s="205">
        <v>20</v>
      </c>
      <c r="G959" s="383" t="s">
        <v>172</v>
      </c>
      <c r="H959" s="31">
        <v>6.82</v>
      </c>
      <c r="I959" s="27">
        <f t="shared" ref="I959:I963" si="33">F959*H959</f>
        <v>136.4</v>
      </c>
      <c r="J959" s="28" t="s">
        <v>6612</v>
      </c>
      <c r="K959" s="25">
        <v>41396</v>
      </c>
      <c r="M959" s="56">
        <v>41390</v>
      </c>
      <c r="N959" s="29" t="s">
        <v>165</v>
      </c>
    </row>
    <row r="960" spans="1:17" ht="12" customHeight="1">
      <c r="A960" s="25">
        <v>41390</v>
      </c>
      <c r="B960" s="383" t="s">
        <v>1980</v>
      </c>
      <c r="C960" s="219" t="s">
        <v>162</v>
      </c>
      <c r="D960" s="383" t="s">
        <v>1916</v>
      </c>
      <c r="E960" s="196">
        <v>6800</v>
      </c>
      <c r="F960" s="205">
        <v>100</v>
      </c>
      <c r="G960" s="383" t="s">
        <v>6510</v>
      </c>
      <c r="H960" s="31">
        <v>429</v>
      </c>
      <c r="I960" s="27">
        <f t="shared" si="33"/>
        <v>42900</v>
      </c>
      <c r="J960" s="28" t="s">
        <v>6538</v>
      </c>
      <c r="K960" s="25">
        <v>41390</v>
      </c>
      <c r="M960" s="56">
        <v>41390</v>
      </c>
      <c r="N960" s="29" t="s">
        <v>876</v>
      </c>
      <c r="O960" s="28" t="s">
        <v>6539</v>
      </c>
      <c r="P960" s="32">
        <v>46328.52</v>
      </c>
      <c r="Q960" s="56">
        <v>41390</v>
      </c>
    </row>
    <row r="961" spans="1:33" ht="12" customHeight="1">
      <c r="A961" s="25">
        <v>41390</v>
      </c>
      <c r="B961" s="383" t="s">
        <v>1980</v>
      </c>
      <c r="C961" s="219" t="s">
        <v>162</v>
      </c>
      <c r="D961" s="383" t="s">
        <v>1882</v>
      </c>
      <c r="E961" s="383" t="s">
        <v>145</v>
      </c>
      <c r="F961" s="205">
        <v>60</v>
      </c>
      <c r="G961" s="1" t="s">
        <v>170</v>
      </c>
      <c r="H961" s="31">
        <v>17.8</v>
      </c>
      <c r="I961" s="27">
        <f t="shared" si="33"/>
        <v>1068</v>
      </c>
      <c r="J961" s="28" t="s">
        <v>6538</v>
      </c>
      <c r="K961" s="25">
        <v>41390</v>
      </c>
      <c r="M961" s="56">
        <v>41390</v>
      </c>
      <c r="N961" s="29" t="s">
        <v>876</v>
      </c>
      <c r="O961" s="28" t="s">
        <v>6539</v>
      </c>
      <c r="P961" s="32">
        <v>46328.52</v>
      </c>
      <c r="Q961" s="56">
        <v>41390</v>
      </c>
    </row>
    <row r="962" spans="1:33" ht="12" customHeight="1">
      <c r="A962" s="25">
        <v>41390</v>
      </c>
      <c r="B962" s="383" t="s">
        <v>1980</v>
      </c>
      <c r="C962" s="219" t="s">
        <v>162</v>
      </c>
      <c r="D962" s="383" t="s">
        <v>702</v>
      </c>
      <c r="E962" s="383" t="s">
        <v>6530</v>
      </c>
      <c r="F962" s="205">
        <v>100</v>
      </c>
      <c r="G962" s="1" t="s">
        <v>170</v>
      </c>
      <c r="H962" s="31">
        <v>2.4900000000000002</v>
      </c>
      <c r="I962" s="27">
        <f t="shared" si="33"/>
        <v>249.00000000000003</v>
      </c>
      <c r="J962" s="28" t="s">
        <v>6538</v>
      </c>
      <c r="K962" s="25">
        <v>41390</v>
      </c>
      <c r="M962" s="56">
        <v>41390</v>
      </c>
      <c r="N962" s="29" t="s">
        <v>876</v>
      </c>
      <c r="O962" s="28" t="s">
        <v>6539</v>
      </c>
      <c r="P962" s="32">
        <v>46328.52</v>
      </c>
      <c r="Q962" s="56">
        <v>41390</v>
      </c>
    </row>
    <row r="963" spans="1:33" ht="12" customHeight="1">
      <c r="A963" s="25">
        <v>41390</v>
      </c>
      <c r="B963" s="383" t="s">
        <v>1979</v>
      </c>
      <c r="C963" s="219" t="s">
        <v>162</v>
      </c>
      <c r="D963" s="383" t="s">
        <v>702</v>
      </c>
      <c r="E963" s="383" t="s">
        <v>6530</v>
      </c>
      <c r="F963" s="205">
        <v>810</v>
      </c>
      <c r="G963" s="1" t="s">
        <v>170</v>
      </c>
      <c r="H963" s="31">
        <v>2.37</v>
      </c>
      <c r="I963" s="27">
        <f t="shared" si="33"/>
        <v>1919.7</v>
      </c>
      <c r="J963" s="28" t="s">
        <v>6534</v>
      </c>
      <c r="K963" s="25">
        <v>41390</v>
      </c>
      <c r="O963" s="28" t="s">
        <v>6539</v>
      </c>
      <c r="P963" s="32">
        <v>46328.52</v>
      </c>
      <c r="Q963" s="56">
        <v>41390</v>
      </c>
    </row>
    <row r="964" spans="1:33" ht="12" customHeight="1">
      <c r="A964" s="25">
        <v>41390</v>
      </c>
      <c r="B964" s="384" t="s">
        <v>1975</v>
      </c>
      <c r="C964" s="219" t="s">
        <v>162</v>
      </c>
      <c r="D964" s="5" t="s">
        <v>69</v>
      </c>
      <c r="E964" s="28">
        <v>1100</v>
      </c>
      <c r="F964" s="384">
        <v>200</v>
      </c>
      <c r="G964" s="384" t="s">
        <v>172</v>
      </c>
      <c r="H964" s="31">
        <v>0.38</v>
      </c>
      <c r="I964" s="27">
        <f t="shared" ref="I964" si="34">H964*F964</f>
        <v>76</v>
      </c>
      <c r="J964" s="28" t="s">
        <v>6537</v>
      </c>
      <c r="K964" s="25">
        <v>41390</v>
      </c>
      <c r="M964" s="56">
        <v>41392</v>
      </c>
      <c r="N964" s="29" t="s">
        <v>166</v>
      </c>
    </row>
    <row r="965" spans="1:33" ht="12" customHeight="1">
      <c r="A965" s="25">
        <v>41390</v>
      </c>
      <c r="B965" s="384" t="s">
        <v>1975</v>
      </c>
      <c r="C965" s="219" t="s">
        <v>162</v>
      </c>
      <c r="D965" s="384" t="s">
        <v>1760</v>
      </c>
      <c r="E965" s="28" t="s">
        <v>234</v>
      </c>
      <c r="F965" s="205">
        <v>3000</v>
      </c>
      <c r="G965" s="384" t="s">
        <v>744</v>
      </c>
      <c r="H965" s="31">
        <v>1.08</v>
      </c>
      <c r="I965" s="27">
        <f t="shared" ref="I965" si="35">H965*F965</f>
        <v>3240</v>
      </c>
      <c r="J965" s="28" t="s">
        <v>6537</v>
      </c>
      <c r="K965" s="25">
        <v>41390</v>
      </c>
      <c r="M965" s="56">
        <v>41392</v>
      </c>
      <c r="N965" s="29" t="s">
        <v>166</v>
      </c>
    </row>
    <row r="966" spans="1:33" ht="12" customHeight="1">
      <c r="A966" s="25">
        <v>41390</v>
      </c>
      <c r="B966" s="384" t="s">
        <v>1985</v>
      </c>
      <c r="C966" s="219" t="s">
        <v>861</v>
      </c>
      <c r="D966" s="384" t="s">
        <v>5209</v>
      </c>
      <c r="E966" s="95" t="s">
        <v>1067</v>
      </c>
      <c r="F966" s="384">
        <v>5</v>
      </c>
      <c r="G966" s="384" t="s">
        <v>192</v>
      </c>
      <c r="H966" s="31">
        <v>220</v>
      </c>
      <c r="I966" s="27">
        <f t="shared" ref="I966:I967" si="36">F966*H966</f>
        <v>1100</v>
      </c>
      <c r="J966" s="28" t="s">
        <v>6572</v>
      </c>
      <c r="K966" s="25">
        <v>41391</v>
      </c>
      <c r="M966" s="56">
        <v>41390</v>
      </c>
      <c r="N966" s="29" t="s">
        <v>166</v>
      </c>
    </row>
    <row r="967" spans="1:33" ht="12" customHeight="1">
      <c r="A967" s="25">
        <v>41390</v>
      </c>
      <c r="B967" s="384" t="s">
        <v>1985</v>
      </c>
      <c r="C967" s="219" t="s">
        <v>162</v>
      </c>
      <c r="D967" s="1" t="s">
        <v>6567</v>
      </c>
      <c r="E967" s="384">
        <v>4535</v>
      </c>
      <c r="F967" s="205">
        <v>10</v>
      </c>
      <c r="G967" s="384" t="s">
        <v>192</v>
      </c>
      <c r="H967" s="31">
        <v>21.71</v>
      </c>
      <c r="I967" s="27">
        <f t="shared" si="36"/>
        <v>217.10000000000002</v>
      </c>
      <c r="J967" s="28" t="s">
        <v>6572</v>
      </c>
      <c r="K967" s="25">
        <v>41391</v>
      </c>
      <c r="M967" s="56">
        <v>41390</v>
      </c>
      <c r="N967" s="29" t="s">
        <v>166</v>
      </c>
    </row>
    <row r="968" spans="1:33" ht="12" customHeight="1">
      <c r="A968" s="25">
        <v>41390</v>
      </c>
      <c r="B968" s="384" t="s">
        <v>5933</v>
      </c>
      <c r="C968" s="220" t="s">
        <v>7</v>
      </c>
      <c r="D968" s="5" t="s">
        <v>1663</v>
      </c>
      <c r="E968" s="384" t="s">
        <v>6556</v>
      </c>
      <c r="F968" s="205">
        <v>33</v>
      </c>
      <c r="G968" s="384" t="s">
        <v>5917</v>
      </c>
      <c r="H968" s="31">
        <v>68.8</v>
      </c>
      <c r="I968" s="27">
        <f t="shared" ref="I968:I971" si="37">H968*F968</f>
        <v>2270.4</v>
      </c>
      <c r="J968" s="28" t="s">
        <v>6572</v>
      </c>
      <c r="K968" s="25">
        <v>41391</v>
      </c>
      <c r="M968" s="56">
        <v>41390</v>
      </c>
      <c r="N968" s="29" t="s">
        <v>166</v>
      </c>
    </row>
    <row r="969" spans="1:33" ht="12" customHeight="1">
      <c r="A969" s="25">
        <v>41391</v>
      </c>
      <c r="B969" s="387" t="s">
        <v>1975</v>
      </c>
      <c r="C969" s="219" t="s">
        <v>162</v>
      </c>
      <c r="D969" s="5" t="s">
        <v>182</v>
      </c>
      <c r="E969" s="28" t="s">
        <v>186</v>
      </c>
      <c r="F969" s="387">
        <v>8000</v>
      </c>
      <c r="G969" s="387" t="s">
        <v>6574</v>
      </c>
      <c r="H969" s="31">
        <v>1.54</v>
      </c>
      <c r="I969" s="27">
        <f t="shared" si="37"/>
        <v>12320</v>
      </c>
      <c r="J969" s="28" t="s">
        <v>6575</v>
      </c>
      <c r="K969" s="25">
        <v>41391</v>
      </c>
      <c r="M969" s="56">
        <v>41392</v>
      </c>
      <c r="N969" s="29" t="s">
        <v>166</v>
      </c>
      <c r="R969" s="387"/>
      <c r="S969" s="387"/>
      <c r="T969" s="387"/>
      <c r="U969" s="387"/>
      <c r="V969" s="387"/>
      <c r="W969" s="387"/>
      <c r="X969" s="387"/>
      <c r="Y969" s="387"/>
      <c r="Z969" s="387"/>
      <c r="AA969" s="387"/>
      <c r="AB969" s="387"/>
      <c r="AC969" s="387"/>
      <c r="AD969" s="387"/>
      <c r="AE969" s="387"/>
      <c r="AF969" s="387"/>
      <c r="AG969" s="387"/>
    </row>
    <row r="970" spans="1:33" ht="12" customHeight="1">
      <c r="A970" s="25">
        <v>41392</v>
      </c>
      <c r="B970" s="388" t="s">
        <v>1975</v>
      </c>
      <c r="C970" s="219" t="s">
        <v>162</v>
      </c>
      <c r="D970" s="5" t="s">
        <v>6593</v>
      </c>
      <c r="E970" s="238" t="s">
        <v>6169</v>
      </c>
      <c r="F970" s="1">
        <v>4</v>
      </c>
      <c r="G970" s="1" t="s">
        <v>174</v>
      </c>
      <c r="H970" s="31">
        <v>23.92</v>
      </c>
      <c r="I970" s="27">
        <f t="shared" si="37"/>
        <v>95.68</v>
      </c>
      <c r="J970" s="28" t="s">
        <v>6607</v>
      </c>
      <c r="K970" s="25">
        <v>41392</v>
      </c>
      <c r="M970" s="56">
        <v>41424</v>
      </c>
      <c r="N970" s="29" t="s">
        <v>166</v>
      </c>
      <c r="R970" s="388"/>
      <c r="S970" s="388"/>
      <c r="T970" s="388"/>
      <c r="U970" s="388"/>
      <c r="V970" s="388"/>
      <c r="W970" s="388"/>
      <c r="X970" s="388"/>
      <c r="Y970" s="388"/>
      <c r="Z970" s="388"/>
      <c r="AA970" s="388"/>
      <c r="AB970" s="388"/>
      <c r="AC970" s="388"/>
      <c r="AD970" s="388"/>
      <c r="AE970" s="388"/>
      <c r="AF970" s="388"/>
      <c r="AG970" s="388"/>
    </row>
    <row r="971" spans="1:33" ht="12" customHeight="1">
      <c r="A971" s="25">
        <v>41396</v>
      </c>
      <c r="B971" s="390" t="s">
        <v>1975</v>
      </c>
      <c r="C971" s="219" t="s">
        <v>162</v>
      </c>
      <c r="D971" s="5" t="s">
        <v>182</v>
      </c>
      <c r="E971" s="238" t="s">
        <v>186</v>
      </c>
      <c r="F971" s="1">
        <v>500</v>
      </c>
      <c r="G971" s="390" t="s">
        <v>171</v>
      </c>
      <c r="H971" s="31">
        <v>1.54</v>
      </c>
      <c r="I971" s="27">
        <f t="shared" si="37"/>
        <v>770</v>
      </c>
      <c r="J971" s="28" t="s">
        <v>6611</v>
      </c>
      <c r="K971" s="25">
        <v>41396</v>
      </c>
      <c r="M971" s="56">
        <v>41424</v>
      </c>
      <c r="N971" s="29" t="s">
        <v>166</v>
      </c>
      <c r="R971" s="390"/>
      <c r="S971" s="390"/>
      <c r="T971" s="390"/>
      <c r="U971" s="390"/>
      <c r="V971" s="390"/>
      <c r="W971" s="390"/>
      <c r="X971" s="390"/>
      <c r="Y971" s="390"/>
      <c r="Z971" s="390"/>
      <c r="AA971" s="390"/>
      <c r="AB971" s="390"/>
      <c r="AC971" s="390"/>
      <c r="AD971" s="390"/>
      <c r="AE971" s="390"/>
      <c r="AF971" s="390"/>
      <c r="AG971" s="390"/>
    </row>
    <row r="972" spans="1:33" ht="12" customHeight="1">
      <c r="A972" s="25">
        <v>41396</v>
      </c>
      <c r="B972" s="391" t="s">
        <v>1979</v>
      </c>
      <c r="C972" s="219" t="s">
        <v>167</v>
      </c>
      <c r="D972" s="391" t="s">
        <v>5774</v>
      </c>
      <c r="E972" s="391" t="s">
        <v>167</v>
      </c>
      <c r="F972" s="391">
        <v>5000</v>
      </c>
      <c r="G972" s="391" t="s">
        <v>5776</v>
      </c>
      <c r="H972" s="31">
        <v>0.68</v>
      </c>
      <c r="I972" s="27">
        <f t="shared" ref="I972:I974" si="38">F972*H972</f>
        <v>3400.0000000000005</v>
      </c>
      <c r="J972" s="28" t="s">
        <v>6638</v>
      </c>
      <c r="K972" s="25">
        <v>41396</v>
      </c>
    </row>
    <row r="973" spans="1:33" ht="12" customHeight="1">
      <c r="A973" s="25">
        <v>41396</v>
      </c>
      <c r="B973" s="391" t="s">
        <v>1979</v>
      </c>
      <c r="C973" s="219" t="s">
        <v>167</v>
      </c>
      <c r="D973" s="391" t="s">
        <v>6636</v>
      </c>
      <c r="E973" s="391" t="s">
        <v>167</v>
      </c>
      <c r="F973" s="205">
        <v>100</v>
      </c>
      <c r="G973" s="391" t="s">
        <v>5776</v>
      </c>
      <c r="H973" s="31">
        <v>2</v>
      </c>
      <c r="I973" s="27">
        <f t="shared" si="38"/>
        <v>200</v>
      </c>
      <c r="J973" s="28" t="s">
        <v>6638</v>
      </c>
      <c r="K973" s="25">
        <v>41396</v>
      </c>
    </row>
    <row r="974" spans="1:33" ht="12" customHeight="1">
      <c r="A974" s="25">
        <v>41396</v>
      </c>
      <c r="B974" s="391" t="s">
        <v>1979</v>
      </c>
      <c r="C974" s="219" t="s">
        <v>167</v>
      </c>
      <c r="D974" s="391" t="s">
        <v>6635</v>
      </c>
      <c r="E974" s="391" t="s">
        <v>167</v>
      </c>
      <c r="F974" s="205">
        <v>50</v>
      </c>
      <c r="G974" s="391" t="s">
        <v>6637</v>
      </c>
      <c r="H974" s="31">
        <v>3.8</v>
      </c>
      <c r="I974" s="27">
        <f t="shared" si="38"/>
        <v>190</v>
      </c>
      <c r="J974" s="28" t="s">
        <v>6638</v>
      </c>
      <c r="K974" s="25">
        <v>41396</v>
      </c>
    </row>
    <row r="975" spans="1:33" ht="12" customHeight="1">
      <c r="A975" s="25">
        <v>41396</v>
      </c>
      <c r="B975" s="391" t="s">
        <v>6515</v>
      </c>
      <c r="C975" s="219" t="s">
        <v>162</v>
      </c>
      <c r="D975" s="391" t="s">
        <v>1762</v>
      </c>
      <c r="E975" s="28" t="s">
        <v>6627</v>
      </c>
      <c r="F975" s="205">
        <v>100</v>
      </c>
      <c r="G975" s="391" t="s">
        <v>6626</v>
      </c>
      <c r="H975" s="31">
        <v>54.05</v>
      </c>
      <c r="I975" s="27">
        <f t="shared" ref="I975" si="39">F975*H975</f>
        <v>5405</v>
      </c>
      <c r="J975" s="28" t="s">
        <v>6724</v>
      </c>
      <c r="K975" s="25">
        <v>41402</v>
      </c>
      <c r="M975" s="56">
        <v>41396</v>
      </c>
      <c r="N975" s="29" t="s">
        <v>967</v>
      </c>
      <c r="O975" s="28" t="s">
        <v>6725</v>
      </c>
      <c r="P975" s="32">
        <v>5435</v>
      </c>
      <c r="Q975" s="56">
        <v>41402</v>
      </c>
    </row>
    <row r="976" spans="1:33" ht="12" customHeight="1">
      <c r="A976" s="25">
        <v>41396</v>
      </c>
      <c r="B976" s="391" t="s">
        <v>5823</v>
      </c>
      <c r="C976" s="219" t="s">
        <v>162</v>
      </c>
      <c r="D976" s="391" t="s">
        <v>702</v>
      </c>
      <c r="E976" s="28" t="s">
        <v>6628</v>
      </c>
      <c r="F976" s="205">
        <v>1000</v>
      </c>
      <c r="G976" s="391" t="s">
        <v>170</v>
      </c>
      <c r="H976" s="31">
        <v>2.2999999999999998</v>
      </c>
      <c r="I976" s="27">
        <f t="shared" ref="I976:I980" si="40">H976*F976</f>
        <v>2300</v>
      </c>
      <c r="J976" s="28" t="s">
        <v>6666</v>
      </c>
      <c r="K976" s="25">
        <v>41400</v>
      </c>
      <c r="M976" s="56">
        <v>41396</v>
      </c>
      <c r="N976" s="29" t="s">
        <v>166</v>
      </c>
      <c r="O976" s="28" t="s">
        <v>7091</v>
      </c>
      <c r="P976" s="32">
        <v>24283</v>
      </c>
      <c r="Q976" s="56">
        <v>41421</v>
      </c>
    </row>
    <row r="977" spans="1:33" ht="12" customHeight="1">
      <c r="A977" s="25">
        <v>41396</v>
      </c>
      <c r="B977" s="391" t="s">
        <v>5823</v>
      </c>
      <c r="C977" s="219" t="s">
        <v>162</v>
      </c>
      <c r="D977" s="391" t="s">
        <v>670</v>
      </c>
      <c r="E977" s="28" t="s">
        <v>6631</v>
      </c>
      <c r="F977" s="205">
        <v>750</v>
      </c>
      <c r="G977" s="391" t="s">
        <v>170</v>
      </c>
      <c r="H977" s="31">
        <v>3.96</v>
      </c>
      <c r="I977" s="27">
        <f t="shared" si="40"/>
        <v>2970</v>
      </c>
      <c r="J977" s="28" t="s">
        <v>6666</v>
      </c>
      <c r="K977" s="25">
        <v>41400</v>
      </c>
      <c r="M977" s="56">
        <v>41396</v>
      </c>
      <c r="N977" s="29" t="s">
        <v>166</v>
      </c>
      <c r="O977" s="28" t="s">
        <v>7091</v>
      </c>
      <c r="P977" s="32">
        <v>24283</v>
      </c>
      <c r="Q977" s="56">
        <v>41421</v>
      </c>
    </row>
    <row r="978" spans="1:33" ht="12" customHeight="1">
      <c r="A978" s="25">
        <v>41396</v>
      </c>
      <c r="B978" s="391" t="s">
        <v>5823</v>
      </c>
      <c r="C978" s="219" t="s">
        <v>162</v>
      </c>
      <c r="D978" s="5" t="s">
        <v>307</v>
      </c>
      <c r="E978" s="28" t="s">
        <v>6629</v>
      </c>
      <c r="F978" s="205">
        <v>2000</v>
      </c>
      <c r="G978" s="391" t="s">
        <v>172</v>
      </c>
      <c r="H978" s="31">
        <v>0.6</v>
      </c>
      <c r="I978" s="27">
        <f t="shared" si="40"/>
        <v>1200</v>
      </c>
      <c r="J978" s="28" t="s">
        <v>6666</v>
      </c>
      <c r="K978" s="25">
        <v>41400</v>
      </c>
      <c r="M978" s="56">
        <v>41396</v>
      </c>
      <c r="N978" s="29" t="s">
        <v>166</v>
      </c>
      <c r="O978" s="28" t="s">
        <v>7091</v>
      </c>
      <c r="P978" s="32">
        <v>24283</v>
      </c>
      <c r="Q978" s="56">
        <v>41421</v>
      </c>
    </row>
    <row r="979" spans="1:33" ht="12" customHeight="1">
      <c r="A979" s="25">
        <v>41396</v>
      </c>
      <c r="B979" s="391" t="s">
        <v>5823</v>
      </c>
      <c r="C979" s="219" t="s">
        <v>162</v>
      </c>
      <c r="D979" s="1" t="s">
        <v>1220</v>
      </c>
      <c r="E979" s="28" t="s">
        <v>6630</v>
      </c>
      <c r="F979" s="205">
        <v>60</v>
      </c>
      <c r="G979" s="391" t="s">
        <v>170</v>
      </c>
      <c r="H979" s="31">
        <v>42.8</v>
      </c>
      <c r="I979" s="27">
        <f t="shared" si="40"/>
        <v>2568</v>
      </c>
      <c r="J979" s="28" t="s">
        <v>6666</v>
      </c>
      <c r="K979" s="25">
        <v>41400</v>
      </c>
      <c r="M979" s="56">
        <v>41396</v>
      </c>
      <c r="N979" s="29" t="s">
        <v>166</v>
      </c>
      <c r="O979" s="28" t="s">
        <v>7091</v>
      </c>
      <c r="P979" s="32">
        <v>24283</v>
      </c>
      <c r="Q979" s="56">
        <v>41421</v>
      </c>
    </row>
    <row r="980" spans="1:33" ht="12" customHeight="1">
      <c r="A980" s="25">
        <v>41396</v>
      </c>
      <c r="B980" s="391" t="s">
        <v>5933</v>
      </c>
      <c r="C980" s="220" t="s">
        <v>7</v>
      </c>
      <c r="D980" s="391" t="s">
        <v>4977</v>
      </c>
      <c r="E980" s="28" t="s">
        <v>6632</v>
      </c>
      <c r="F980" s="205">
        <v>2000</v>
      </c>
      <c r="G980" s="391" t="s">
        <v>1755</v>
      </c>
      <c r="H980" s="31">
        <v>1.32</v>
      </c>
      <c r="I980" s="27">
        <f t="shared" si="40"/>
        <v>2640</v>
      </c>
      <c r="J980" s="28" t="s">
        <v>6643</v>
      </c>
      <c r="K980" s="25">
        <v>41397</v>
      </c>
      <c r="M980" s="56">
        <v>41396</v>
      </c>
      <c r="N980" s="29" t="s">
        <v>967</v>
      </c>
    </row>
    <row r="981" spans="1:33" ht="12" customHeight="1">
      <c r="A981" s="25">
        <v>41397</v>
      </c>
      <c r="B981" s="391" t="s">
        <v>228</v>
      </c>
      <c r="C981" s="219" t="s">
        <v>162</v>
      </c>
      <c r="D981" s="1" t="s">
        <v>268</v>
      </c>
      <c r="E981" s="238" t="s">
        <v>177</v>
      </c>
      <c r="F981" s="391">
        <v>100</v>
      </c>
      <c r="G981" s="391" t="s">
        <v>171</v>
      </c>
      <c r="H981" s="31">
        <v>1.53</v>
      </c>
      <c r="I981" s="27">
        <f t="shared" ref="I981:I987" si="41">F981*H981</f>
        <v>153</v>
      </c>
      <c r="J981" s="28" t="s">
        <v>6646</v>
      </c>
      <c r="K981" s="25">
        <v>41397</v>
      </c>
      <c r="M981" s="56">
        <v>41424</v>
      </c>
      <c r="N981" s="29" t="s">
        <v>166</v>
      </c>
    </row>
    <row r="982" spans="1:33" ht="12" customHeight="1">
      <c r="A982" s="25">
        <v>41397</v>
      </c>
      <c r="B982" s="393" t="s">
        <v>228</v>
      </c>
      <c r="C982" s="219" t="s">
        <v>162</v>
      </c>
      <c r="D982" s="1" t="s">
        <v>268</v>
      </c>
      <c r="E982" s="238" t="s">
        <v>177</v>
      </c>
      <c r="F982" s="393">
        <v>100</v>
      </c>
      <c r="G982" s="393" t="s">
        <v>171</v>
      </c>
      <c r="H982" s="31">
        <v>1.53</v>
      </c>
      <c r="I982" s="27">
        <f t="shared" si="41"/>
        <v>153</v>
      </c>
      <c r="J982" s="28" t="s">
        <v>6705</v>
      </c>
      <c r="K982" s="25">
        <v>41397</v>
      </c>
      <c r="M982" s="56">
        <v>41424</v>
      </c>
      <c r="N982" s="29" t="s">
        <v>166</v>
      </c>
      <c r="R982" s="393"/>
      <c r="S982" s="393"/>
      <c r="T982" s="393"/>
      <c r="U982" s="393"/>
      <c r="V982" s="393"/>
      <c r="W982" s="393"/>
      <c r="X982" s="393"/>
      <c r="Y982" s="393"/>
      <c r="Z982" s="393"/>
      <c r="AA982" s="393"/>
      <c r="AB982" s="393"/>
      <c r="AC982" s="393"/>
      <c r="AD982" s="393"/>
      <c r="AE982" s="393"/>
      <c r="AF982" s="393"/>
      <c r="AG982" s="393"/>
    </row>
    <row r="983" spans="1:33" ht="12" customHeight="1">
      <c r="A983" s="25">
        <v>41392</v>
      </c>
      <c r="B983" s="391" t="s">
        <v>1985</v>
      </c>
      <c r="C983" s="219" t="s">
        <v>162</v>
      </c>
      <c r="D983" s="1" t="s">
        <v>1213</v>
      </c>
      <c r="E983" s="28" t="s">
        <v>178</v>
      </c>
      <c r="F983" s="205">
        <v>500</v>
      </c>
      <c r="G983" s="391" t="s">
        <v>6641</v>
      </c>
      <c r="H983" s="31">
        <v>12.4</v>
      </c>
      <c r="I983" s="27">
        <f t="shared" si="41"/>
        <v>6200</v>
      </c>
      <c r="J983" s="28" t="s">
        <v>6658</v>
      </c>
      <c r="K983" s="25">
        <v>41397</v>
      </c>
      <c r="M983" s="56">
        <v>41400</v>
      </c>
      <c r="N983" s="29" t="s">
        <v>166</v>
      </c>
    </row>
    <row r="984" spans="1:33" ht="12" customHeight="1">
      <c r="A984" s="25">
        <v>41392</v>
      </c>
      <c r="B984" s="391" t="s">
        <v>1985</v>
      </c>
      <c r="C984" s="219" t="s">
        <v>162</v>
      </c>
      <c r="D984" s="391" t="s">
        <v>1915</v>
      </c>
      <c r="E984" s="28" t="s">
        <v>4583</v>
      </c>
      <c r="F984" s="391">
        <v>144</v>
      </c>
      <c r="G984" s="391" t="s">
        <v>170</v>
      </c>
      <c r="H984" s="31">
        <v>29.22</v>
      </c>
      <c r="I984" s="27">
        <f t="shared" si="41"/>
        <v>4207.68</v>
      </c>
      <c r="J984" s="28" t="s">
        <v>6658</v>
      </c>
      <c r="K984" s="25">
        <v>41397</v>
      </c>
      <c r="M984" s="56">
        <v>41400</v>
      </c>
      <c r="N984" s="29" t="s">
        <v>166</v>
      </c>
    </row>
    <row r="985" spans="1:33" ht="12" customHeight="1">
      <c r="A985" s="25">
        <v>41400</v>
      </c>
      <c r="B985" s="1" t="s">
        <v>4111</v>
      </c>
      <c r="C985" s="219" t="s">
        <v>6666</v>
      </c>
      <c r="D985" s="393" t="s">
        <v>6703</v>
      </c>
      <c r="E985" s="28" t="s">
        <v>6666</v>
      </c>
      <c r="F985" s="205">
        <v>100</v>
      </c>
      <c r="G985" s="392" t="s">
        <v>6667</v>
      </c>
      <c r="H985" s="31">
        <v>3</v>
      </c>
      <c r="I985" s="27">
        <f t="shared" si="41"/>
        <v>300</v>
      </c>
      <c r="J985" s="28" t="s">
        <v>6668</v>
      </c>
      <c r="K985" s="25">
        <v>41400</v>
      </c>
      <c r="M985" s="56">
        <v>41400</v>
      </c>
      <c r="N985" s="29" t="s">
        <v>6789</v>
      </c>
      <c r="O985" s="28" t="s">
        <v>6790</v>
      </c>
    </row>
    <row r="986" spans="1:33" ht="12" customHeight="1">
      <c r="A986" s="25">
        <v>41400</v>
      </c>
      <c r="B986" s="392" t="s">
        <v>1979</v>
      </c>
      <c r="C986" s="219" t="s">
        <v>162</v>
      </c>
      <c r="D986" s="392" t="s">
        <v>353</v>
      </c>
      <c r="E986" s="28" t="s">
        <v>928</v>
      </c>
      <c r="F986" s="205">
        <v>50</v>
      </c>
      <c r="G986" s="392" t="s">
        <v>6684</v>
      </c>
      <c r="H986" s="31">
        <v>12.55</v>
      </c>
      <c r="I986" s="27">
        <f t="shared" si="41"/>
        <v>627.5</v>
      </c>
      <c r="J986" s="28" t="s">
        <v>6686</v>
      </c>
      <c r="K986" s="25">
        <v>41400</v>
      </c>
    </row>
    <row r="987" spans="1:33" ht="12" customHeight="1">
      <c r="A987" s="25">
        <v>41400</v>
      </c>
      <c r="B987" s="392" t="s">
        <v>5074</v>
      </c>
      <c r="C987" s="219" t="s">
        <v>162</v>
      </c>
      <c r="D987" s="393" t="s">
        <v>5076</v>
      </c>
      <c r="E987" s="393">
        <v>52000183666</v>
      </c>
      <c r="F987" s="205">
        <v>100</v>
      </c>
      <c r="G987" s="392" t="s">
        <v>171</v>
      </c>
      <c r="H987" s="31">
        <v>17.100000000000001</v>
      </c>
      <c r="I987" s="27">
        <f t="shared" si="41"/>
        <v>1710.0000000000002</v>
      </c>
      <c r="J987" s="28" t="s">
        <v>6695</v>
      </c>
      <c r="K987" s="25">
        <v>41401</v>
      </c>
      <c r="M987" s="56">
        <v>41400</v>
      </c>
      <c r="N987" s="97" t="s">
        <v>166</v>
      </c>
      <c r="O987" s="28" t="s">
        <v>6696</v>
      </c>
      <c r="P987" s="32">
        <v>1710</v>
      </c>
      <c r="Q987" s="56">
        <v>41401</v>
      </c>
    </row>
    <row r="988" spans="1:33" ht="12" customHeight="1">
      <c r="A988" s="25">
        <v>41400</v>
      </c>
      <c r="B988" s="392" t="s">
        <v>1975</v>
      </c>
      <c r="C988" s="219" t="s">
        <v>162</v>
      </c>
      <c r="D988" s="392" t="s">
        <v>5277</v>
      </c>
      <c r="E988" s="28" t="s">
        <v>5166</v>
      </c>
      <c r="F988" s="205">
        <v>200</v>
      </c>
      <c r="G988" s="392" t="s">
        <v>6684</v>
      </c>
      <c r="H988" s="31">
        <v>1.75</v>
      </c>
      <c r="I988" s="27">
        <f t="shared" ref="I988:I989" si="42">H988*F988</f>
        <v>350</v>
      </c>
      <c r="J988" s="28" t="s">
        <v>6690</v>
      </c>
      <c r="K988" s="25">
        <v>41400</v>
      </c>
      <c r="M988" s="56">
        <v>41424</v>
      </c>
      <c r="N988" s="29" t="s">
        <v>166</v>
      </c>
    </row>
    <row r="989" spans="1:33" ht="12" customHeight="1">
      <c r="A989" s="25">
        <v>41400</v>
      </c>
      <c r="B989" s="392" t="s">
        <v>1975</v>
      </c>
      <c r="C989" s="219" t="s">
        <v>162</v>
      </c>
      <c r="D989" s="5" t="s">
        <v>182</v>
      </c>
      <c r="E989" s="28" t="s">
        <v>186</v>
      </c>
      <c r="F989" s="205">
        <v>2000</v>
      </c>
      <c r="G989" s="392" t="s">
        <v>171</v>
      </c>
      <c r="H989" s="31">
        <v>1.54</v>
      </c>
      <c r="I989" s="27">
        <f t="shared" si="42"/>
        <v>3080</v>
      </c>
      <c r="J989" s="28" t="s">
        <v>6690</v>
      </c>
      <c r="K989" s="25">
        <v>41400</v>
      </c>
      <c r="M989" s="56">
        <v>41424</v>
      </c>
      <c r="N989" s="29" t="s">
        <v>166</v>
      </c>
    </row>
    <row r="990" spans="1:33" ht="12" customHeight="1">
      <c r="A990" s="25">
        <v>41401</v>
      </c>
      <c r="B990" s="393" t="s">
        <v>5933</v>
      </c>
      <c r="C990" s="220" t="s">
        <v>7</v>
      </c>
      <c r="D990" s="5" t="s">
        <v>1663</v>
      </c>
      <c r="E990" s="393" t="s">
        <v>1659</v>
      </c>
      <c r="F990" s="393">
        <v>20</v>
      </c>
      <c r="G990" s="393" t="s">
        <v>827</v>
      </c>
      <c r="H990" s="31">
        <v>68.8</v>
      </c>
      <c r="I990" s="27">
        <f t="shared" ref="I990:I992" si="43">H990*F990</f>
        <v>1376</v>
      </c>
      <c r="J990" s="28" t="s">
        <v>6724</v>
      </c>
      <c r="K990" s="25">
        <v>41402</v>
      </c>
      <c r="M990" s="56">
        <v>41401</v>
      </c>
      <c r="N990" s="29" t="s">
        <v>166</v>
      </c>
    </row>
    <row r="991" spans="1:33" ht="12" customHeight="1">
      <c r="A991" s="25">
        <v>41401</v>
      </c>
      <c r="B991" s="228" t="s">
        <v>6719</v>
      </c>
      <c r="C991" s="219" t="s">
        <v>6720</v>
      </c>
      <c r="D991" s="393" t="s">
        <v>6721</v>
      </c>
      <c r="E991" s="28" t="s">
        <v>6723</v>
      </c>
      <c r="F991" s="205">
        <v>30</v>
      </c>
      <c r="G991" s="393" t="s">
        <v>6708</v>
      </c>
      <c r="H991" s="31">
        <v>20</v>
      </c>
      <c r="I991" s="27">
        <f t="shared" si="43"/>
        <v>600</v>
      </c>
      <c r="J991" s="28" t="s">
        <v>6980</v>
      </c>
      <c r="K991" s="25">
        <v>41416</v>
      </c>
      <c r="L991" s="412" t="s">
        <v>7038</v>
      </c>
      <c r="M991" s="56">
        <v>41414</v>
      </c>
      <c r="N991" s="29" t="s">
        <v>166</v>
      </c>
    </row>
    <row r="992" spans="1:33" ht="12" customHeight="1">
      <c r="A992" s="25">
        <v>41401</v>
      </c>
      <c r="B992" s="228" t="s">
        <v>6719</v>
      </c>
      <c r="C992" s="219" t="s">
        <v>6720</v>
      </c>
      <c r="D992" s="393" t="s">
        <v>6722</v>
      </c>
      <c r="E992" s="28" t="s">
        <v>6723</v>
      </c>
      <c r="F992" s="205">
        <v>20</v>
      </c>
      <c r="G992" s="393" t="s">
        <v>6708</v>
      </c>
      <c r="H992" s="31">
        <v>20</v>
      </c>
      <c r="I992" s="27">
        <f t="shared" si="43"/>
        <v>400</v>
      </c>
      <c r="J992" s="28" t="s">
        <v>6980</v>
      </c>
      <c r="K992" s="25">
        <v>41416</v>
      </c>
      <c r="L992" s="412" t="s">
        <v>7038</v>
      </c>
      <c r="M992" s="56">
        <v>41414</v>
      </c>
      <c r="N992" s="29" t="s">
        <v>166</v>
      </c>
    </row>
    <row r="993" spans="1:18" ht="12" customHeight="1">
      <c r="A993" s="25">
        <v>41402</v>
      </c>
      <c r="B993" s="394" t="s">
        <v>1980</v>
      </c>
      <c r="C993" s="219" t="s">
        <v>162</v>
      </c>
      <c r="D993" s="396" t="s">
        <v>6781</v>
      </c>
      <c r="E993" s="28" t="s">
        <v>6741</v>
      </c>
      <c r="F993" s="394">
        <v>100</v>
      </c>
      <c r="G993" s="1" t="s">
        <v>170</v>
      </c>
      <c r="H993" s="31">
        <v>43.28</v>
      </c>
      <c r="I993" s="27">
        <f>H993*F993</f>
        <v>4328</v>
      </c>
      <c r="J993" s="28" t="s">
        <v>959</v>
      </c>
      <c r="K993" s="25">
        <v>41402</v>
      </c>
      <c r="M993" s="56">
        <v>41402</v>
      </c>
      <c r="N993" s="29" t="s">
        <v>166</v>
      </c>
      <c r="O993" s="28" t="s">
        <v>6784</v>
      </c>
      <c r="P993" s="32">
        <v>2216.48</v>
      </c>
      <c r="Q993" s="56">
        <v>41402</v>
      </c>
    </row>
    <row r="994" spans="1:18" ht="12" customHeight="1">
      <c r="A994" s="25">
        <v>41402</v>
      </c>
      <c r="B994" s="394" t="s">
        <v>5894</v>
      </c>
      <c r="C994" s="219" t="s">
        <v>162</v>
      </c>
      <c r="D994" s="394" t="s">
        <v>702</v>
      </c>
      <c r="E994" s="28" t="s">
        <v>6742</v>
      </c>
      <c r="F994" s="205">
        <v>5500</v>
      </c>
      <c r="G994" s="394" t="s">
        <v>6727</v>
      </c>
      <c r="H994" s="31">
        <v>2.4500000000000002</v>
      </c>
      <c r="I994" s="27">
        <f t="shared" ref="I994" si="44">H994*F994</f>
        <v>13475.000000000002</v>
      </c>
      <c r="J994" s="28" t="s">
        <v>167</v>
      </c>
      <c r="K994" s="25">
        <v>41410</v>
      </c>
      <c r="M994" s="56">
        <v>41402</v>
      </c>
      <c r="N994" s="29" t="s">
        <v>166</v>
      </c>
      <c r="O994" s="28" t="s">
        <v>6799</v>
      </c>
      <c r="P994" s="32">
        <v>13863.4</v>
      </c>
      <c r="Q994" s="56">
        <v>41404</v>
      </c>
      <c r="R994" s="204"/>
    </row>
    <row r="995" spans="1:18" ht="12" customHeight="1">
      <c r="A995" s="25">
        <v>41402</v>
      </c>
      <c r="B995" s="394" t="s">
        <v>5196</v>
      </c>
      <c r="C995" s="219" t="s">
        <v>861</v>
      </c>
      <c r="D995" s="1" t="s">
        <v>6740</v>
      </c>
      <c r="E995" s="28" t="s">
        <v>6739</v>
      </c>
      <c r="F995" s="205">
        <v>50</v>
      </c>
      <c r="G995" s="394" t="s">
        <v>192</v>
      </c>
      <c r="H995" s="31">
        <v>27</v>
      </c>
      <c r="I995" s="27">
        <f>H995*F995</f>
        <v>1350</v>
      </c>
      <c r="J995" s="28" t="s">
        <v>6785</v>
      </c>
      <c r="K995" s="25">
        <v>41404</v>
      </c>
      <c r="M995" s="56">
        <v>41402</v>
      </c>
      <c r="N995" s="29" t="s">
        <v>166</v>
      </c>
    </row>
    <row r="996" spans="1:18" ht="12" customHeight="1">
      <c r="A996" s="25">
        <v>41402</v>
      </c>
      <c r="B996" s="394" t="s">
        <v>5823</v>
      </c>
      <c r="C996" s="219" t="s">
        <v>162</v>
      </c>
      <c r="D996" s="1" t="s">
        <v>1219</v>
      </c>
      <c r="E996" s="28" t="s">
        <v>779</v>
      </c>
      <c r="F996" s="205">
        <v>500</v>
      </c>
      <c r="G996" s="394" t="s">
        <v>170</v>
      </c>
      <c r="H996" s="31">
        <v>3.96</v>
      </c>
      <c r="I996" s="27">
        <f>F996*H996</f>
        <v>1980</v>
      </c>
      <c r="J996" s="28" t="s">
        <v>167</v>
      </c>
      <c r="K996" s="25">
        <v>41407</v>
      </c>
      <c r="M996" s="56">
        <v>41402</v>
      </c>
      <c r="N996" s="29" t="s">
        <v>166</v>
      </c>
      <c r="O996" s="28" t="s">
        <v>7091</v>
      </c>
      <c r="P996" s="32">
        <v>24283</v>
      </c>
      <c r="Q996" s="56">
        <v>41421</v>
      </c>
    </row>
    <row r="997" spans="1:18" ht="12" customHeight="1">
      <c r="A997" s="25">
        <v>41402</v>
      </c>
      <c r="B997" s="394" t="s">
        <v>5823</v>
      </c>
      <c r="C997" s="219" t="s">
        <v>162</v>
      </c>
      <c r="D997" s="394" t="s">
        <v>670</v>
      </c>
      <c r="E997" s="28" t="s">
        <v>1083</v>
      </c>
      <c r="F997" s="205">
        <v>500</v>
      </c>
      <c r="G997" s="394" t="s">
        <v>170</v>
      </c>
      <c r="H997" s="31">
        <v>3.96</v>
      </c>
      <c r="I997" s="27">
        <f>F997*H997</f>
        <v>1980</v>
      </c>
      <c r="J997" s="28" t="s">
        <v>167</v>
      </c>
      <c r="K997" s="25">
        <v>41407</v>
      </c>
      <c r="M997" s="56">
        <v>41402</v>
      </c>
      <c r="N997" s="29" t="s">
        <v>166</v>
      </c>
      <c r="O997" s="28" t="s">
        <v>7091</v>
      </c>
      <c r="P997" s="32">
        <v>24283</v>
      </c>
      <c r="Q997" s="56">
        <v>41421</v>
      </c>
    </row>
    <row r="998" spans="1:18" ht="12" customHeight="1">
      <c r="A998" s="25">
        <v>41402</v>
      </c>
      <c r="B998" s="394" t="s">
        <v>5823</v>
      </c>
      <c r="C998" s="219" t="s">
        <v>162</v>
      </c>
      <c r="D998" s="394" t="s">
        <v>702</v>
      </c>
      <c r="E998" s="28" t="s">
        <v>6742</v>
      </c>
      <c r="F998" s="205">
        <v>250</v>
      </c>
      <c r="G998" s="394" t="s">
        <v>170</v>
      </c>
      <c r="H998" s="31">
        <v>2.2999999999999998</v>
      </c>
      <c r="I998" s="27">
        <f>F998*H998</f>
        <v>575</v>
      </c>
      <c r="J998" s="28" t="s">
        <v>167</v>
      </c>
      <c r="K998" s="25">
        <v>41407</v>
      </c>
      <c r="M998" s="56">
        <v>41402</v>
      </c>
      <c r="N998" s="29" t="s">
        <v>166</v>
      </c>
      <c r="O998" s="28" t="s">
        <v>7091</v>
      </c>
      <c r="P998" s="32">
        <v>24283</v>
      </c>
      <c r="Q998" s="56">
        <v>41421</v>
      </c>
    </row>
    <row r="999" spans="1:18" ht="12" customHeight="1">
      <c r="A999" s="25">
        <v>41402</v>
      </c>
      <c r="B999" s="407" t="s">
        <v>5823</v>
      </c>
      <c r="C999" s="219" t="s">
        <v>162</v>
      </c>
      <c r="D999" s="407" t="s">
        <v>702</v>
      </c>
      <c r="E999" s="28" t="s">
        <v>722</v>
      </c>
      <c r="F999" s="407">
        <v>250</v>
      </c>
      <c r="G999" s="407" t="s">
        <v>170</v>
      </c>
      <c r="H999" s="31">
        <v>2.2999999999999998</v>
      </c>
      <c r="I999" s="27">
        <f>F999*H999</f>
        <v>575</v>
      </c>
      <c r="J999" s="28" t="s">
        <v>167</v>
      </c>
      <c r="K999" s="25">
        <v>41400</v>
      </c>
      <c r="M999" s="56">
        <v>41418</v>
      </c>
      <c r="N999" s="29" t="s">
        <v>166</v>
      </c>
    </row>
    <row r="1000" spans="1:18" ht="12" customHeight="1">
      <c r="A1000" s="25">
        <v>41402</v>
      </c>
      <c r="B1000" s="395" t="s">
        <v>1987</v>
      </c>
      <c r="C1000" s="219" t="s">
        <v>162</v>
      </c>
      <c r="D1000" s="395" t="s">
        <v>1901</v>
      </c>
      <c r="E1000" s="395">
        <v>52000183617</v>
      </c>
      <c r="F1000" s="395">
        <v>3</v>
      </c>
      <c r="G1000" s="395" t="s">
        <v>170</v>
      </c>
      <c r="H1000" s="31">
        <v>870</v>
      </c>
      <c r="I1000" s="27">
        <f t="shared" ref="I1000" si="45">H1000*F1000</f>
        <v>2610</v>
      </c>
      <c r="J1000" s="28" t="s">
        <v>6752</v>
      </c>
      <c r="K1000" s="25">
        <v>41402</v>
      </c>
      <c r="M1000" s="56">
        <v>41425</v>
      </c>
      <c r="N1000" s="29" t="s">
        <v>165</v>
      </c>
    </row>
    <row r="1001" spans="1:18" ht="12" customHeight="1">
      <c r="A1001" s="25">
        <v>41403</v>
      </c>
      <c r="B1001" s="395" t="s">
        <v>1975</v>
      </c>
      <c r="C1001" s="219" t="s">
        <v>162</v>
      </c>
      <c r="D1001" s="5" t="s">
        <v>69</v>
      </c>
      <c r="E1001" s="28">
        <v>1100</v>
      </c>
      <c r="F1001" s="395">
        <v>200</v>
      </c>
      <c r="G1001" s="395" t="s">
        <v>172</v>
      </c>
      <c r="H1001" s="31">
        <v>0.38</v>
      </c>
      <c r="I1001" s="27">
        <f t="shared" ref="I1001:I1003" si="46">H1001*F1001</f>
        <v>76</v>
      </c>
      <c r="J1001" s="28" t="s">
        <v>6768</v>
      </c>
      <c r="K1001" s="25">
        <v>41403</v>
      </c>
      <c r="M1001" s="56">
        <v>41424</v>
      </c>
      <c r="N1001" s="29" t="s">
        <v>166</v>
      </c>
    </row>
    <row r="1002" spans="1:18" ht="12" customHeight="1">
      <c r="A1002" s="25">
        <v>41403</v>
      </c>
      <c r="B1002" s="312" t="s">
        <v>5134</v>
      </c>
      <c r="C1002" s="219" t="s">
        <v>162</v>
      </c>
      <c r="D1002" s="395" t="s">
        <v>182</v>
      </c>
      <c r="E1002" s="28" t="s">
        <v>6766</v>
      </c>
      <c r="F1002" s="205">
        <v>100</v>
      </c>
      <c r="G1002" s="395" t="s">
        <v>171</v>
      </c>
      <c r="H1002" s="31">
        <v>8.4</v>
      </c>
      <c r="I1002" s="27">
        <f t="shared" si="46"/>
        <v>840</v>
      </c>
      <c r="J1002" s="28" t="s">
        <v>6801</v>
      </c>
      <c r="K1002" s="25">
        <v>41407</v>
      </c>
      <c r="M1002" s="56">
        <v>41403</v>
      </c>
      <c r="N1002" s="29" t="s">
        <v>165</v>
      </c>
      <c r="O1002" s="28" t="s">
        <v>7180</v>
      </c>
      <c r="P1002" s="32">
        <v>66676</v>
      </c>
      <c r="Q1002" s="56">
        <v>41418</v>
      </c>
    </row>
    <row r="1003" spans="1:18" ht="12" customHeight="1">
      <c r="A1003" s="25">
        <v>41403</v>
      </c>
      <c r="B1003" s="312" t="s">
        <v>5134</v>
      </c>
      <c r="C1003" s="219" t="s">
        <v>162</v>
      </c>
      <c r="D1003" s="1" t="s">
        <v>1867</v>
      </c>
      <c r="E1003" s="28" t="s">
        <v>6767</v>
      </c>
      <c r="F1003" s="205">
        <v>10</v>
      </c>
      <c r="G1003" s="395" t="s">
        <v>6756</v>
      </c>
      <c r="H1003" s="31">
        <v>47.5</v>
      </c>
      <c r="I1003" s="27">
        <f t="shared" si="46"/>
        <v>475</v>
      </c>
      <c r="J1003" s="28" t="s">
        <v>6801</v>
      </c>
      <c r="K1003" s="25">
        <v>41407</v>
      </c>
      <c r="M1003" s="56">
        <v>41403</v>
      </c>
      <c r="N1003" s="29" t="s">
        <v>165</v>
      </c>
      <c r="O1003" s="28" t="s">
        <v>7180</v>
      </c>
      <c r="P1003" s="32">
        <v>66676</v>
      </c>
      <c r="Q1003" s="56">
        <v>41418</v>
      </c>
    </row>
    <row r="1004" spans="1:18" ht="12" customHeight="1">
      <c r="A1004" s="25">
        <v>41403</v>
      </c>
      <c r="B1004" s="395" t="s">
        <v>1985</v>
      </c>
      <c r="C1004" s="219" t="s">
        <v>162</v>
      </c>
      <c r="D1004" s="395" t="s">
        <v>287</v>
      </c>
      <c r="E1004" s="28" t="s">
        <v>6773</v>
      </c>
      <c r="F1004" s="205">
        <v>300</v>
      </c>
      <c r="G1004" s="395" t="s">
        <v>172</v>
      </c>
      <c r="H1004" s="31">
        <v>14.2</v>
      </c>
      <c r="I1004" s="27">
        <f t="shared" ref="I1004" si="47">H1004*F1004</f>
        <v>4260</v>
      </c>
      <c r="J1004" s="28" t="s">
        <v>6807</v>
      </c>
      <c r="K1004" s="25">
        <v>41407</v>
      </c>
      <c r="M1004" s="56">
        <v>41407</v>
      </c>
      <c r="N1004" s="29" t="s">
        <v>166</v>
      </c>
    </row>
    <row r="1005" spans="1:18" ht="12" customHeight="1">
      <c r="A1005" s="25">
        <v>41403</v>
      </c>
      <c r="B1005" s="395" t="s">
        <v>1985</v>
      </c>
      <c r="C1005" s="219" t="s">
        <v>162</v>
      </c>
      <c r="D1005" s="1" t="s">
        <v>1213</v>
      </c>
      <c r="E1005" s="28" t="s">
        <v>178</v>
      </c>
      <c r="F1005" s="205">
        <v>400</v>
      </c>
      <c r="G1005" s="395" t="s">
        <v>172</v>
      </c>
      <c r="H1005" s="31">
        <v>12.4</v>
      </c>
      <c r="I1005" s="27">
        <f t="shared" ref="I1005" si="48">F1005*H1005</f>
        <v>4960</v>
      </c>
      <c r="M1005" s="56">
        <v>41407</v>
      </c>
      <c r="N1005" s="29" t="s">
        <v>166</v>
      </c>
    </row>
    <row r="1006" spans="1:18" ht="12" customHeight="1">
      <c r="A1006" s="25">
        <v>41403</v>
      </c>
      <c r="B1006" s="395" t="s">
        <v>1985</v>
      </c>
      <c r="C1006" s="219" t="s">
        <v>162</v>
      </c>
      <c r="D1006" s="5" t="s">
        <v>5069</v>
      </c>
      <c r="E1006" s="395" t="s">
        <v>5068</v>
      </c>
      <c r="F1006" s="395">
        <v>5</v>
      </c>
      <c r="G1006" s="395" t="s">
        <v>172</v>
      </c>
      <c r="H1006" s="31">
        <v>12.06</v>
      </c>
      <c r="I1006" s="27">
        <f t="shared" ref="I1006" si="49">H1006*F1006</f>
        <v>60.300000000000004</v>
      </c>
      <c r="J1006" s="28" t="s">
        <v>6807</v>
      </c>
      <c r="K1006" s="25">
        <v>41407</v>
      </c>
      <c r="M1006" s="56">
        <v>41407</v>
      </c>
      <c r="N1006" s="29" t="s">
        <v>166</v>
      </c>
    </row>
    <row r="1007" spans="1:18" ht="12" customHeight="1">
      <c r="A1007" s="25">
        <v>41403</v>
      </c>
      <c r="B1007" s="395" t="s">
        <v>1985</v>
      </c>
      <c r="C1007" s="219" t="s">
        <v>162</v>
      </c>
      <c r="D1007" s="1" t="s">
        <v>6374</v>
      </c>
      <c r="E1007" s="28" t="s">
        <v>6774</v>
      </c>
      <c r="F1007" s="205">
        <v>15</v>
      </c>
      <c r="G1007" s="395" t="s">
        <v>170</v>
      </c>
      <c r="H1007" s="31">
        <v>48.4</v>
      </c>
      <c r="I1007" s="27">
        <f t="shared" ref="I1007:I1014" si="50">H1007*F1007</f>
        <v>726</v>
      </c>
      <c r="J1007" s="28" t="s">
        <v>6807</v>
      </c>
      <c r="K1007" s="25">
        <v>41407</v>
      </c>
      <c r="M1007" s="56">
        <v>41407</v>
      </c>
      <c r="N1007" s="29" t="s">
        <v>166</v>
      </c>
    </row>
    <row r="1008" spans="1:18" ht="12" customHeight="1">
      <c r="A1008" s="25">
        <v>41403</v>
      </c>
      <c r="B1008" s="395" t="s">
        <v>1985</v>
      </c>
      <c r="C1008" s="219" t="s">
        <v>861</v>
      </c>
      <c r="D1008" s="1" t="s">
        <v>6776</v>
      </c>
      <c r="E1008" s="28" t="s">
        <v>6775</v>
      </c>
      <c r="F1008" s="205">
        <v>5</v>
      </c>
      <c r="G1008" s="395" t="s">
        <v>192</v>
      </c>
      <c r="H1008" s="31">
        <v>24.5</v>
      </c>
      <c r="I1008" s="27">
        <f t="shared" si="50"/>
        <v>122.5</v>
      </c>
      <c r="J1008" s="28" t="s">
        <v>6807</v>
      </c>
      <c r="K1008" s="25">
        <v>41407</v>
      </c>
      <c r="M1008" s="56">
        <v>41407</v>
      </c>
      <c r="N1008" s="29" t="s">
        <v>166</v>
      </c>
    </row>
    <row r="1009" spans="1:33" ht="12" customHeight="1">
      <c r="A1009" s="25">
        <v>41403</v>
      </c>
      <c r="B1009" s="395" t="s">
        <v>1985</v>
      </c>
      <c r="C1009" s="219" t="s">
        <v>861</v>
      </c>
      <c r="D1009" s="1" t="s">
        <v>6740</v>
      </c>
      <c r="E1009" s="28" t="s">
        <v>6775</v>
      </c>
      <c r="F1009" s="395">
        <v>7</v>
      </c>
      <c r="G1009" s="395" t="s">
        <v>192</v>
      </c>
      <c r="H1009" s="31">
        <v>24.5</v>
      </c>
      <c r="I1009" s="27">
        <f t="shared" si="50"/>
        <v>171.5</v>
      </c>
      <c r="J1009" s="28" t="s">
        <v>6807</v>
      </c>
      <c r="K1009" s="25">
        <v>41407</v>
      </c>
      <c r="M1009" s="56">
        <v>41407</v>
      </c>
      <c r="N1009" s="29" t="s">
        <v>166</v>
      </c>
    </row>
    <row r="1010" spans="1:33" ht="12" customHeight="1">
      <c r="A1010" s="25">
        <v>41403</v>
      </c>
      <c r="B1010" s="395" t="s">
        <v>1985</v>
      </c>
      <c r="C1010" s="219" t="s">
        <v>861</v>
      </c>
      <c r="D1010" s="1" t="s">
        <v>6777</v>
      </c>
      <c r="E1010" s="28" t="s">
        <v>6775</v>
      </c>
      <c r="F1010" s="395">
        <v>7</v>
      </c>
      <c r="G1010" s="395" t="s">
        <v>192</v>
      </c>
      <c r="H1010" s="31">
        <v>25.5</v>
      </c>
      <c r="I1010" s="27">
        <f t="shared" si="50"/>
        <v>178.5</v>
      </c>
      <c r="J1010" s="28" t="s">
        <v>6807</v>
      </c>
      <c r="K1010" s="25">
        <v>41407</v>
      </c>
      <c r="M1010" s="56">
        <v>41407</v>
      </c>
      <c r="N1010" s="29" t="s">
        <v>166</v>
      </c>
    </row>
    <row r="1011" spans="1:33" ht="12" customHeight="1">
      <c r="A1011" s="25">
        <v>41403</v>
      </c>
      <c r="B1011" s="395" t="s">
        <v>1985</v>
      </c>
      <c r="C1011" s="219" t="s">
        <v>861</v>
      </c>
      <c r="D1011" s="1" t="s">
        <v>6778</v>
      </c>
      <c r="E1011" s="28" t="s">
        <v>6775</v>
      </c>
      <c r="F1011" s="395">
        <v>2</v>
      </c>
      <c r="G1011" s="395" t="s">
        <v>192</v>
      </c>
      <c r="H1011" s="31">
        <v>26.5</v>
      </c>
      <c r="I1011" s="27">
        <f t="shared" si="50"/>
        <v>53</v>
      </c>
      <c r="J1011" s="28" t="s">
        <v>6807</v>
      </c>
      <c r="K1011" s="25">
        <v>41407</v>
      </c>
      <c r="M1011" s="56">
        <v>41407</v>
      </c>
      <c r="N1011" s="29" t="s">
        <v>166</v>
      </c>
    </row>
    <row r="1012" spans="1:33" ht="12" customHeight="1">
      <c r="A1012" s="25">
        <v>41403</v>
      </c>
      <c r="B1012" s="395" t="s">
        <v>1985</v>
      </c>
      <c r="C1012" s="219" t="s">
        <v>861</v>
      </c>
      <c r="D1012" s="1" t="s">
        <v>6779</v>
      </c>
      <c r="E1012" s="28" t="s">
        <v>6775</v>
      </c>
      <c r="F1012" s="395">
        <v>2</v>
      </c>
      <c r="G1012" s="395" t="s">
        <v>192</v>
      </c>
      <c r="H1012" s="31">
        <v>26.5</v>
      </c>
      <c r="I1012" s="27">
        <f t="shared" si="50"/>
        <v>53</v>
      </c>
      <c r="J1012" s="28" t="s">
        <v>6807</v>
      </c>
      <c r="K1012" s="25">
        <v>41407</v>
      </c>
      <c r="M1012" s="56">
        <v>41407</v>
      </c>
      <c r="N1012" s="29" t="s">
        <v>166</v>
      </c>
    </row>
    <row r="1013" spans="1:33" ht="12" customHeight="1">
      <c r="A1013" s="25">
        <v>41403</v>
      </c>
      <c r="B1013" s="396" t="s">
        <v>5072</v>
      </c>
      <c r="C1013" s="219" t="s">
        <v>162</v>
      </c>
      <c r="D1013" s="396" t="s">
        <v>1882</v>
      </c>
      <c r="E1013" s="28" t="s">
        <v>145</v>
      </c>
      <c r="F1013" s="205">
        <v>300</v>
      </c>
      <c r="G1013" s="396" t="s">
        <v>6782</v>
      </c>
      <c r="H1013" s="31">
        <v>17.8</v>
      </c>
      <c r="I1013" s="27">
        <f t="shared" si="50"/>
        <v>5340</v>
      </c>
      <c r="J1013" s="28" t="s">
        <v>6806</v>
      </c>
      <c r="K1013" s="25">
        <v>41403</v>
      </c>
      <c r="M1013" s="56">
        <v>41402</v>
      </c>
      <c r="N1013" s="29" t="s">
        <v>166</v>
      </c>
      <c r="O1013" s="28" t="s">
        <v>6783</v>
      </c>
      <c r="P1013" s="32">
        <v>5340</v>
      </c>
      <c r="Q1013" s="56">
        <v>41403</v>
      </c>
    </row>
    <row r="1014" spans="1:33" ht="12" customHeight="1">
      <c r="A1014" s="25">
        <v>41404</v>
      </c>
      <c r="B1014" s="312" t="s">
        <v>5134</v>
      </c>
      <c r="C1014" s="219" t="s">
        <v>162</v>
      </c>
      <c r="D1014" s="396" t="s">
        <v>1916</v>
      </c>
      <c r="E1014" s="28" t="s">
        <v>6787</v>
      </c>
      <c r="F1014" s="396">
        <v>4</v>
      </c>
      <c r="G1014" s="396" t="s">
        <v>170</v>
      </c>
      <c r="H1014" s="31">
        <v>420</v>
      </c>
      <c r="I1014" s="27">
        <f t="shared" si="50"/>
        <v>1680</v>
      </c>
      <c r="J1014" s="28" t="s">
        <v>6801</v>
      </c>
      <c r="K1014" s="25">
        <v>41407</v>
      </c>
      <c r="M1014" s="56">
        <v>41404</v>
      </c>
      <c r="N1014" s="29" t="s">
        <v>165</v>
      </c>
      <c r="R1014" s="396"/>
      <c r="S1014" s="396"/>
      <c r="T1014" s="396"/>
      <c r="U1014" s="396"/>
      <c r="V1014" s="396"/>
      <c r="W1014" s="396"/>
      <c r="X1014" s="396"/>
      <c r="Y1014" s="396"/>
      <c r="Z1014" s="396"/>
      <c r="AA1014" s="396"/>
      <c r="AB1014" s="396"/>
      <c r="AC1014" s="396"/>
      <c r="AD1014" s="396"/>
      <c r="AE1014" s="396"/>
      <c r="AF1014" s="396"/>
      <c r="AG1014" s="396"/>
    </row>
    <row r="1015" spans="1:33" ht="12" customHeight="1">
      <c r="A1015" s="25">
        <v>41407</v>
      </c>
      <c r="B1015" s="397" t="s">
        <v>5823</v>
      </c>
      <c r="C1015" s="219" t="s">
        <v>162</v>
      </c>
      <c r="D1015" s="1" t="s">
        <v>1219</v>
      </c>
      <c r="E1015" s="28" t="s">
        <v>779</v>
      </c>
      <c r="F1015" s="205">
        <v>1750</v>
      </c>
      <c r="G1015" s="397" t="s">
        <v>170</v>
      </c>
      <c r="H1015" s="31">
        <v>3.96</v>
      </c>
      <c r="I1015" s="27">
        <f t="shared" ref="I1015:I1039" si="51">F1015*H1015</f>
        <v>6930</v>
      </c>
      <c r="J1015" s="28" t="s">
        <v>6808</v>
      </c>
      <c r="K1015" s="25">
        <v>41407</v>
      </c>
      <c r="M1015" s="56">
        <v>41407</v>
      </c>
      <c r="N1015" s="29" t="s">
        <v>166</v>
      </c>
      <c r="O1015" s="28" t="s">
        <v>7091</v>
      </c>
      <c r="P1015" s="32">
        <v>24283</v>
      </c>
      <c r="Q1015" s="56">
        <v>41421</v>
      </c>
    </row>
    <row r="1016" spans="1:33" ht="12" customHeight="1">
      <c r="A1016" s="25">
        <v>41407</v>
      </c>
      <c r="B1016" s="398" t="s">
        <v>5823</v>
      </c>
      <c r="C1016" s="219" t="s">
        <v>162</v>
      </c>
      <c r="D1016" s="1" t="s">
        <v>1219</v>
      </c>
      <c r="E1016" s="28" t="s">
        <v>779</v>
      </c>
      <c r="F1016" s="398">
        <v>500</v>
      </c>
      <c r="G1016" s="398" t="s">
        <v>170</v>
      </c>
      <c r="H1016" s="31">
        <v>3.96</v>
      </c>
      <c r="I1016" s="27">
        <f t="shared" si="51"/>
        <v>1980</v>
      </c>
      <c r="J1016" s="28" t="s">
        <v>7164</v>
      </c>
      <c r="K1016" s="25">
        <v>41423</v>
      </c>
      <c r="L1016" s="412" t="s">
        <v>7155</v>
      </c>
      <c r="M1016" s="56">
        <v>41407</v>
      </c>
      <c r="N1016" s="29" t="s">
        <v>166</v>
      </c>
      <c r="O1016" s="28" t="s">
        <v>7091</v>
      </c>
      <c r="P1016" s="32">
        <v>24283</v>
      </c>
      <c r="Q1016" s="56">
        <v>41421</v>
      </c>
    </row>
    <row r="1017" spans="1:33" ht="12" customHeight="1">
      <c r="A1017" s="25">
        <v>41408</v>
      </c>
      <c r="B1017" s="398" t="s">
        <v>1975</v>
      </c>
      <c r="C1017" s="219" t="s">
        <v>162</v>
      </c>
      <c r="D1017" s="398" t="s">
        <v>1760</v>
      </c>
      <c r="E1017" s="28" t="s">
        <v>234</v>
      </c>
      <c r="F1017" s="398">
        <v>876</v>
      </c>
      <c r="G1017" s="398" t="s">
        <v>170</v>
      </c>
      <c r="H1017" s="31">
        <v>1.08</v>
      </c>
      <c r="I1017" s="27">
        <f t="shared" si="51"/>
        <v>946.08</v>
      </c>
      <c r="J1017" s="28" t="s">
        <v>6829</v>
      </c>
      <c r="K1017" s="25">
        <v>41408</v>
      </c>
      <c r="M1017" s="56">
        <v>41424</v>
      </c>
      <c r="N1017" s="29" t="s">
        <v>166</v>
      </c>
    </row>
    <row r="1018" spans="1:33" ht="12" customHeight="1">
      <c r="A1018" s="25">
        <v>41408</v>
      </c>
      <c r="B1018" s="398" t="s">
        <v>5933</v>
      </c>
      <c r="C1018" s="220" t="s">
        <v>7</v>
      </c>
      <c r="D1018" s="95" t="s">
        <v>5008</v>
      </c>
      <c r="E1018" s="28" t="s">
        <v>855</v>
      </c>
      <c r="F1018" s="398">
        <f>144*8</f>
        <v>1152</v>
      </c>
      <c r="G1018" s="398" t="s">
        <v>827</v>
      </c>
      <c r="H1018" s="31">
        <v>9.84</v>
      </c>
      <c r="I1018" s="27">
        <f t="shared" si="51"/>
        <v>11335.68</v>
      </c>
      <c r="J1018" s="28" t="s">
        <v>167</v>
      </c>
      <c r="K1018" s="25">
        <v>41410</v>
      </c>
      <c r="M1018" s="56">
        <v>41410</v>
      </c>
      <c r="N1018" s="29" t="s">
        <v>166</v>
      </c>
    </row>
    <row r="1019" spans="1:33" ht="12" customHeight="1">
      <c r="A1019" s="25">
        <v>41409</v>
      </c>
      <c r="B1019" s="399" t="s">
        <v>1975</v>
      </c>
      <c r="C1019" s="219" t="s">
        <v>162</v>
      </c>
      <c r="D1019" s="5" t="s">
        <v>2012</v>
      </c>
      <c r="E1019" s="28" t="s">
        <v>6842</v>
      </c>
      <c r="F1019" s="205">
        <v>500</v>
      </c>
      <c r="G1019" s="399" t="s">
        <v>170</v>
      </c>
      <c r="H1019" s="31">
        <v>1.55</v>
      </c>
      <c r="I1019" s="27">
        <f t="shared" si="51"/>
        <v>775</v>
      </c>
      <c r="J1019" s="28" t="s">
        <v>6843</v>
      </c>
      <c r="K1019" s="25">
        <v>41409</v>
      </c>
      <c r="M1019" s="56">
        <v>41424</v>
      </c>
      <c r="N1019" s="29" t="s">
        <v>166</v>
      </c>
    </row>
    <row r="1020" spans="1:33" ht="12" customHeight="1">
      <c r="A1020" s="25">
        <v>41409</v>
      </c>
      <c r="B1020" s="400" t="s">
        <v>1988</v>
      </c>
      <c r="C1020" s="219" t="s">
        <v>1850</v>
      </c>
      <c r="D1020" s="400" t="s">
        <v>6856</v>
      </c>
      <c r="E1020" s="400" t="s">
        <v>6857</v>
      </c>
      <c r="F1020" s="205">
        <v>15</v>
      </c>
      <c r="G1020" s="400" t="s">
        <v>1626</v>
      </c>
      <c r="H1020" s="31">
        <v>53</v>
      </c>
      <c r="I1020" s="27">
        <f t="shared" ref="I1020" si="52">H1020*F1020</f>
        <v>795</v>
      </c>
      <c r="J1020" s="28" t="s">
        <v>6905</v>
      </c>
      <c r="K1020" s="25">
        <v>41411</v>
      </c>
    </row>
    <row r="1021" spans="1:33" ht="12" customHeight="1">
      <c r="A1021" s="25">
        <v>41411</v>
      </c>
      <c r="B1021" s="401" t="s">
        <v>5933</v>
      </c>
      <c r="C1021" s="220" t="s">
        <v>7</v>
      </c>
      <c r="D1021" s="401" t="s">
        <v>5934</v>
      </c>
      <c r="E1021" s="401" t="s">
        <v>6876</v>
      </c>
      <c r="F1021" s="401">
        <v>720</v>
      </c>
      <c r="G1021" s="401" t="s">
        <v>827</v>
      </c>
      <c r="H1021" s="31">
        <v>7.66</v>
      </c>
      <c r="I1021" s="27">
        <f t="shared" ref="I1021:I1030" si="53">F1021*H1021</f>
        <v>5515.2</v>
      </c>
      <c r="J1021" s="28" t="s">
        <v>7017</v>
      </c>
      <c r="K1021" s="25">
        <v>41417</v>
      </c>
      <c r="L1021" s="412" t="s">
        <v>7038</v>
      </c>
      <c r="M1021" s="56">
        <v>41411</v>
      </c>
      <c r="N1021" s="29" t="s">
        <v>166</v>
      </c>
      <c r="R1021" s="401"/>
      <c r="S1021" s="401"/>
      <c r="T1021" s="401"/>
      <c r="U1021" s="401"/>
      <c r="V1021" s="401"/>
      <c r="W1021" s="401"/>
      <c r="X1021" s="401"/>
      <c r="Y1021" s="401"/>
      <c r="Z1021" s="401"/>
      <c r="AA1021" s="401"/>
      <c r="AB1021" s="401"/>
      <c r="AC1021" s="401"/>
      <c r="AD1021" s="401"/>
      <c r="AE1021" s="401"/>
      <c r="AF1021" s="401"/>
      <c r="AG1021" s="401"/>
    </row>
    <row r="1022" spans="1:33" ht="12" customHeight="1">
      <c r="A1022" s="25">
        <v>41411</v>
      </c>
      <c r="B1022" s="401" t="s">
        <v>5933</v>
      </c>
      <c r="C1022" s="220" t="s">
        <v>7</v>
      </c>
      <c r="D1022" s="95" t="s">
        <v>5008</v>
      </c>
      <c r="E1022" s="28" t="s">
        <v>855</v>
      </c>
      <c r="F1022" s="401">
        <v>3168</v>
      </c>
      <c r="G1022" s="401" t="s">
        <v>827</v>
      </c>
      <c r="H1022" s="31">
        <v>9.84</v>
      </c>
      <c r="I1022" s="27">
        <f t="shared" si="53"/>
        <v>31173.119999999999</v>
      </c>
      <c r="J1022" s="28" t="s">
        <v>7017</v>
      </c>
      <c r="K1022" s="25">
        <v>41417</v>
      </c>
      <c r="L1022" s="412" t="s">
        <v>7038</v>
      </c>
      <c r="M1022" s="56">
        <v>41411</v>
      </c>
      <c r="N1022" s="29" t="s">
        <v>166</v>
      </c>
    </row>
    <row r="1023" spans="1:33" ht="12" customHeight="1">
      <c r="A1023" s="25">
        <v>41411</v>
      </c>
      <c r="B1023" s="401" t="s">
        <v>5933</v>
      </c>
      <c r="C1023" s="220" t="s">
        <v>7</v>
      </c>
      <c r="D1023" s="5" t="s">
        <v>1663</v>
      </c>
      <c r="E1023" s="28" t="s">
        <v>6877</v>
      </c>
      <c r="F1023" s="205">
        <v>48</v>
      </c>
      <c r="G1023" s="401" t="s">
        <v>827</v>
      </c>
      <c r="H1023" s="31">
        <v>68.8</v>
      </c>
      <c r="I1023" s="27">
        <f t="shared" si="53"/>
        <v>3302.3999999999996</v>
      </c>
      <c r="J1023" s="28" t="s">
        <v>7017</v>
      </c>
      <c r="K1023" s="25">
        <v>41417</v>
      </c>
      <c r="L1023" s="412" t="s">
        <v>7038</v>
      </c>
      <c r="M1023" s="56">
        <v>41411</v>
      </c>
      <c r="N1023" s="29" t="s">
        <v>166</v>
      </c>
    </row>
    <row r="1024" spans="1:33" ht="12" customHeight="1">
      <c r="A1024" s="25">
        <v>41411</v>
      </c>
      <c r="B1024" s="401" t="s">
        <v>5933</v>
      </c>
      <c r="C1024" s="220" t="s">
        <v>7</v>
      </c>
      <c r="D1024" s="401" t="s">
        <v>4977</v>
      </c>
      <c r="E1024" s="28" t="s">
        <v>6878</v>
      </c>
      <c r="F1024" s="205">
        <v>2500</v>
      </c>
      <c r="G1024" s="401" t="s">
        <v>827</v>
      </c>
      <c r="H1024" s="31">
        <v>1.32</v>
      </c>
      <c r="I1024" s="27">
        <f t="shared" si="53"/>
        <v>3300</v>
      </c>
      <c r="J1024" s="28" t="s">
        <v>7017</v>
      </c>
      <c r="K1024" s="25">
        <v>41417</v>
      </c>
      <c r="L1024" s="412" t="s">
        <v>7038</v>
      </c>
      <c r="M1024" s="56">
        <v>41411</v>
      </c>
      <c r="N1024" s="29" t="s">
        <v>166</v>
      </c>
    </row>
    <row r="1025" spans="1:17" ht="12" customHeight="1">
      <c r="A1025" s="25">
        <v>41411</v>
      </c>
      <c r="B1025" s="401" t="s">
        <v>5933</v>
      </c>
      <c r="C1025" s="220" t="s">
        <v>7</v>
      </c>
      <c r="D1025" s="401" t="s">
        <v>5062</v>
      </c>
      <c r="E1025" s="28" t="s">
        <v>6879</v>
      </c>
      <c r="F1025" s="205">
        <v>300</v>
      </c>
      <c r="G1025" s="401" t="s">
        <v>827</v>
      </c>
      <c r="H1025" s="31">
        <v>6.72</v>
      </c>
      <c r="I1025" s="27">
        <f t="shared" si="53"/>
        <v>2016</v>
      </c>
      <c r="J1025" s="28" t="s">
        <v>7017</v>
      </c>
      <c r="K1025" s="25">
        <v>41417</v>
      </c>
      <c r="L1025" s="412" t="s">
        <v>7037</v>
      </c>
      <c r="M1025" s="56">
        <v>41411</v>
      </c>
      <c r="N1025" s="29" t="s">
        <v>166</v>
      </c>
    </row>
    <row r="1026" spans="1:17" ht="12" customHeight="1">
      <c r="A1026" s="25">
        <v>41411</v>
      </c>
      <c r="B1026" s="401" t="s">
        <v>5933</v>
      </c>
      <c r="C1026" s="220" t="s">
        <v>6707</v>
      </c>
      <c r="D1026" s="401" t="s">
        <v>6881</v>
      </c>
      <c r="E1026" s="28" t="s">
        <v>6880</v>
      </c>
      <c r="F1026" s="205">
        <v>5000</v>
      </c>
      <c r="G1026" s="401" t="s">
        <v>170</v>
      </c>
      <c r="H1026" s="31">
        <v>0.95</v>
      </c>
      <c r="I1026" s="27">
        <f t="shared" si="53"/>
        <v>4750</v>
      </c>
      <c r="J1026" s="28" t="s">
        <v>6973</v>
      </c>
      <c r="K1026" s="25">
        <v>41415</v>
      </c>
      <c r="L1026" s="412" t="s">
        <v>7038</v>
      </c>
      <c r="M1026" s="56">
        <v>41411</v>
      </c>
      <c r="N1026" s="29" t="s">
        <v>166</v>
      </c>
    </row>
    <row r="1027" spans="1:17" ht="12" customHeight="1">
      <c r="A1027" s="25">
        <v>41411</v>
      </c>
      <c r="B1027" s="401" t="s">
        <v>1975</v>
      </c>
      <c r="C1027" s="219" t="s">
        <v>162</v>
      </c>
      <c r="D1027" s="401" t="s">
        <v>1760</v>
      </c>
      <c r="E1027" s="28" t="s">
        <v>234</v>
      </c>
      <c r="F1027" s="401">
        <v>1000</v>
      </c>
      <c r="G1027" s="401" t="s">
        <v>170</v>
      </c>
      <c r="H1027" s="31">
        <v>1.08</v>
      </c>
      <c r="I1027" s="27">
        <f t="shared" si="53"/>
        <v>1080</v>
      </c>
      <c r="J1027" s="28" t="s">
        <v>6883</v>
      </c>
      <c r="K1027" s="25">
        <v>41411</v>
      </c>
      <c r="M1027" s="56">
        <v>41424</v>
      </c>
      <c r="N1027" s="29" t="s">
        <v>166</v>
      </c>
    </row>
    <row r="1028" spans="1:17" ht="12" customHeight="1">
      <c r="A1028" s="25">
        <v>41411</v>
      </c>
      <c r="B1028" s="401" t="s">
        <v>1980</v>
      </c>
      <c r="C1028" s="219" t="s">
        <v>162</v>
      </c>
      <c r="D1028" s="401" t="s">
        <v>1908</v>
      </c>
      <c r="E1028" s="28" t="s">
        <v>6909</v>
      </c>
      <c r="F1028" s="205">
        <v>120</v>
      </c>
      <c r="G1028" s="401" t="s">
        <v>170</v>
      </c>
      <c r="H1028" s="31">
        <v>12.35</v>
      </c>
      <c r="I1028" s="27">
        <f t="shared" si="53"/>
        <v>1482</v>
      </c>
      <c r="J1028" s="28" t="s">
        <v>6893</v>
      </c>
      <c r="K1028" s="25">
        <v>41411</v>
      </c>
      <c r="M1028" s="56">
        <v>41411</v>
      </c>
      <c r="N1028" s="29" t="s">
        <v>165</v>
      </c>
      <c r="O1028" s="28" t="s">
        <v>6911</v>
      </c>
      <c r="P1028" s="32">
        <v>14748</v>
      </c>
      <c r="Q1028" s="56">
        <v>41411</v>
      </c>
    </row>
    <row r="1029" spans="1:17" ht="12" customHeight="1">
      <c r="A1029" s="25">
        <v>41411</v>
      </c>
      <c r="B1029" s="401" t="s">
        <v>1980</v>
      </c>
      <c r="C1029" s="219" t="s">
        <v>162</v>
      </c>
      <c r="D1029" s="1" t="s">
        <v>1867</v>
      </c>
      <c r="E1029" s="28" t="s">
        <v>6910</v>
      </c>
      <c r="F1029" s="205">
        <v>180</v>
      </c>
      <c r="G1029" s="401" t="s">
        <v>170</v>
      </c>
      <c r="H1029" s="31">
        <v>55.3</v>
      </c>
      <c r="I1029" s="27">
        <f t="shared" si="53"/>
        <v>9954</v>
      </c>
      <c r="J1029" s="28" t="s">
        <v>6893</v>
      </c>
      <c r="K1029" s="25">
        <v>41411</v>
      </c>
      <c r="M1029" s="56">
        <v>41411</v>
      </c>
      <c r="N1029" s="29" t="s">
        <v>165</v>
      </c>
      <c r="O1029" s="28" t="s">
        <v>6911</v>
      </c>
      <c r="P1029" s="32">
        <v>14748</v>
      </c>
      <c r="Q1029" s="56">
        <v>41411</v>
      </c>
    </row>
    <row r="1030" spans="1:17" ht="12" customHeight="1">
      <c r="A1030" s="25">
        <v>41411</v>
      </c>
      <c r="B1030" s="401" t="s">
        <v>1980</v>
      </c>
      <c r="C1030" s="219" t="s">
        <v>162</v>
      </c>
      <c r="D1030" s="401" t="s">
        <v>240</v>
      </c>
      <c r="E1030" s="28" t="s">
        <v>4506</v>
      </c>
      <c r="F1030" s="205">
        <v>72</v>
      </c>
      <c r="G1030" s="401" t="s">
        <v>170</v>
      </c>
      <c r="H1030" s="31">
        <v>46</v>
      </c>
      <c r="I1030" s="27">
        <f t="shared" si="53"/>
        <v>3312</v>
      </c>
      <c r="J1030" s="28" t="s">
        <v>6893</v>
      </c>
      <c r="K1030" s="25">
        <v>41411</v>
      </c>
      <c r="M1030" s="56">
        <v>41411</v>
      </c>
      <c r="N1030" s="29" t="s">
        <v>165</v>
      </c>
      <c r="O1030" s="28" t="s">
        <v>6911</v>
      </c>
      <c r="P1030" s="32">
        <v>14748</v>
      </c>
      <c r="Q1030" s="56">
        <v>41411</v>
      </c>
    </row>
    <row r="1031" spans="1:17" ht="12" customHeight="1">
      <c r="A1031" s="25">
        <v>41414</v>
      </c>
      <c r="B1031" s="403" t="s">
        <v>1975</v>
      </c>
      <c r="C1031" s="219" t="s">
        <v>162</v>
      </c>
      <c r="D1031" s="5" t="s">
        <v>2012</v>
      </c>
      <c r="E1031" s="28" t="s">
        <v>180</v>
      </c>
      <c r="F1031" s="205">
        <v>1500</v>
      </c>
      <c r="G1031" s="403" t="s">
        <v>170</v>
      </c>
      <c r="H1031" s="31">
        <v>1.55</v>
      </c>
      <c r="I1031" s="27">
        <f t="shared" ref="I1031:I1032" si="54">F1031*H1031</f>
        <v>2325</v>
      </c>
      <c r="J1031" s="28" t="s">
        <v>6925</v>
      </c>
      <c r="K1031" s="25">
        <v>41414</v>
      </c>
      <c r="M1031" s="56">
        <v>41424</v>
      </c>
      <c r="N1031" s="29" t="s">
        <v>166</v>
      </c>
    </row>
    <row r="1032" spans="1:17" ht="12" customHeight="1">
      <c r="A1032" s="25">
        <v>41414</v>
      </c>
      <c r="B1032" s="403" t="s">
        <v>1978</v>
      </c>
      <c r="C1032" s="219" t="s">
        <v>162</v>
      </c>
      <c r="D1032" s="403" t="s">
        <v>353</v>
      </c>
      <c r="E1032" s="28" t="s">
        <v>6926</v>
      </c>
      <c r="F1032" s="205">
        <v>500</v>
      </c>
      <c r="G1032" s="403" t="s">
        <v>170</v>
      </c>
      <c r="H1032" s="31">
        <v>12</v>
      </c>
      <c r="I1032" s="27">
        <f t="shared" si="54"/>
        <v>6000</v>
      </c>
      <c r="J1032" s="28" t="s">
        <v>7081</v>
      </c>
      <c r="K1032" s="25">
        <v>41421</v>
      </c>
      <c r="L1032" s="412" t="s">
        <v>7095</v>
      </c>
      <c r="M1032" s="56">
        <v>41414</v>
      </c>
      <c r="N1032" s="29" t="s">
        <v>166</v>
      </c>
    </row>
    <row r="1033" spans="1:17" ht="12" customHeight="1">
      <c r="A1033" s="25">
        <v>41415</v>
      </c>
      <c r="B1033" s="404" t="s">
        <v>1975</v>
      </c>
      <c r="C1033" s="219" t="s">
        <v>162</v>
      </c>
      <c r="D1033" s="5" t="s">
        <v>2012</v>
      </c>
      <c r="E1033" s="28" t="s">
        <v>180</v>
      </c>
      <c r="F1033" s="404">
        <v>1500</v>
      </c>
      <c r="G1033" s="404" t="s">
        <v>170</v>
      </c>
      <c r="H1033" s="31">
        <v>1.55</v>
      </c>
      <c r="I1033" s="27">
        <f>F1033*H1033</f>
        <v>2325</v>
      </c>
      <c r="J1033" s="28" t="s">
        <v>6952</v>
      </c>
      <c r="K1033" s="25">
        <v>41415</v>
      </c>
      <c r="M1033" s="56">
        <v>41424</v>
      </c>
      <c r="N1033" s="29" t="s">
        <v>166</v>
      </c>
    </row>
    <row r="1034" spans="1:17" ht="12" customHeight="1">
      <c r="A1034" s="25">
        <v>41415</v>
      </c>
      <c r="B1034" s="404" t="s">
        <v>1975</v>
      </c>
      <c r="C1034" s="219" t="s">
        <v>162</v>
      </c>
      <c r="D1034" s="5" t="s">
        <v>182</v>
      </c>
      <c r="E1034" s="28" t="s">
        <v>186</v>
      </c>
      <c r="F1034" s="404">
        <v>1500</v>
      </c>
      <c r="G1034" s="404" t="s">
        <v>171</v>
      </c>
      <c r="H1034" s="31">
        <v>1.54</v>
      </c>
      <c r="I1034" s="27">
        <f t="shared" ref="I1034" si="55">H1034*F1034</f>
        <v>2310</v>
      </c>
      <c r="J1034" s="28" t="s">
        <v>6952</v>
      </c>
      <c r="K1034" s="25">
        <v>41415</v>
      </c>
      <c r="M1034" s="56">
        <v>41424</v>
      </c>
      <c r="N1034" s="29" t="s">
        <v>166</v>
      </c>
    </row>
    <row r="1035" spans="1:17" ht="12" customHeight="1">
      <c r="A1035" s="25">
        <v>41414</v>
      </c>
      <c r="B1035" s="404" t="s">
        <v>1985</v>
      </c>
      <c r="C1035" s="219" t="s">
        <v>162</v>
      </c>
      <c r="D1035" s="404" t="s">
        <v>240</v>
      </c>
      <c r="E1035" s="28" t="s">
        <v>4506</v>
      </c>
      <c r="F1035" s="205">
        <v>144</v>
      </c>
      <c r="G1035" s="404" t="s">
        <v>6957</v>
      </c>
      <c r="H1035" s="31">
        <v>45.2</v>
      </c>
      <c r="I1035" s="27">
        <f t="shared" si="51"/>
        <v>6508.8</v>
      </c>
      <c r="J1035" s="28" t="s">
        <v>7029</v>
      </c>
      <c r="K1035" s="25">
        <v>41417</v>
      </c>
      <c r="L1035" s="412" t="s">
        <v>7038</v>
      </c>
      <c r="M1035" s="56">
        <v>41418</v>
      </c>
      <c r="N1035" s="29" t="s">
        <v>166</v>
      </c>
    </row>
    <row r="1036" spans="1:17" ht="12" customHeight="1">
      <c r="A1036" s="25">
        <v>41414</v>
      </c>
      <c r="B1036" s="404" t="s">
        <v>1985</v>
      </c>
      <c r="C1036" s="219" t="s">
        <v>162</v>
      </c>
      <c r="D1036" s="404" t="s">
        <v>1886</v>
      </c>
      <c r="E1036" s="28" t="s">
        <v>22</v>
      </c>
      <c r="F1036" s="205">
        <v>180</v>
      </c>
      <c r="G1036" s="404" t="s">
        <v>6957</v>
      </c>
      <c r="H1036" s="31">
        <v>12</v>
      </c>
      <c r="I1036" s="27">
        <f t="shared" si="51"/>
        <v>2160</v>
      </c>
      <c r="J1036" s="28" t="s">
        <v>7029</v>
      </c>
      <c r="K1036" s="25">
        <v>41417</v>
      </c>
      <c r="L1036" s="412" t="s">
        <v>7038</v>
      </c>
      <c r="M1036" s="56">
        <v>41418</v>
      </c>
      <c r="N1036" s="29" t="s">
        <v>166</v>
      </c>
    </row>
    <row r="1037" spans="1:17" ht="12" customHeight="1">
      <c r="A1037" s="25">
        <v>41414</v>
      </c>
      <c r="B1037" s="404" t="s">
        <v>1985</v>
      </c>
      <c r="C1037" s="219" t="s">
        <v>162</v>
      </c>
      <c r="D1037" s="404" t="s">
        <v>273</v>
      </c>
      <c r="E1037" s="404" t="s">
        <v>274</v>
      </c>
      <c r="F1037" s="205">
        <v>120</v>
      </c>
      <c r="G1037" s="404" t="s">
        <v>6957</v>
      </c>
      <c r="H1037" s="31">
        <v>32</v>
      </c>
      <c r="I1037" s="27">
        <f t="shared" si="51"/>
        <v>3840</v>
      </c>
      <c r="J1037" s="28" t="s">
        <v>7029</v>
      </c>
      <c r="K1037" s="25">
        <v>41417</v>
      </c>
      <c r="L1037" s="412" t="s">
        <v>7038</v>
      </c>
      <c r="M1037" s="56">
        <v>41418</v>
      </c>
      <c r="N1037" s="29" t="s">
        <v>166</v>
      </c>
    </row>
    <row r="1038" spans="1:17" ht="12" customHeight="1">
      <c r="A1038" s="25">
        <v>41414</v>
      </c>
      <c r="B1038" s="404" t="s">
        <v>1985</v>
      </c>
      <c r="C1038" s="219" t="s">
        <v>162</v>
      </c>
      <c r="D1038" s="404" t="s">
        <v>670</v>
      </c>
      <c r="E1038" s="28" t="s">
        <v>6955</v>
      </c>
      <c r="F1038" s="205">
        <v>1000</v>
      </c>
      <c r="G1038" s="404" t="s">
        <v>6957</v>
      </c>
      <c r="H1038" s="31">
        <v>3.96</v>
      </c>
      <c r="I1038" s="27">
        <f t="shared" si="51"/>
        <v>3960</v>
      </c>
      <c r="J1038" s="28" t="s">
        <v>7030</v>
      </c>
      <c r="K1038" s="25">
        <v>41417</v>
      </c>
      <c r="L1038" s="412" t="s">
        <v>7038</v>
      </c>
      <c r="M1038" s="56">
        <v>41418</v>
      </c>
      <c r="N1038" s="29" t="s">
        <v>166</v>
      </c>
    </row>
    <row r="1039" spans="1:17" ht="12" customHeight="1">
      <c r="A1039" s="25">
        <v>41414</v>
      </c>
      <c r="B1039" s="404" t="s">
        <v>1985</v>
      </c>
      <c r="C1039" s="219" t="s">
        <v>162</v>
      </c>
      <c r="D1039" s="1" t="s">
        <v>1219</v>
      </c>
      <c r="E1039" s="28" t="s">
        <v>6956</v>
      </c>
      <c r="F1039" s="205">
        <v>500</v>
      </c>
      <c r="G1039" s="404" t="s">
        <v>6957</v>
      </c>
      <c r="H1039" s="31">
        <v>3.96</v>
      </c>
      <c r="I1039" s="27">
        <f t="shared" si="51"/>
        <v>1980</v>
      </c>
      <c r="J1039" s="28" t="s">
        <v>7030</v>
      </c>
      <c r="K1039" s="25">
        <v>41417</v>
      </c>
      <c r="L1039" s="412" t="s">
        <v>7038</v>
      </c>
      <c r="M1039" s="56">
        <v>41418</v>
      </c>
      <c r="N1039" s="29" t="s">
        <v>166</v>
      </c>
    </row>
    <row r="1040" spans="1:17" ht="12" customHeight="1">
      <c r="A1040" s="25">
        <v>41415</v>
      </c>
      <c r="B1040" s="406" t="s">
        <v>1985</v>
      </c>
      <c r="C1040" s="219" t="s">
        <v>162</v>
      </c>
      <c r="D1040" s="1" t="s">
        <v>6966</v>
      </c>
      <c r="E1040" s="1">
        <v>6894</v>
      </c>
      <c r="F1040" s="1">
        <v>5</v>
      </c>
      <c r="G1040" s="406" t="s">
        <v>170</v>
      </c>
      <c r="H1040" s="31">
        <v>74.400000000000006</v>
      </c>
      <c r="I1040" s="27">
        <f t="shared" ref="I1040:I1057" si="56">F1040*H1040</f>
        <v>372</v>
      </c>
      <c r="J1040" s="28" t="s">
        <v>7017</v>
      </c>
      <c r="K1040" s="25">
        <v>41418</v>
      </c>
      <c r="L1040" s="412" t="s">
        <v>7037</v>
      </c>
      <c r="M1040" s="56">
        <v>41418</v>
      </c>
      <c r="N1040" s="29" t="s">
        <v>166</v>
      </c>
    </row>
    <row r="1041" spans="1:17" ht="12" customHeight="1">
      <c r="A1041" s="25">
        <v>41415</v>
      </c>
      <c r="B1041" s="406" t="s">
        <v>1985</v>
      </c>
      <c r="C1041" s="219" t="s">
        <v>162</v>
      </c>
      <c r="D1041" s="1" t="s">
        <v>6965</v>
      </c>
      <c r="E1041" s="1">
        <v>6893</v>
      </c>
      <c r="F1041" s="1">
        <v>30</v>
      </c>
      <c r="G1041" s="1" t="s">
        <v>171</v>
      </c>
      <c r="H1041" s="31">
        <v>2.2799999999999998</v>
      </c>
      <c r="I1041" s="27">
        <f t="shared" si="56"/>
        <v>68.399999999999991</v>
      </c>
      <c r="J1041" s="28" t="s">
        <v>7017</v>
      </c>
      <c r="K1041" s="25">
        <v>41418</v>
      </c>
      <c r="L1041" s="412" t="s">
        <v>7037</v>
      </c>
      <c r="M1041" s="56">
        <v>41418</v>
      </c>
      <c r="N1041" s="29" t="s">
        <v>166</v>
      </c>
    </row>
    <row r="1042" spans="1:17" ht="12" customHeight="1">
      <c r="A1042" s="25">
        <v>41415</v>
      </c>
      <c r="B1042" s="406" t="s">
        <v>1985</v>
      </c>
      <c r="C1042" s="219" t="s">
        <v>162</v>
      </c>
      <c r="D1042" s="1" t="s">
        <v>6967</v>
      </c>
      <c r="E1042" s="1">
        <v>6889</v>
      </c>
      <c r="F1042" s="1">
        <v>20</v>
      </c>
      <c r="G1042" s="1" t="s">
        <v>171</v>
      </c>
      <c r="H1042" s="31">
        <v>8.42</v>
      </c>
      <c r="I1042" s="27">
        <f t="shared" si="56"/>
        <v>168.4</v>
      </c>
      <c r="J1042" s="28" t="s">
        <v>7017</v>
      </c>
      <c r="K1042" s="25">
        <v>41418</v>
      </c>
      <c r="L1042" s="412" t="s">
        <v>7037</v>
      </c>
      <c r="M1042" s="56">
        <v>41418</v>
      </c>
      <c r="N1042" s="29" t="s">
        <v>166</v>
      </c>
    </row>
    <row r="1043" spans="1:17" ht="12" customHeight="1">
      <c r="A1043" s="25">
        <v>41415</v>
      </c>
      <c r="B1043" s="406" t="s">
        <v>1985</v>
      </c>
      <c r="C1043" s="219" t="s">
        <v>162</v>
      </c>
      <c r="D1043" s="1" t="s">
        <v>6581</v>
      </c>
      <c r="E1043" s="1">
        <v>8512</v>
      </c>
      <c r="F1043" s="1">
        <v>44</v>
      </c>
      <c r="G1043" s="1" t="s">
        <v>170</v>
      </c>
      <c r="H1043" s="31">
        <v>48.1</v>
      </c>
      <c r="I1043" s="27">
        <f t="shared" si="56"/>
        <v>2116.4</v>
      </c>
      <c r="J1043" s="28" t="s">
        <v>7017</v>
      </c>
      <c r="K1043" s="25">
        <v>41418</v>
      </c>
      <c r="L1043" s="412" t="s">
        <v>7037</v>
      </c>
      <c r="M1043" s="56">
        <v>41418</v>
      </c>
      <c r="N1043" s="29" t="s">
        <v>166</v>
      </c>
    </row>
    <row r="1044" spans="1:17" ht="12" customHeight="1">
      <c r="A1044" s="25">
        <v>41417</v>
      </c>
      <c r="B1044" s="407" t="s">
        <v>5079</v>
      </c>
      <c r="C1044" s="1" t="s">
        <v>6216</v>
      </c>
      <c r="D1044" s="1" t="s">
        <v>6214</v>
      </c>
      <c r="E1044" s="407">
        <v>110110</v>
      </c>
      <c r="F1044" s="1">
        <v>150</v>
      </c>
      <c r="G1044" s="1" t="s">
        <v>172</v>
      </c>
      <c r="H1044" s="31">
        <v>13.5</v>
      </c>
      <c r="I1044" s="27">
        <f t="shared" si="56"/>
        <v>2025</v>
      </c>
      <c r="J1044" s="28" t="s">
        <v>7002</v>
      </c>
      <c r="K1044" s="25">
        <v>41417</v>
      </c>
      <c r="L1044" s="412" t="s">
        <v>7038</v>
      </c>
    </row>
    <row r="1045" spans="1:17" ht="12" customHeight="1">
      <c r="A1045" s="25">
        <v>41417</v>
      </c>
      <c r="B1045" s="407" t="s">
        <v>1975</v>
      </c>
      <c r="C1045" s="219" t="s">
        <v>162</v>
      </c>
      <c r="D1045" s="5" t="s">
        <v>182</v>
      </c>
      <c r="E1045" s="28" t="s">
        <v>186</v>
      </c>
      <c r="F1045" s="407">
        <v>5000</v>
      </c>
      <c r="G1045" s="407" t="s">
        <v>171</v>
      </c>
      <c r="H1045" s="31">
        <v>1.54</v>
      </c>
      <c r="I1045" s="27">
        <f t="shared" si="56"/>
        <v>7700</v>
      </c>
      <c r="J1045" s="28" t="s">
        <v>7028</v>
      </c>
      <c r="K1045" s="25">
        <v>41417</v>
      </c>
      <c r="L1045" s="412" t="s">
        <v>7038</v>
      </c>
      <c r="M1045" s="56">
        <v>41424</v>
      </c>
      <c r="N1045" s="29" t="s">
        <v>166</v>
      </c>
    </row>
    <row r="1046" spans="1:17" ht="12" customHeight="1">
      <c r="A1046" s="25">
        <v>41417</v>
      </c>
      <c r="B1046" s="407" t="s">
        <v>1985</v>
      </c>
      <c r="C1046" s="219" t="s">
        <v>162</v>
      </c>
      <c r="D1046" s="1" t="s">
        <v>1213</v>
      </c>
      <c r="E1046" s="28" t="s">
        <v>178</v>
      </c>
      <c r="F1046" s="205">
        <v>330</v>
      </c>
      <c r="G1046" s="407" t="s">
        <v>7005</v>
      </c>
      <c r="H1046" s="31">
        <v>12.4</v>
      </c>
      <c r="I1046" s="27">
        <f t="shared" si="56"/>
        <v>4092</v>
      </c>
      <c r="M1046" s="56">
        <v>41418</v>
      </c>
      <c r="N1046" s="29" t="s">
        <v>166</v>
      </c>
    </row>
    <row r="1047" spans="1:17" ht="12" customHeight="1">
      <c r="A1047" s="25">
        <v>41417</v>
      </c>
      <c r="B1047" s="407" t="s">
        <v>1985</v>
      </c>
      <c r="C1047" s="219" t="s">
        <v>162</v>
      </c>
      <c r="D1047" s="407" t="s">
        <v>1882</v>
      </c>
      <c r="E1047" s="28" t="s">
        <v>145</v>
      </c>
      <c r="F1047" s="205">
        <v>240</v>
      </c>
      <c r="G1047" s="407" t="s">
        <v>7004</v>
      </c>
      <c r="H1047" s="31">
        <v>17.2</v>
      </c>
      <c r="I1047" s="27">
        <f t="shared" si="56"/>
        <v>4128</v>
      </c>
      <c r="J1047" s="28" t="s">
        <v>7129</v>
      </c>
      <c r="K1047" s="25">
        <v>41422</v>
      </c>
      <c r="L1047" s="412" t="s">
        <v>7130</v>
      </c>
      <c r="M1047" s="56">
        <v>41418</v>
      </c>
      <c r="N1047" s="29" t="s">
        <v>166</v>
      </c>
    </row>
    <row r="1048" spans="1:17" ht="12" customHeight="1">
      <c r="A1048" s="25">
        <v>41417</v>
      </c>
      <c r="B1048" s="407" t="s">
        <v>1985</v>
      </c>
      <c r="C1048" s="219" t="s">
        <v>162</v>
      </c>
      <c r="D1048" s="5" t="s">
        <v>346</v>
      </c>
      <c r="E1048" s="28" t="s">
        <v>7011</v>
      </c>
      <c r="F1048" s="205">
        <v>500</v>
      </c>
      <c r="G1048" s="407" t="s">
        <v>7004</v>
      </c>
      <c r="H1048" s="31">
        <v>3.63</v>
      </c>
      <c r="I1048" s="27">
        <f t="shared" si="56"/>
        <v>1815</v>
      </c>
      <c r="J1048" s="28" t="s">
        <v>7129</v>
      </c>
      <c r="K1048" s="25">
        <v>41422</v>
      </c>
      <c r="L1048" s="412" t="s">
        <v>7130</v>
      </c>
      <c r="M1048" s="56">
        <v>41418</v>
      </c>
      <c r="N1048" s="29" t="s">
        <v>166</v>
      </c>
    </row>
    <row r="1049" spans="1:17" ht="12" customHeight="1">
      <c r="A1049" s="25">
        <v>41417</v>
      </c>
      <c r="B1049" s="408" t="s">
        <v>1994</v>
      </c>
      <c r="C1049" s="219" t="s">
        <v>162</v>
      </c>
      <c r="D1049" s="1" t="s">
        <v>6966</v>
      </c>
      <c r="E1049" s="1">
        <v>6894</v>
      </c>
      <c r="F1049" s="1">
        <v>25</v>
      </c>
      <c r="G1049" s="1" t="s">
        <v>170</v>
      </c>
      <c r="H1049" s="31">
        <v>74.3</v>
      </c>
      <c r="I1049" s="27">
        <f>F1049*H1049</f>
        <v>1857.5</v>
      </c>
      <c r="J1049" s="28" t="s">
        <v>7012</v>
      </c>
      <c r="K1049" s="25">
        <v>41417</v>
      </c>
      <c r="L1049" s="412" t="s">
        <v>7038</v>
      </c>
      <c r="M1049" s="56">
        <v>41418</v>
      </c>
      <c r="N1049" s="29" t="s">
        <v>165</v>
      </c>
    </row>
    <row r="1050" spans="1:17" ht="12" customHeight="1">
      <c r="A1050" s="25">
        <v>41418</v>
      </c>
      <c r="B1050" s="408" t="s">
        <v>1980</v>
      </c>
      <c r="C1050" s="219" t="s">
        <v>162</v>
      </c>
      <c r="D1050" s="408" t="s">
        <v>182</v>
      </c>
      <c r="E1050" s="28" t="s">
        <v>194</v>
      </c>
      <c r="F1050" s="205">
        <v>300</v>
      </c>
      <c r="G1050" s="408" t="s">
        <v>171</v>
      </c>
      <c r="H1050" s="31">
        <v>5.0999999999999996</v>
      </c>
      <c r="I1050" s="27">
        <f t="shared" si="56"/>
        <v>1530</v>
      </c>
      <c r="J1050" s="28" t="s">
        <v>7017</v>
      </c>
      <c r="K1050" s="25">
        <v>41418</v>
      </c>
      <c r="L1050" s="412" t="s">
        <v>7038</v>
      </c>
      <c r="M1050" s="56">
        <v>41418</v>
      </c>
      <c r="N1050" s="29" t="s">
        <v>165</v>
      </c>
      <c r="O1050" s="28" t="s">
        <v>7018</v>
      </c>
      <c r="P1050" s="32">
        <v>1994</v>
      </c>
      <c r="Q1050" s="56">
        <v>41418</v>
      </c>
    </row>
    <row r="1051" spans="1:17" ht="12" customHeight="1">
      <c r="A1051" s="25">
        <v>41418</v>
      </c>
      <c r="B1051" s="408" t="s">
        <v>1980</v>
      </c>
      <c r="C1051" s="219" t="s">
        <v>162</v>
      </c>
      <c r="D1051" s="408" t="s">
        <v>7016</v>
      </c>
      <c r="E1051" s="205">
        <v>6885</v>
      </c>
      <c r="F1051" s="205">
        <v>20</v>
      </c>
      <c r="G1051" s="408" t="s">
        <v>171</v>
      </c>
      <c r="H1051" s="31">
        <v>4.2</v>
      </c>
      <c r="I1051" s="27">
        <f t="shared" si="56"/>
        <v>84</v>
      </c>
      <c r="J1051" s="28" t="s">
        <v>7017</v>
      </c>
      <c r="K1051" s="25">
        <v>41418</v>
      </c>
      <c r="L1051" s="412" t="s">
        <v>7037</v>
      </c>
      <c r="M1051" s="56">
        <v>41418</v>
      </c>
      <c r="N1051" s="29" t="s">
        <v>165</v>
      </c>
      <c r="O1051" s="28" t="s">
        <v>7018</v>
      </c>
      <c r="P1051" s="32">
        <v>1994</v>
      </c>
      <c r="Q1051" s="56">
        <v>41418</v>
      </c>
    </row>
    <row r="1052" spans="1:17" ht="12" customHeight="1">
      <c r="A1052" s="25">
        <v>41418</v>
      </c>
      <c r="B1052" s="408" t="s">
        <v>1980</v>
      </c>
      <c r="C1052" s="219" t="s">
        <v>162</v>
      </c>
      <c r="D1052" s="5" t="s">
        <v>346</v>
      </c>
      <c r="E1052" s="205">
        <v>3700</v>
      </c>
      <c r="F1052" s="205">
        <v>100</v>
      </c>
      <c r="G1052" s="408" t="s">
        <v>7015</v>
      </c>
      <c r="H1052" s="31">
        <v>3.8</v>
      </c>
      <c r="I1052" s="27">
        <f t="shared" si="56"/>
        <v>380</v>
      </c>
      <c r="J1052" s="28" t="s">
        <v>7017</v>
      </c>
      <c r="K1052" s="25">
        <v>41418</v>
      </c>
      <c r="L1052" s="412" t="s">
        <v>7037</v>
      </c>
      <c r="M1052" s="56">
        <v>41418</v>
      </c>
      <c r="N1052" s="29" t="s">
        <v>165</v>
      </c>
      <c r="O1052" s="28" t="s">
        <v>7018</v>
      </c>
      <c r="P1052" s="32">
        <v>1994</v>
      </c>
      <c r="Q1052" s="56">
        <v>41418</v>
      </c>
    </row>
    <row r="1053" spans="1:17" ht="12" customHeight="1">
      <c r="A1053" s="25">
        <v>41418</v>
      </c>
      <c r="B1053" s="408" t="s">
        <v>1979</v>
      </c>
      <c r="C1053" s="219" t="s">
        <v>167</v>
      </c>
      <c r="D1053" s="408" t="s">
        <v>5680</v>
      </c>
      <c r="E1053" s="408" t="s">
        <v>167</v>
      </c>
      <c r="F1053" s="408">
        <v>1000</v>
      </c>
      <c r="G1053" s="408" t="s">
        <v>827</v>
      </c>
      <c r="H1053" s="31">
        <v>0.68</v>
      </c>
      <c r="I1053" s="27">
        <f t="shared" si="56"/>
        <v>680</v>
      </c>
      <c r="J1053" s="28" t="s">
        <v>7027</v>
      </c>
      <c r="K1053" s="25">
        <v>41418</v>
      </c>
      <c r="L1053" s="412" t="s">
        <v>7037</v>
      </c>
    </row>
    <row r="1054" spans="1:17" ht="12" customHeight="1">
      <c r="A1054" s="25">
        <v>41418</v>
      </c>
      <c r="B1054" s="408" t="s">
        <v>1979</v>
      </c>
      <c r="C1054" s="219" t="s">
        <v>167</v>
      </c>
      <c r="D1054" s="408" t="s">
        <v>5771</v>
      </c>
      <c r="E1054" s="408" t="s">
        <v>167</v>
      </c>
      <c r="F1054" s="408">
        <v>50</v>
      </c>
      <c r="G1054" s="408" t="s">
        <v>827</v>
      </c>
      <c r="H1054" s="31">
        <v>1.7</v>
      </c>
      <c r="I1054" s="27">
        <f t="shared" si="56"/>
        <v>85</v>
      </c>
      <c r="J1054" s="28" t="s">
        <v>7027</v>
      </c>
      <c r="K1054" s="25">
        <v>41418</v>
      </c>
      <c r="L1054" s="412" t="s">
        <v>7037</v>
      </c>
    </row>
    <row r="1055" spans="1:17" ht="12" customHeight="1">
      <c r="A1055" s="25">
        <v>41418</v>
      </c>
      <c r="B1055" s="408" t="s">
        <v>1979</v>
      </c>
      <c r="C1055" s="219" t="s">
        <v>167</v>
      </c>
      <c r="D1055" s="408" t="s">
        <v>5679</v>
      </c>
      <c r="E1055" s="408" t="s">
        <v>167</v>
      </c>
      <c r="F1055" s="408">
        <v>20</v>
      </c>
      <c r="G1055" s="408" t="s">
        <v>1071</v>
      </c>
      <c r="H1055" s="31">
        <v>30</v>
      </c>
      <c r="I1055" s="27">
        <f t="shared" si="56"/>
        <v>600</v>
      </c>
      <c r="J1055" s="28" t="s">
        <v>7027</v>
      </c>
      <c r="K1055" s="25">
        <v>41418</v>
      </c>
      <c r="L1055" s="412" t="s">
        <v>7037</v>
      </c>
    </row>
    <row r="1056" spans="1:17" ht="12" customHeight="1">
      <c r="A1056" s="25">
        <v>41418</v>
      </c>
      <c r="B1056" s="408" t="s">
        <v>1975</v>
      </c>
      <c r="C1056" s="219" t="s">
        <v>162</v>
      </c>
      <c r="D1056" s="5" t="s">
        <v>182</v>
      </c>
      <c r="E1056" s="28" t="s">
        <v>186</v>
      </c>
      <c r="F1056" s="408">
        <v>3000</v>
      </c>
      <c r="G1056" s="408" t="s">
        <v>171</v>
      </c>
      <c r="H1056" s="31">
        <v>1.54</v>
      </c>
      <c r="I1056" s="27">
        <f t="shared" si="56"/>
        <v>4620</v>
      </c>
      <c r="J1056" s="28" t="s">
        <v>7028</v>
      </c>
      <c r="K1056" s="25">
        <v>41418</v>
      </c>
      <c r="L1056" s="412" t="s">
        <v>7038</v>
      </c>
      <c r="M1056" s="56">
        <v>41424</v>
      </c>
      <c r="N1056" s="29" t="s">
        <v>166</v>
      </c>
    </row>
    <row r="1057" spans="1:15" ht="12" customHeight="1">
      <c r="A1057" s="25">
        <v>41418</v>
      </c>
      <c r="B1057" s="408" t="s">
        <v>1975</v>
      </c>
      <c r="C1057" s="219" t="s">
        <v>162</v>
      </c>
      <c r="D1057" s="408" t="s">
        <v>1760</v>
      </c>
      <c r="E1057" s="28" t="s">
        <v>234</v>
      </c>
      <c r="F1057" s="408">
        <v>1000</v>
      </c>
      <c r="G1057" s="408" t="s">
        <v>170</v>
      </c>
      <c r="H1057" s="31">
        <v>1.08</v>
      </c>
      <c r="I1057" s="27">
        <f t="shared" si="56"/>
        <v>1080</v>
      </c>
      <c r="J1057" s="28" t="s">
        <v>7028</v>
      </c>
      <c r="K1057" s="25">
        <v>41418</v>
      </c>
      <c r="L1057" s="412" t="s">
        <v>7037</v>
      </c>
      <c r="M1057" s="56">
        <v>41424</v>
      </c>
      <c r="N1057" s="29" t="s">
        <v>166</v>
      </c>
    </row>
    <row r="1058" spans="1:15" ht="12" customHeight="1">
      <c r="A1058" s="25">
        <v>41418</v>
      </c>
      <c r="B1058" s="408" t="s">
        <v>1975</v>
      </c>
      <c r="C1058" s="219" t="s">
        <v>162</v>
      </c>
      <c r="D1058" s="408" t="s">
        <v>357</v>
      </c>
      <c r="E1058" s="28" t="s">
        <v>7043</v>
      </c>
      <c r="F1058" s="205">
        <v>80</v>
      </c>
      <c r="G1058" s="408" t="s">
        <v>170</v>
      </c>
      <c r="H1058" s="31">
        <v>11.78</v>
      </c>
      <c r="I1058" s="27">
        <f t="shared" ref="I1058:I1059" si="57">H1058*F1058</f>
        <v>942.4</v>
      </c>
      <c r="J1058" s="28" t="s">
        <v>7045</v>
      </c>
      <c r="K1058" s="25">
        <v>41418</v>
      </c>
      <c r="L1058" s="412" t="s">
        <v>7062</v>
      </c>
    </row>
    <row r="1059" spans="1:15" ht="12" customHeight="1">
      <c r="A1059" s="25">
        <v>41418</v>
      </c>
      <c r="B1059" s="408" t="s">
        <v>1975</v>
      </c>
      <c r="C1059" s="219" t="s">
        <v>162</v>
      </c>
      <c r="D1059" s="1" t="s">
        <v>1749</v>
      </c>
      <c r="E1059" s="28" t="s">
        <v>7044</v>
      </c>
      <c r="F1059" s="205">
        <v>30</v>
      </c>
      <c r="G1059" s="408" t="s">
        <v>172</v>
      </c>
      <c r="H1059" s="31">
        <v>8.84</v>
      </c>
      <c r="I1059" s="27">
        <f t="shared" si="57"/>
        <v>265.2</v>
      </c>
      <c r="J1059" s="28" t="s">
        <v>7045</v>
      </c>
      <c r="K1059" s="25">
        <v>41418</v>
      </c>
      <c r="L1059" s="412" t="s">
        <v>7092</v>
      </c>
    </row>
    <row r="1060" spans="1:15" ht="12" customHeight="1">
      <c r="A1060" s="25">
        <v>41418</v>
      </c>
      <c r="B1060" s="410" t="s">
        <v>2004</v>
      </c>
      <c r="C1060" s="219" t="s">
        <v>162</v>
      </c>
      <c r="D1060" s="410" t="s">
        <v>1873</v>
      </c>
      <c r="E1060" s="410">
        <v>4941</v>
      </c>
      <c r="F1060" s="5" t="s">
        <v>5037</v>
      </c>
      <c r="G1060" s="410" t="s">
        <v>27</v>
      </c>
      <c r="H1060" s="31">
        <v>359</v>
      </c>
      <c r="I1060" s="27">
        <f>H1060*10*0.8</f>
        <v>2872</v>
      </c>
      <c r="J1060" s="28" t="s">
        <v>167</v>
      </c>
      <c r="K1060" s="25">
        <v>41418</v>
      </c>
      <c r="L1060" s="412" t="s">
        <v>7092</v>
      </c>
      <c r="M1060" s="56">
        <v>41418</v>
      </c>
      <c r="N1060" s="29" t="s">
        <v>166</v>
      </c>
    </row>
    <row r="1061" spans="1:15" ht="12" customHeight="1">
      <c r="A1061" s="25">
        <v>41418</v>
      </c>
      <c r="B1061" s="410" t="s">
        <v>5823</v>
      </c>
      <c r="C1061" s="219" t="s">
        <v>162</v>
      </c>
      <c r="D1061" s="1" t="s">
        <v>1764</v>
      </c>
      <c r="E1061" s="410" t="s">
        <v>181</v>
      </c>
      <c r="F1061" s="205">
        <v>5000</v>
      </c>
      <c r="G1061" s="410" t="s">
        <v>7071</v>
      </c>
      <c r="H1061" s="31">
        <v>1.72</v>
      </c>
      <c r="I1061" s="27">
        <f t="shared" ref="I1061" si="58">F1061*H1061</f>
        <v>8600</v>
      </c>
      <c r="J1061" s="28" t="s">
        <v>7164</v>
      </c>
      <c r="K1061" s="25">
        <v>41423</v>
      </c>
      <c r="L1061" s="412" t="s">
        <v>7165</v>
      </c>
      <c r="M1061" s="56">
        <v>41418</v>
      </c>
      <c r="N1061" s="29" t="s">
        <v>166</v>
      </c>
    </row>
    <row r="1062" spans="1:15" ht="12" customHeight="1">
      <c r="A1062" s="25">
        <v>41418</v>
      </c>
      <c r="B1062" s="312" t="s">
        <v>5134</v>
      </c>
      <c r="C1062" s="219" t="s">
        <v>162</v>
      </c>
      <c r="D1062" s="1" t="s">
        <v>7049</v>
      </c>
      <c r="E1062" s="28" t="s">
        <v>7072</v>
      </c>
      <c r="F1062" s="205">
        <v>1</v>
      </c>
      <c r="G1062" s="410" t="s">
        <v>170</v>
      </c>
      <c r="H1062" s="31">
        <v>430</v>
      </c>
      <c r="I1062" s="27">
        <f>F1062*H1062</f>
        <v>430</v>
      </c>
      <c r="J1062" s="28" t="s">
        <v>7167</v>
      </c>
      <c r="K1062" s="25">
        <v>41424</v>
      </c>
      <c r="L1062" s="412" t="s">
        <v>7168</v>
      </c>
      <c r="M1062" s="56">
        <v>41418</v>
      </c>
      <c r="N1062" s="29" t="s">
        <v>165</v>
      </c>
    </row>
    <row r="1063" spans="1:15" ht="12" customHeight="1">
      <c r="A1063" s="25">
        <v>41418</v>
      </c>
      <c r="B1063" s="312" t="s">
        <v>5134</v>
      </c>
      <c r="C1063" s="219" t="s">
        <v>162</v>
      </c>
      <c r="D1063" s="410" t="s">
        <v>182</v>
      </c>
      <c r="E1063" s="28" t="s">
        <v>194</v>
      </c>
      <c r="F1063" s="205">
        <v>500</v>
      </c>
      <c r="G1063" s="410" t="s">
        <v>171</v>
      </c>
      <c r="H1063" s="31">
        <v>4.75</v>
      </c>
      <c r="I1063" s="27">
        <f>F1063*H1063</f>
        <v>2375</v>
      </c>
      <c r="J1063" s="28" t="s">
        <v>7167</v>
      </c>
      <c r="K1063" s="25">
        <v>41424</v>
      </c>
      <c r="L1063" s="412" t="s">
        <v>7169</v>
      </c>
      <c r="M1063" s="56">
        <v>41418</v>
      </c>
      <c r="N1063" s="29" t="s">
        <v>165</v>
      </c>
    </row>
    <row r="1064" spans="1:15" ht="12" customHeight="1">
      <c r="A1064" s="25">
        <v>41419</v>
      </c>
      <c r="B1064" s="414" t="s">
        <v>7074</v>
      </c>
      <c r="C1064" s="219" t="s">
        <v>7075</v>
      </c>
      <c r="D1064" s="414" t="s">
        <v>7076</v>
      </c>
      <c r="F1064" s="205">
        <v>20</v>
      </c>
      <c r="G1064" s="415" t="s">
        <v>27</v>
      </c>
      <c r="H1064" s="31">
        <v>70</v>
      </c>
      <c r="I1064" s="27">
        <v>1400</v>
      </c>
      <c r="J1064" s="28" t="s">
        <v>7129</v>
      </c>
      <c r="K1064" s="25">
        <v>41418</v>
      </c>
      <c r="L1064" s="412" t="s">
        <v>7165</v>
      </c>
      <c r="M1064" s="56">
        <v>41421</v>
      </c>
      <c r="N1064" s="29" t="s">
        <v>165</v>
      </c>
    </row>
    <row r="1065" spans="1:15" ht="12" customHeight="1">
      <c r="A1065" s="25">
        <v>41421</v>
      </c>
      <c r="B1065" s="1" t="s">
        <v>4111</v>
      </c>
      <c r="C1065" s="219" t="s">
        <v>167</v>
      </c>
      <c r="D1065" s="414" t="s">
        <v>6703</v>
      </c>
      <c r="E1065" s="28" t="s">
        <v>167</v>
      </c>
      <c r="F1065" s="414">
        <v>200</v>
      </c>
      <c r="G1065" s="414" t="s">
        <v>827</v>
      </c>
      <c r="H1065" s="31">
        <v>3</v>
      </c>
      <c r="I1065" s="27">
        <f t="shared" ref="I1065" si="59">F1065*H1065</f>
        <v>600</v>
      </c>
      <c r="J1065" s="28" t="s">
        <v>7073</v>
      </c>
      <c r="K1065" s="25">
        <v>41421</v>
      </c>
      <c r="L1065" s="412" t="s">
        <v>7092</v>
      </c>
      <c r="M1065" s="56">
        <v>41421</v>
      </c>
      <c r="N1065" s="29" t="s">
        <v>165</v>
      </c>
      <c r="O1065" s="28" t="s">
        <v>175</v>
      </c>
    </row>
    <row r="1066" spans="1:15" ht="12" customHeight="1">
      <c r="A1066" s="25">
        <v>41421</v>
      </c>
      <c r="B1066" s="415" t="s">
        <v>1979</v>
      </c>
      <c r="C1066" s="219" t="s">
        <v>167</v>
      </c>
      <c r="D1066" s="415" t="s">
        <v>5680</v>
      </c>
      <c r="E1066" s="415" t="s">
        <v>167</v>
      </c>
      <c r="F1066" s="415">
        <v>5000</v>
      </c>
      <c r="G1066" s="415" t="s">
        <v>827</v>
      </c>
      <c r="H1066" s="31">
        <v>0.68</v>
      </c>
      <c r="I1066" s="27">
        <f t="shared" ref="I1066:I1069" si="60">F1066*H1066</f>
        <v>3400.0000000000005</v>
      </c>
      <c r="J1066" s="28" t="s">
        <v>7097</v>
      </c>
      <c r="K1066" s="25">
        <v>41421</v>
      </c>
      <c r="L1066" s="412" t="s">
        <v>7037</v>
      </c>
    </row>
    <row r="1067" spans="1:15" ht="12" customHeight="1">
      <c r="A1067" s="25">
        <v>41421</v>
      </c>
      <c r="B1067" s="415" t="s">
        <v>1979</v>
      </c>
      <c r="C1067" s="219" t="s">
        <v>167</v>
      </c>
      <c r="D1067" s="415" t="s">
        <v>5943</v>
      </c>
      <c r="E1067" s="415" t="s">
        <v>167</v>
      </c>
      <c r="F1067" s="415">
        <v>200</v>
      </c>
      <c r="G1067" s="415" t="s">
        <v>827</v>
      </c>
      <c r="H1067" s="31">
        <v>2</v>
      </c>
      <c r="I1067" s="27">
        <f t="shared" si="60"/>
        <v>400</v>
      </c>
      <c r="J1067" s="28" t="s">
        <v>7097</v>
      </c>
      <c r="K1067" s="25">
        <v>41421</v>
      </c>
      <c r="L1067" s="412" t="s">
        <v>7037</v>
      </c>
    </row>
    <row r="1068" spans="1:15" ht="12" customHeight="1">
      <c r="A1068" s="25">
        <v>41421</v>
      </c>
      <c r="B1068" s="415" t="s">
        <v>1979</v>
      </c>
      <c r="C1068" s="219" t="s">
        <v>167</v>
      </c>
      <c r="D1068" s="415" t="s">
        <v>1956</v>
      </c>
      <c r="E1068" s="415" t="s">
        <v>167</v>
      </c>
      <c r="F1068" s="415">
        <v>200</v>
      </c>
      <c r="G1068" s="415" t="s">
        <v>1071</v>
      </c>
      <c r="H1068" s="31">
        <v>3.8</v>
      </c>
      <c r="I1068" s="27">
        <f t="shared" si="60"/>
        <v>760</v>
      </c>
      <c r="J1068" s="28" t="s">
        <v>7097</v>
      </c>
      <c r="K1068" s="25">
        <v>41421</v>
      </c>
      <c r="L1068" s="412" t="s">
        <v>7037</v>
      </c>
    </row>
    <row r="1069" spans="1:15" ht="12" customHeight="1">
      <c r="A1069" s="25">
        <v>41421</v>
      </c>
      <c r="B1069" s="415" t="s">
        <v>1979</v>
      </c>
      <c r="C1069" s="219" t="s">
        <v>167</v>
      </c>
      <c r="D1069" s="415" t="s">
        <v>5771</v>
      </c>
      <c r="E1069" s="415" t="s">
        <v>167</v>
      </c>
      <c r="F1069" s="415">
        <v>20</v>
      </c>
      <c r="G1069" s="415" t="s">
        <v>827</v>
      </c>
      <c r="H1069" s="31">
        <v>1.7</v>
      </c>
      <c r="I1069" s="27">
        <f t="shared" si="60"/>
        <v>34</v>
      </c>
      <c r="J1069" s="28" t="s">
        <v>7097</v>
      </c>
      <c r="K1069" s="25">
        <v>41421</v>
      </c>
      <c r="L1069" s="412" t="s">
        <v>7037</v>
      </c>
    </row>
    <row r="1070" spans="1:15" ht="12" customHeight="1">
      <c r="A1070" s="25">
        <v>41392</v>
      </c>
      <c r="B1070" s="415" t="s">
        <v>6255</v>
      </c>
      <c r="C1070" s="219" t="s">
        <v>162</v>
      </c>
      <c r="D1070" s="415" t="s">
        <v>1889</v>
      </c>
      <c r="E1070" s="415" t="s">
        <v>2048</v>
      </c>
      <c r="F1070" s="415">
        <v>260</v>
      </c>
      <c r="G1070" s="415" t="s">
        <v>7127</v>
      </c>
      <c r="H1070" s="31">
        <v>98.8</v>
      </c>
      <c r="I1070" s="27">
        <f t="shared" ref="I1070:I1072" si="61">H1070*F1070</f>
        <v>25688</v>
      </c>
      <c r="M1070" s="56">
        <v>41422</v>
      </c>
      <c r="N1070" s="29" t="s">
        <v>166</v>
      </c>
    </row>
    <row r="1071" spans="1:15" ht="12" customHeight="1">
      <c r="A1071" s="25">
        <v>41392</v>
      </c>
      <c r="B1071" s="415" t="s">
        <v>6255</v>
      </c>
      <c r="C1071" s="219" t="s">
        <v>162</v>
      </c>
      <c r="D1071" s="415" t="s">
        <v>48</v>
      </c>
      <c r="E1071" s="28" t="s">
        <v>7125</v>
      </c>
      <c r="F1071" s="205">
        <v>40</v>
      </c>
      <c r="G1071" s="415" t="s">
        <v>7127</v>
      </c>
      <c r="H1071" s="31">
        <v>177</v>
      </c>
      <c r="I1071" s="27">
        <f t="shared" si="61"/>
        <v>7080</v>
      </c>
      <c r="M1071" s="56">
        <v>41422</v>
      </c>
      <c r="N1071" s="29" t="s">
        <v>166</v>
      </c>
    </row>
    <row r="1072" spans="1:15" ht="12" customHeight="1">
      <c r="A1072" s="25">
        <v>41392</v>
      </c>
      <c r="B1072" s="415" t="s">
        <v>6255</v>
      </c>
      <c r="C1072" s="219" t="s">
        <v>162</v>
      </c>
      <c r="D1072" s="415" t="s">
        <v>52</v>
      </c>
      <c r="E1072" s="28" t="s">
        <v>7126</v>
      </c>
      <c r="F1072" s="205">
        <v>6000</v>
      </c>
      <c r="G1072" s="415" t="s">
        <v>170</v>
      </c>
      <c r="H1072" s="31">
        <v>1.6</v>
      </c>
      <c r="I1072" s="27">
        <f t="shared" si="61"/>
        <v>9600</v>
      </c>
      <c r="M1072" s="56">
        <v>41422</v>
      </c>
      <c r="N1072" s="29" t="s">
        <v>166</v>
      </c>
    </row>
    <row r="1073" spans="1:33" ht="12" customHeight="1">
      <c r="A1073" s="25">
        <v>41422</v>
      </c>
      <c r="B1073" s="312" t="s">
        <v>5134</v>
      </c>
      <c r="C1073" s="219" t="s">
        <v>162</v>
      </c>
      <c r="D1073" s="1" t="s">
        <v>1867</v>
      </c>
      <c r="E1073" s="415">
        <v>6006</v>
      </c>
      <c r="F1073" s="415">
        <v>120</v>
      </c>
      <c r="G1073" s="415" t="s">
        <v>170</v>
      </c>
      <c r="H1073" s="31">
        <v>47.5</v>
      </c>
      <c r="I1073" s="27">
        <f>F1073*H1073</f>
        <v>5700</v>
      </c>
      <c r="M1073" s="56">
        <v>41422</v>
      </c>
      <c r="N1073" s="29" t="s">
        <v>166</v>
      </c>
    </row>
    <row r="1074" spans="1:33" ht="12" customHeight="1">
      <c r="A1074" s="25">
        <v>41422</v>
      </c>
      <c r="B1074" s="415" t="s">
        <v>1978</v>
      </c>
      <c r="C1074" s="219" t="s">
        <v>162</v>
      </c>
      <c r="D1074" s="415" t="s">
        <v>1916</v>
      </c>
      <c r="E1074" s="415">
        <v>6800</v>
      </c>
      <c r="F1074" s="415">
        <v>16</v>
      </c>
      <c r="G1074" s="415" t="s">
        <v>170</v>
      </c>
      <c r="H1074" s="31">
        <v>454</v>
      </c>
      <c r="I1074" s="27">
        <f t="shared" ref="I1074" si="62">F1074*H1074</f>
        <v>7264</v>
      </c>
      <c r="J1074" s="28" t="s">
        <v>7182</v>
      </c>
      <c r="K1074" s="25">
        <v>41424</v>
      </c>
      <c r="L1074" s="412" t="s">
        <v>7183</v>
      </c>
      <c r="M1074" s="56">
        <v>41422</v>
      </c>
      <c r="N1074" s="29" t="s">
        <v>166</v>
      </c>
    </row>
    <row r="1075" spans="1:33" ht="12" customHeight="1">
      <c r="A1075" s="25">
        <v>41423</v>
      </c>
      <c r="B1075" s="416" t="s">
        <v>1790</v>
      </c>
      <c r="C1075" s="219" t="s">
        <v>162</v>
      </c>
      <c r="D1075" s="416" t="s">
        <v>1789</v>
      </c>
      <c r="E1075" s="416" t="s">
        <v>1788</v>
      </c>
      <c r="F1075" s="416">
        <v>60</v>
      </c>
      <c r="G1075" s="416" t="s">
        <v>229</v>
      </c>
      <c r="H1075" s="31">
        <v>60</v>
      </c>
      <c r="I1075" s="27">
        <f t="shared" ref="I1075:I1076" si="63">H1075*F1075</f>
        <v>3600</v>
      </c>
      <c r="M1075" s="56">
        <v>41423</v>
      </c>
      <c r="N1075" s="29" t="s">
        <v>165</v>
      </c>
      <c r="O1075" s="28" t="s">
        <v>7141</v>
      </c>
    </row>
    <row r="1076" spans="1:33" ht="12" customHeight="1">
      <c r="A1076" s="25">
        <v>41423</v>
      </c>
      <c r="B1076" s="416" t="s">
        <v>1979</v>
      </c>
      <c r="C1076" s="219" t="s">
        <v>162</v>
      </c>
      <c r="D1076" s="416" t="s">
        <v>1916</v>
      </c>
      <c r="E1076" s="28" t="s">
        <v>7153</v>
      </c>
      <c r="F1076" s="205">
        <v>5</v>
      </c>
      <c r="G1076" s="416" t="s">
        <v>229</v>
      </c>
      <c r="H1076" s="31">
        <v>455</v>
      </c>
      <c r="I1076" s="27">
        <f t="shared" si="63"/>
        <v>2275</v>
      </c>
      <c r="J1076" s="28" t="s">
        <v>7154</v>
      </c>
      <c r="K1076" s="25">
        <v>41423</v>
      </c>
      <c r="L1076" s="412" t="s">
        <v>7155</v>
      </c>
    </row>
    <row r="1077" spans="1:33" ht="12" customHeight="1">
      <c r="A1077" s="25">
        <v>41425</v>
      </c>
      <c r="B1077" s="417" t="s">
        <v>1975</v>
      </c>
      <c r="C1077" s="219" t="s">
        <v>162</v>
      </c>
      <c r="D1077" s="5" t="s">
        <v>2012</v>
      </c>
      <c r="E1077" s="28" t="s">
        <v>180</v>
      </c>
      <c r="F1077" s="417">
        <v>2000</v>
      </c>
      <c r="G1077" s="417" t="s">
        <v>170</v>
      </c>
      <c r="H1077" s="31">
        <v>1.55</v>
      </c>
      <c r="I1077" s="27">
        <f>F1077*H1077</f>
        <v>3100</v>
      </c>
      <c r="J1077" s="28" t="s">
        <v>7186</v>
      </c>
      <c r="K1077" s="25">
        <v>41425</v>
      </c>
      <c r="L1077" s="412" t="s">
        <v>7187</v>
      </c>
    </row>
    <row r="1078" spans="1:33" ht="12" customHeight="1">
      <c r="A1078" s="25">
        <v>41425</v>
      </c>
      <c r="B1078" s="417" t="s">
        <v>7215</v>
      </c>
      <c r="C1078" s="1" t="s">
        <v>5643</v>
      </c>
      <c r="D1078" s="1" t="s">
        <v>7213</v>
      </c>
      <c r="E1078" s="1" t="s">
        <v>7212</v>
      </c>
      <c r="F1078" s="1">
        <v>1</v>
      </c>
      <c r="G1078" s="1" t="s">
        <v>7214</v>
      </c>
      <c r="H1078" s="31">
        <v>315</v>
      </c>
      <c r="I1078" s="27">
        <f t="shared" ref="I1078:I1079" si="64">F1078*H1078</f>
        <v>315</v>
      </c>
      <c r="M1078" s="56">
        <v>41425</v>
      </c>
      <c r="N1078" s="29" t="s">
        <v>165</v>
      </c>
    </row>
    <row r="1079" spans="1:33" ht="12" customHeight="1">
      <c r="A1079" s="25">
        <v>41425</v>
      </c>
      <c r="B1079" s="417" t="s">
        <v>7216</v>
      </c>
      <c r="C1079" s="219" t="s">
        <v>6366</v>
      </c>
      <c r="D1079" s="1" t="s">
        <v>7190</v>
      </c>
      <c r="E1079" s="1"/>
      <c r="F1079" s="1">
        <v>120</v>
      </c>
      <c r="G1079" s="1" t="s">
        <v>7191</v>
      </c>
      <c r="H1079" s="31">
        <v>16.5</v>
      </c>
      <c r="I1079" s="27">
        <f t="shared" si="64"/>
        <v>1980</v>
      </c>
      <c r="M1079" s="56">
        <v>41425</v>
      </c>
      <c r="N1079" s="29" t="s">
        <v>165</v>
      </c>
    </row>
    <row r="1080" spans="1:33" ht="12" customHeight="1">
      <c r="A1080" s="25">
        <v>41425</v>
      </c>
      <c r="B1080" s="417" t="s">
        <v>1985</v>
      </c>
      <c r="C1080" s="219" t="s">
        <v>162</v>
      </c>
      <c r="D1080" s="417" t="s">
        <v>240</v>
      </c>
      <c r="E1080" s="28" t="s">
        <v>4506</v>
      </c>
      <c r="F1080" s="205">
        <v>96</v>
      </c>
      <c r="G1080" s="417" t="s">
        <v>170</v>
      </c>
      <c r="H1080" s="31">
        <v>45.2</v>
      </c>
      <c r="I1080" s="27">
        <f>F1080*H1080</f>
        <v>4339.2000000000007</v>
      </c>
    </row>
    <row r="1081" spans="1:33" ht="12" customHeight="1">
      <c r="A1081" s="25">
        <v>41425</v>
      </c>
      <c r="B1081" s="417" t="s">
        <v>1985</v>
      </c>
      <c r="C1081" s="219" t="s">
        <v>162</v>
      </c>
      <c r="D1081" s="417" t="s">
        <v>1882</v>
      </c>
      <c r="E1081" s="28" t="s">
        <v>145</v>
      </c>
      <c r="F1081" s="205">
        <v>240</v>
      </c>
      <c r="G1081" s="417" t="s">
        <v>170</v>
      </c>
      <c r="H1081" s="31">
        <v>17.2</v>
      </c>
      <c r="I1081" s="27">
        <f>F1081*H1081</f>
        <v>4128</v>
      </c>
    </row>
    <row r="1082" spans="1:33" ht="12" customHeight="1">
      <c r="A1082" s="25">
        <v>41425</v>
      </c>
      <c r="B1082" s="417" t="s">
        <v>1985</v>
      </c>
      <c r="C1082" s="219" t="s">
        <v>162</v>
      </c>
      <c r="D1082" s="1" t="s">
        <v>1219</v>
      </c>
      <c r="E1082" s="28" t="s">
        <v>779</v>
      </c>
      <c r="F1082" s="205">
        <v>250</v>
      </c>
      <c r="G1082" s="417" t="s">
        <v>170</v>
      </c>
      <c r="H1082" s="31">
        <v>3.96</v>
      </c>
      <c r="I1082" s="27">
        <f>F1082*H1082</f>
        <v>990</v>
      </c>
    </row>
    <row r="1083" spans="1:33" ht="12" customHeight="1">
      <c r="A1083" s="25">
        <v>41425</v>
      </c>
      <c r="B1083" s="417" t="s">
        <v>1985</v>
      </c>
      <c r="C1083" s="219" t="s">
        <v>162</v>
      </c>
      <c r="D1083" s="417" t="s">
        <v>670</v>
      </c>
      <c r="E1083" s="28" t="s">
        <v>1083</v>
      </c>
      <c r="F1083" s="417">
        <v>250</v>
      </c>
      <c r="G1083" s="417" t="s">
        <v>170</v>
      </c>
      <c r="H1083" s="31">
        <v>3.96</v>
      </c>
      <c r="I1083" s="27">
        <f>F1083*H1083</f>
        <v>990</v>
      </c>
    </row>
    <row r="1084" spans="1:33" ht="12" customHeight="1">
      <c r="B1084" s="382" t="s">
        <v>1979</v>
      </c>
      <c r="C1084" s="219" t="s">
        <v>162</v>
      </c>
      <c r="D1084" s="1" t="s">
        <v>1764</v>
      </c>
      <c r="E1084" s="382" t="s">
        <v>181</v>
      </c>
      <c r="F1084" s="382">
        <v>-2500</v>
      </c>
      <c r="G1084" s="382" t="s">
        <v>170</v>
      </c>
      <c r="H1084" s="31">
        <v>1.62</v>
      </c>
      <c r="I1084" s="27">
        <f>F1084*H1084</f>
        <v>-4050.0000000000005</v>
      </c>
      <c r="J1084" s="28" t="s">
        <v>1564</v>
      </c>
      <c r="K1084" s="25" t="s">
        <v>1564</v>
      </c>
      <c r="M1084" s="56" t="s">
        <v>1564</v>
      </c>
      <c r="N1084" s="29" t="s">
        <v>1564</v>
      </c>
      <c r="O1084" s="28" t="s">
        <v>1564</v>
      </c>
      <c r="R1084" s="382"/>
      <c r="S1084" s="382"/>
      <c r="T1084" s="382"/>
      <c r="U1084" s="382"/>
      <c r="V1084" s="382"/>
      <c r="W1084" s="382"/>
      <c r="X1084" s="382"/>
      <c r="Y1084" s="382"/>
      <c r="Z1084" s="382"/>
      <c r="AA1084" s="382"/>
      <c r="AB1084" s="382"/>
      <c r="AC1084" s="382"/>
      <c r="AD1084" s="382"/>
      <c r="AE1084" s="382"/>
      <c r="AF1084" s="382"/>
      <c r="AG1084" s="382"/>
    </row>
  </sheetData>
  <autoFilter ref="A1:AG1084">
    <filterColumn colId="1"/>
    <filterColumn colId="2"/>
    <filterColumn colId="4"/>
    <filterColumn colId="10"/>
    <filterColumn colId="11"/>
    <filterColumn colId="12"/>
  </autoFilter>
  <customSheetViews>
    <customSheetView guid="{E2EBE12A-2EEF-4ED6-A8ED-23574FF31B29}" showAutoFilter="1">
      <pane xSplit="3" ySplit="1" topLeftCell="D321" activePane="bottomRight" state="frozen"/>
      <selection pane="bottomRight" activeCell="B347" sqref="B347"/>
      <pageMargins left="0.23958333333333334" right="0.33958333333333335" top="0.74791666666666667" bottom="0.74791666666666667" header="0.31458333333333333" footer="0.31458333333333333"/>
      <pageSetup paperSize="9" firstPageNumber="4294963191" orientation="landscape" horizontalDpi="200" verticalDpi="200" r:id="rId1"/>
      <headerFooter alignWithMargins="0"/>
      <autoFilter ref="B1:IB1"/>
    </customSheetView>
  </customSheetViews>
  <mergeCells count="1">
    <mergeCell ref="R2:R3"/>
  </mergeCells>
  <phoneticPr fontId="22" type="noConversion"/>
  <pageMargins left="0.23958333333333334" right="0.33958333333333335" top="0.74791666666666667" bottom="0.74791666666666667" header="0.31458333333333333" footer="0.31458333333333333"/>
  <pageSetup paperSize="9" firstPageNumber="4294963191" orientation="landscape" horizontalDpi="200" verticalDpi="200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154"/>
  <sheetViews>
    <sheetView tabSelected="1" topLeftCell="Q1" zoomScaleSheetLayoutView="100" workbookViewId="0">
      <pane ySplit="1" topLeftCell="A2026" activePane="bottomLeft" state="frozen"/>
      <selection activeCell="I1" sqref="I1"/>
      <selection pane="bottomLeft" activeCell="AB2098" sqref="AB2098"/>
    </sheetView>
  </sheetViews>
  <sheetFormatPr defaultRowHeight="12"/>
  <cols>
    <col min="1" max="1" width="10.125" style="233" customWidth="1"/>
    <col min="2" max="2" width="25.375" style="1" customWidth="1"/>
    <col min="3" max="3" width="5.25" style="1" customWidth="1"/>
    <col min="4" max="4" width="10.625" style="1" customWidth="1"/>
    <col min="5" max="5" width="11.25" style="1" customWidth="1"/>
    <col min="6" max="6" width="6.5" style="1" customWidth="1"/>
    <col min="7" max="7" width="4.25" style="1" customWidth="1"/>
    <col min="8" max="8" width="9.5" style="234" customWidth="1"/>
    <col min="9" max="9" width="10.625" style="235" customWidth="1"/>
    <col min="10" max="10" width="11.375" style="352" customWidth="1"/>
    <col min="11" max="11" width="15.375" style="250" customWidth="1"/>
    <col min="12" max="12" width="14.375" style="237" customWidth="1"/>
    <col min="13" max="13" width="7.875" style="1" customWidth="1"/>
    <col min="14" max="14" width="12.5" style="1" bestFit="1" customWidth="1"/>
    <col min="15" max="15" width="12.5" style="236" customWidth="1"/>
    <col min="16" max="16" width="16.625" style="238" customWidth="1"/>
    <col min="17" max="17" width="13.375" style="1" customWidth="1"/>
    <col min="18" max="18" width="6.75" style="239" customWidth="1"/>
    <col min="19" max="19" width="11.625" style="238" customWidth="1"/>
    <col min="20" max="20" width="27.625" style="238" customWidth="1"/>
    <col min="21" max="21" width="13.375" style="238" customWidth="1"/>
    <col min="22" max="22" width="12.375" style="238" customWidth="1"/>
    <col min="23" max="23" width="11.625" style="236" customWidth="1"/>
    <col min="24" max="24" width="10.25" style="233" customWidth="1"/>
    <col min="25" max="25" width="13.375" style="238" customWidth="1"/>
    <col min="26" max="26" width="6.875" style="255" customWidth="1"/>
    <col min="27" max="27" width="9.5" style="240" customWidth="1"/>
    <col min="28" max="28" width="9" style="1" bestFit="1"/>
    <col min="29" max="16384" width="9" style="1"/>
  </cols>
  <sheetData>
    <row r="1" spans="1:29" s="175" customFormat="1">
      <c r="A1" s="162" t="s">
        <v>1761</v>
      </c>
      <c r="B1" s="113" t="s">
        <v>365</v>
      </c>
      <c r="C1" s="385" t="s">
        <v>1572</v>
      </c>
      <c r="D1" s="113" t="s">
        <v>217</v>
      </c>
      <c r="E1" s="113" t="s">
        <v>78</v>
      </c>
      <c r="F1" s="163" t="s">
        <v>218</v>
      </c>
      <c r="G1" s="163" t="s">
        <v>219</v>
      </c>
      <c r="H1" s="191" t="s">
        <v>220</v>
      </c>
      <c r="I1" s="116" t="s">
        <v>221</v>
      </c>
      <c r="J1" s="350"/>
      <c r="K1" s="113" t="s">
        <v>366</v>
      </c>
      <c r="L1" s="164" t="s">
        <v>367</v>
      </c>
      <c r="M1" s="165" t="s">
        <v>368</v>
      </c>
      <c r="N1" s="165" t="s">
        <v>6020</v>
      </c>
      <c r="O1" s="347" t="s">
        <v>6021</v>
      </c>
      <c r="P1" s="166" t="s">
        <v>369</v>
      </c>
      <c r="Q1" s="167" t="s">
        <v>370</v>
      </c>
      <c r="R1" s="167" t="s">
        <v>371</v>
      </c>
      <c r="S1" s="168" t="s">
        <v>372</v>
      </c>
      <c r="T1" s="168" t="s">
        <v>2056</v>
      </c>
      <c r="U1" s="168" t="s">
        <v>373</v>
      </c>
      <c r="V1" s="169" t="s">
        <v>2057</v>
      </c>
      <c r="W1" s="170" t="s">
        <v>221</v>
      </c>
      <c r="X1" s="171" t="s">
        <v>374</v>
      </c>
      <c r="Y1" s="172" t="s">
        <v>2058</v>
      </c>
      <c r="Z1" s="173" t="s">
        <v>2059</v>
      </c>
      <c r="AA1" s="174" t="s">
        <v>227</v>
      </c>
      <c r="AB1" s="175" t="s">
        <v>375</v>
      </c>
      <c r="AC1" s="175" t="s">
        <v>2060</v>
      </c>
    </row>
    <row r="2" spans="1:29" ht="11.25" customHeight="1">
      <c r="A2" s="233">
        <v>41012</v>
      </c>
      <c r="B2" s="1" t="s">
        <v>386</v>
      </c>
      <c r="C2" s="1" t="s">
        <v>2061</v>
      </c>
      <c r="D2" s="1" t="s">
        <v>240</v>
      </c>
      <c r="E2" s="1">
        <v>6200</v>
      </c>
      <c r="F2" s="1">
        <v>6</v>
      </c>
      <c r="G2" s="1" t="s">
        <v>229</v>
      </c>
      <c r="H2" s="234">
        <v>69.8</v>
      </c>
      <c r="I2" s="235">
        <f t="shared" ref="I2:I29" si="0">H2*F2</f>
        <v>418.79999999999995</v>
      </c>
      <c r="J2" s="351"/>
      <c r="K2" s="419">
        <v>857.8</v>
      </c>
      <c r="L2" s="237">
        <v>41208</v>
      </c>
      <c r="M2" s="1" t="s">
        <v>2062</v>
      </c>
      <c r="N2" s="235">
        <f>I2</f>
        <v>418.79999999999995</v>
      </c>
      <c r="O2" s="235">
        <f>I2-N2</f>
        <v>0</v>
      </c>
      <c r="P2" s="238" t="s">
        <v>387</v>
      </c>
      <c r="Q2" s="1" t="s">
        <v>1863</v>
      </c>
      <c r="V2" s="238" t="s">
        <v>2063</v>
      </c>
      <c r="W2" s="236">
        <v>3485.8</v>
      </c>
      <c r="X2" s="233">
        <v>41177</v>
      </c>
      <c r="Y2" s="238">
        <v>23158294061</v>
      </c>
      <c r="Z2" s="239"/>
      <c r="AB2" s="1" t="s">
        <v>2064</v>
      </c>
    </row>
    <row r="3" spans="1:29" ht="11.25" customHeight="1">
      <c r="A3" s="233">
        <v>41012</v>
      </c>
      <c r="B3" s="1" t="s">
        <v>2065</v>
      </c>
      <c r="C3" s="1" t="s">
        <v>2061</v>
      </c>
      <c r="D3" s="1" t="s">
        <v>2066</v>
      </c>
      <c r="E3" s="1" t="s">
        <v>2067</v>
      </c>
      <c r="F3" s="1">
        <v>50</v>
      </c>
      <c r="G3" s="1" t="s">
        <v>231</v>
      </c>
      <c r="H3" s="234">
        <v>12</v>
      </c>
      <c r="I3" s="235">
        <f t="shared" si="0"/>
        <v>600</v>
      </c>
      <c r="J3" s="351"/>
      <c r="K3" s="420"/>
      <c r="L3" s="237">
        <v>41208</v>
      </c>
      <c r="M3" s="1" t="s">
        <v>2062</v>
      </c>
      <c r="N3" s="235">
        <f t="shared" ref="N3:N66" si="1">I3</f>
        <v>600</v>
      </c>
      <c r="O3" s="235">
        <f t="shared" ref="O3:O66" si="2">I3-N3</f>
        <v>0</v>
      </c>
      <c r="P3" s="238" t="s">
        <v>387</v>
      </c>
      <c r="Q3" s="1" t="s">
        <v>1863</v>
      </c>
      <c r="V3" s="238" t="s">
        <v>2063</v>
      </c>
      <c r="W3" s="236">
        <v>3485.8</v>
      </c>
      <c r="X3" s="233">
        <v>41177</v>
      </c>
      <c r="Y3" s="238">
        <v>23158294061</v>
      </c>
      <c r="Z3" s="239"/>
      <c r="AB3" s="1" t="s">
        <v>2064</v>
      </c>
    </row>
    <row r="4" spans="1:29" ht="11.25" customHeight="1">
      <c r="A4" s="233">
        <v>41016</v>
      </c>
      <c r="B4" s="1" t="s">
        <v>378</v>
      </c>
      <c r="C4" s="1" t="s">
        <v>2061</v>
      </c>
      <c r="D4" s="1" t="s">
        <v>721</v>
      </c>
      <c r="E4" s="1" t="s">
        <v>2068</v>
      </c>
      <c r="F4" s="1">
        <v>2000</v>
      </c>
      <c r="G4" s="1" t="s">
        <v>2069</v>
      </c>
      <c r="H4" s="234">
        <v>1.26</v>
      </c>
      <c r="I4" s="236">
        <f t="shared" si="0"/>
        <v>2520</v>
      </c>
      <c r="J4" s="351"/>
      <c r="K4" s="241">
        <v>2240</v>
      </c>
      <c r="L4" s="237">
        <v>41026</v>
      </c>
      <c r="M4" s="1" t="s">
        <v>384</v>
      </c>
      <c r="N4" s="235">
        <f t="shared" si="1"/>
        <v>2520</v>
      </c>
      <c r="O4" s="235">
        <f t="shared" si="2"/>
        <v>0</v>
      </c>
      <c r="P4" s="238" t="s">
        <v>388</v>
      </c>
      <c r="Q4" s="1" t="s">
        <v>1863</v>
      </c>
      <c r="R4" s="239" t="s">
        <v>403</v>
      </c>
      <c r="S4" s="238" t="s">
        <v>404</v>
      </c>
      <c r="V4" s="238" t="s">
        <v>254</v>
      </c>
      <c r="Y4" s="239"/>
      <c r="Z4" s="239"/>
      <c r="AB4" s="1" t="s">
        <v>377</v>
      </c>
    </row>
    <row r="5" spans="1:29" ht="11.25" customHeight="1">
      <c r="A5" s="233">
        <v>41018</v>
      </c>
      <c r="B5" s="1" t="s">
        <v>2070</v>
      </c>
      <c r="C5" s="1" t="s">
        <v>2071</v>
      </c>
      <c r="D5" s="1" t="s">
        <v>353</v>
      </c>
      <c r="E5" s="1" t="s">
        <v>2072</v>
      </c>
      <c r="F5" s="1">
        <v>60</v>
      </c>
      <c r="G5" s="1" t="s">
        <v>229</v>
      </c>
      <c r="H5" s="234">
        <v>25.8</v>
      </c>
      <c r="I5" s="235">
        <f t="shared" si="0"/>
        <v>1548</v>
      </c>
      <c r="J5" s="351"/>
      <c r="K5" s="241">
        <v>1191.5999999999999</v>
      </c>
      <c r="L5" s="237">
        <v>41208</v>
      </c>
      <c r="M5" s="1" t="s">
        <v>2073</v>
      </c>
      <c r="N5" s="235">
        <f t="shared" si="1"/>
        <v>1548</v>
      </c>
      <c r="O5" s="235">
        <f t="shared" si="2"/>
        <v>0</v>
      </c>
      <c r="P5" s="238">
        <v>1002387</v>
      </c>
      <c r="Q5" s="1" t="s">
        <v>1863</v>
      </c>
      <c r="V5" s="238" t="s">
        <v>2074</v>
      </c>
      <c r="W5" s="236">
        <v>3485.8</v>
      </c>
      <c r="X5" s="233">
        <v>41177</v>
      </c>
      <c r="Y5" s="238">
        <v>23158294061</v>
      </c>
      <c r="Z5" s="239"/>
      <c r="AB5" s="1" t="s">
        <v>2075</v>
      </c>
    </row>
    <row r="6" spans="1:29" ht="11.25" customHeight="1">
      <c r="A6" s="233">
        <v>41018</v>
      </c>
      <c r="B6" s="1" t="s">
        <v>386</v>
      </c>
      <c r="C6" s="1" t="s">
        <v>2071</v>
      </c>
      <c r="D6" s="1" t="s">
        <v>232</v>
      </c>
      <c r="E6" s="1" t="s">
        <v>2076</v>
      </c>
      <c r="F6" s="1">
        <v>100</v>
      </c>
      <c r="G6" s="1" t="s">
        <v>231</v>
      </c>
      <c r="H6" s="234">
        <v>7.9</v>
      </c>
      <c r="I6" s="235">
        <f t="shared" si="0"/>
        <v>790</v>
      </c>
      <c r="J6" s="351">
        <v>6.16</v>
      </c>
      <c r="K6" s="241">
        <v>616</v>
      </c>
      <c r="L6" s="237">
        <v>41208</v>
      </c>
      <c r="M6" s="1" t="s">
        <v>2073</v>
      </c>
      <c r="N6" s="235">
        <f t="shared" si="1"/>
        <v>790</v>
      </c>
      <c r="O6" s="235">
        <f t="shared" si="2"/>
        <v>0</v>
      </c>
      <c r="P6" s="238">
        <v>1002387</v>
      </c>
      <c r="Q6" s="1" t="s">
        <v>1863</v>
      </c>
      <c r="V6" s="238" t="s">
        <v>2074</v>
      </c>
      <c r="W6" s="236">
        <v>3485.8</v>
      </c>
      <c r="X6" s="233">
        <v>41177</v>
      </c>
      <c r="Y6" s="238">
        <v>23158294061</v>
      </c>
      <c r="Z6" s="239"/>
      <c r="AB6" s="1" t="s">
        <v>2075</v>
      </c>
    </row>
    <row r="7" spans="1:29" ht="11.25" customHeight="1">
      <c r="A7" s="233">
        <v>41018</v>
      </c>
      <c r="B7" s="1" t="s">
        <v>2070</v>
      </c>
      <c r="C7" s="1" t="s">
        <v>2071</v>
      </c>
      <c r="D7" s="1" t="s">
        <v>263</v>
      </c>
      <c r="E7" s="1">
        <v>501</v>
      </c>
      <c r="F7" s="1">
        <v>60</v>
      </c>
      <c r="G7" s="1" t="s">
        <v>229</v>
      </c>
      <c r="H7" s="234">
        <v>2.15</v>
      </c>
      <c r="I7" s="235">
        <f t="shared" si="0"/>
        <v>129</v>
      </c>
      <c r="J7" s="351">
        <v>1.81</v>
      </c>
      <c r="K7" s="241">
        <v>108.6</v>
      </c>
      <c r="L7" s="237">
        <v>41208</v>
      </c>
      <c r="M7" s="1" t="s">
        <v>2077</v>
      </c>
      <c r="N7" s="235">
        <f t="shared" si="1"/>
        <v>129</v>
      </c>
      <c r="O7" s="235">
        <f t="shared" si="2"/>
        <v>0</v>
      </c>
      <c r="P7" s="238">
        <v>1002387</v>
      </c>
      <c r="Q7" s="1" t="s">
        <v>1863</v>
      </c>
      <c r="V7" s="238" t="s">
        <v>2078</v>
      </c>
      <c r="W7" s="236">
        <v>3485.8</v>
      </c>
      <c r="X7" s="233">
        <v>41177</v>
      </c>
      <c r="Y7" s="238">
        <v>23158294061</v>
      </c>
      <c r="Z7" s="239"/>
      <c r="AB7" s="1" t="s">
        <v>2079</v>
      </c>
    </row>
    <row r="8" spans="1:29" ht="11.25" customHeight="1">
      <c r="A8" s="233">
        <v>41018</v>
      </c>
      <c r="B8" s="1" t="s">
        <v>389</v>
      </c>
      <c r="C8" s="1" t="s">
        <v>2080</v>
      </c>
      <c r="D8" s="1" t="s">
        <v>2009</v>
      </c>
      <c r="E8" s="1" t="s">
        <v>2081</v>
      </c>
      <c r="F8" s="1">
        <v>5</v>
      </c>
      <c r="G8" s="1" t="s">
        <v>239</v>
      </c>
      <c r="H8" s="234">
        <v>35.1</v>
      </c>
      <c r="I8" s="236">
        <f t="shared" si="0"/>
        <v>175.5</v>
      </c>
      <c r="J8" s="351"/>
      <c r="K8" s="241">
        <v>150.75</v>
      </c>
      <c r="L8" s="237">
        <v>41018</v>
      </c>
      <c r="M8" s="1" t="s">
        <v>300</v>
      </c>
      <c r="N8" s="235">
        <f t="shared" si="1"/>
        <v>175.5</v>
      </c>
      <c r="O8" s="235">
        <f t="shared" si="2"/>
        <v>0</v>
      </c>
      <c r="P8" s="238" t="s">
        <v>390</v>
      </c>
      <c r="Q8" s="1" t="s">
        <v>391</v>
      </c>
      <c r="T8" s="238" t="s">
        <v>795</v>
      </c>
      <c r="V8" s="238" t="s">
        <v>7000</v>
      </c>
      <c r="W8" s="236">
        <v>5687</v>
      </c>
      <c r="X8" s="233">
        <v>41417</v>
      </c>
      <c r="Y8" s="239" t="s">
        <v>6988</v>
      </c>
      <c r="Z8" s="239"/>
      <c r="AB8" s="1" t="s">
        <v>377</v>
      </c>
    </row>
    <row r="9" spans="1:29" ht="11.25" customHeight="1">
      <c r="A9" s="233">
        <v>41018</v>
      </c>
      <c r="B9" s="1" t="s">
        <v>389</v>
      </c>
      <c r="C9" s="1" t="s">
        <v>2080</v>
      </c>
      <c r="D9" s="1" t="s">
        <v>2010</v>
      </c>
      <c r="E9" s="1">
        <v>10434</v>
      </c>
      <c r="F9" s="1">
        <v>15</v>
      </c>
      <c r="G9" s="1" t="s">
        <v>239</v>
      </c>
      <c r="H9" s="234">
        <v>18.72</v>
      </c>
      <c r="I9" s="236">
        <f t="shared" si="0"/>
        <v>280.79999999999995</v>
      </c>
      <c r="J9" s="351"/>
      <c r="K9" s="241">
        <v>241.2</v>
      </c>
      <c r="L9" s="237">
        <v>41018</v>
      </c>
      <c r="M9" s="1" t="s">
        <v>300</v>
      </c>
      <c r="N9" s="235">
        <f t="shared" si="1"/>
        <v>280.79999999999995</v>
      </c>
      <c r="O9" s="235">
        <f t="shared" si="2"/>
        <v>0</v>
      </c>
      <c r="P9" s="238" t="s">
        <v>390</v>
      </c>
      <c r="Q9" s="1" t="s">
        <v>391</v>
      </c>
      <c r="T9" s="238" t="s">
        <v>795</v>
      </c>
      <c r="V9" s="238" t="s">
        <v>7000</v>
      </c>
      <c r="W9" s="236">
        <v>5687</v>
      </c>
      <c r="X9" s="233">
        <v>41417</v>
      </c>
      <c r="Y9" s="239" t="s">
        <v>6988</v>
      </c>
      <c r="Z9" s="239"/>
      <c r="AB9" s="1" t="s">
        <v>377</v>
      </c>
    </row>
    <row r="10" spans="1:29" ht="11.25" customHeight="1">
      <c r="A10" s="233">
        <v>41018</v>
      </c>
      <c r="B10" s="1" t="s">
        <v>389</v>
      </c>
      <c r="C10" s="1" t="s">
        <v>2080</v>
      </c>
      <c r="D10" s="1" t="s">
        <v>307</v>
      </c>
      <c r="E10" s="1">
        <v>1110</v>
      </c>
      <c r="F10" s="1">
        <v>50</v>
      </c>
      <c r="G10" s="1" t="s">
        <v>239</v>
      </c>
      <c r="H10" s="234">
        <v>0.86</v>
      </c>
      <c r="I10" s="236">
        <f t="shared" si="0"/>
        <v>43</v>
      </c>
      <c r="J10" s="351"/>
      <c r="K10" s="241">
        <v>40</v>
      </c>
      <c r="L10" s="237">
        <v>41018</v>
      </c>
      <c r="M10" s="1" t="s">
        <v>300</v>
      </c>
      <c r="N10" s="235">
        <f t="shared" si="1"/>
        <v>43</v>
      </c>
      <c r="O10" s="235">
        <f t="shared" si="2"/>
        <v>0</v>
      </c>
      <c r="P10" s="238" t="s">
        <v>390</v>
      </c>
      <c r="Q10" s="1" t="s">
        <v>391</v>
      </c>
      <c r="T10" s="238" t="s">
        <v>795</v>
      </c>
      <c r="V10" s="238" t="s">
        <v>7000</v>
      </c>
      <c r="W10" s="236">
        <v>5687</v>
      </c>
      <c r="X10" s="233">
        <v>41417</v>
      </c>
      <c r="Y10" s="239" t="s">
        <v>6988</v>
      </c>
      <c r="Z10" s="239"/>
      <c r="AB10" s="1" t="s">
        <v>377</v>
      </c>
    </row>
    <row r="11" spans="1:29" ht="11.25" customHeight="1">
      <c r="A11" s="233">
        <v>41018</v>
      </c>
      <c r="B11" s="1" t="s">
        <v>376</v>
      </c>
      <c r="C11" s="1" t="s">
        <v>2080</v>
      </c>
      <c r="D11" s="1" t="s">
        <v>842</v>
      </c>
      <c r="E11" s="1">
        <v>16618</v>
      </c>
      <c r="F11" s="1">
        <v>20</v>
      </c>
      <c r="G11" s="1" t="s">
        <v>239</v>
      </c>
      <c r="H11" s="234">
        <v>39.6</v>
      </c>
      <c r="I11" s="236">
        <f t="shared" si="0"/>
        <v>792</v>
      </c>
      <c r="J11" s="351"/>
      <c r="K11" s="241">
        <v>737</v>
      </c>
      <c r="L11" s="237">
        <v>41037</v>
      </c>
      <c r="M11" s="1" t="s">
        <v>2082</v>
      </c>
      <c r="N11" s="235">
        <f t="shared" si="1"/>
        <v>792</v>
      </c>
      <c r="O11" s="235">
        <f t="shared" si="2"/>
        <v>0</v>
      </c>
      <c r="P11" s="238" t="s">
        <v>392</v>
      </c>
      <c r="Q11" s="1" t="s">
        <v>1863</v>
      </c>
      <c r="V11" s="238" t="s">
        <v>2083</v>
      </c>
      <c r="W11" s="236">
        <v>5992.1</v>
      </c>
      <c r="X11" s="233">
        <v>41109</v>
      </c>
      <c r="Y11" s="242">
        <v>468490602767</v>
      </c>
      <c r="Z11" s="242"/>
      <c r="AB11" s="1" t="s">
        <v>377</v>
      </c>
    </row>
    <row r="12" spans="1:29" ht="11.25" customHeight="1">
      <c r="A12" s="233">
        <v>41025</v>
      </c>
      <c r="B12" s="1" t="s">
        <v>2084</v>
      </c>
      <c r="C12" s="1" t="s">
        <v>2080</v>
      </c>
      <c r="D12" s="1" t="s">
        <v>2011</v>
      </c>
      <c r="E12" s="1" t="s">
        <v>2085</v>
      </c>
      <c r="F12" s="1">
        <v>1000</v>
      </c>
      <c r="G12" s="1" t="s">
        <v>2086</v>
      </c>
      <c r="H12" s="234">
        <v>1.3</v>
      </c>
      <c r="I12" s="236">
        <f t="shared" si="0"/>
        <v>1300</v>
      </c>
      <c r="J12" s="351"/>
      <c r="K12" s="241">
        <v>1240</v>
      </c>
      <c r="L12" s="237">
        <v>41026</v>
      </c>
      <c r="M12" s="236" t="s">
        <v>384</v>
      </c>
      <c r="N12" s="235">
        <f t="shared" si="1"/>
        <v>1300</v>
      </c>
      <c r="O12" s="235">
        <f t="shared" si="2"/>
        <v>0</v>
      </c>
      <c r="P12" s="238" t="s">
        <v>393</v>
      </c>
      <c r="Q12" s="1" t="s">
        <v>394</v>
      </c>
      <c r="R12" s="239" t="s">
        <v>395</v>
      </c>
      <c r="S12" s="238" t="s">
        <v>396</v>
      </c>
      <c r="U12" s="238" t="s">
        <v>397</v>
      </c>
      <c r="V12" s="238" t="s">
        <v>254</v>
      </c>
      <c r="Y12" s="239"/>
      <c r="Z12" s="239"/>
      <c r="AA12" s="240" t="s">
        <v>398</v>
      </c>
      <c r="AB12" s="1" t="s">
        <v>377</v>
      </c>
    </row>
    <row r="13" spans="1:29" ht="11.25" customHeight="1">
      <c r="A13" s="233">
        <v>41025</v>
      </c>
      <c r="B13" s="1" t="s">
        <v>2087</v>
      </c>
      <c r="C13" s="1" t="s">
        <v>2071</v>
      </c>
      <c r="D13" s="5" t="s">
        <v>2088</v>
      </c>
      <c r="E13" s="1" t="s">
        <v>2089</v>
      </c>
      <c r="F13" s="1">
        <v>1000</v>
      </c>
      <c r="G13" s="1" t="s">
        <v>4970</v>
      </c>
      <c r="H13" s="234">
        <v>1.74</v>
      </c>
      <c r="I13" s="236">
        <f t="shared" si="0"/>
        <v>1740</v>
      </c>
      <c r="J13" s="351">
        <v>1.66</v>
      </c>
      <c r="K13" s="241">
        <v>1660</v>
      </c>
      <c r="L13" s="237">
        <v>41026</v>
      </c>
      <c r="M13" s="236" t="s">
        <v>384</v>
      </c>
      <c r="N13" s="235">
        <f t="shared" si="1"/>
        <v>1740</v>
      </c>
      <c r="O13" s="235">
        <f t="shared" si="2"/>
        <v>0</v>
      </c>
      <c r="P13" s="238" t="s">
        <v>393</v>
      </c>
      <c r="Q13" s="1" t="s">
        <v>394</v>
      </c>
      <c r="R13" s="239" t="s">
        <v>395</v>
      </c>
      <c r="S13" s="238" t="s">
        <v>396</v>
      </c>
      <c r="U13" s="238" t="s">
        <v>397</v>
      </c>
      <c r="V13" s="238" t="s">
        <v>254</v>
      </c>
      <c r="Y13" s="239"/>
      <c r="Z13" s="239"/>
      <c r="AA13" s="240" t="s">
        <v>398</v>
      </c>
      <c r="AB13" s="1" t="s">
        <v>377</v>
      </c>
    </row>
    <row r="14" spans="1:29" ht="11.25" customHeight="1">
      <c r="A14" s="233">
        <v>41025</v>
      </c>
      <c r="B14" s="1" t="s">
        <v>2087</v>
      </c>
      <c r="C14" s="1" t="s">
        <v>2071</v>
      </c>
      <c r="D14" s="1" t="s">
        <v>2090</v>
      </c>
      <c r="E14" s="1" t="s">
        <v>2091</v>
      </c>
      <c r="F14" s="1">
        <v>500</v>
      </c>
      <c r="G14" s="1" t="s">
        <v>2092</v>
      </c>
      <c r="H14" s="234">
        <v>3.46</v>
      </c>
      <c r="I14" s="236">
        <f t="shared" si="0"/>
        <v>1730</v>
      </c>
      <c r="J14" s="351">
        <v>3.31</v>
      </c>
      <c r="K14" s="241">
        <v>1655</v>
      </c>
      <c r="L14" s="237">
        <v>41026</v>
      </c>
      <c r="M14" s="236" t="s">
        <v>384</v>
      </c>
      <c r="N14" s="235">
        <f t="shared" si="1"/>
        <v>1730</v>
      </c>
      <c r="O14" s="235">
        <f t="shared" si="2"/>
        <v>0</v>
      </c>
      <c r="P14" s="238" t="s">
        <v>393</v>
      </c>
      <c r="Q14" s="1" t="s">
        <v>394</v>
      </c>
      <c r="R14" s="239" t="s">
        <v>395</v>
      </c>
      <c r="S14" s="238" t="s">
        <v>396</v>
      </c>
      <c r="U14" s="238" t="s">
        <v>397</v>
      </c>
      <c r="V14" s="238" t="s">
        <v>254</v>
      </c>
      <c r="Y14" s="239"/>
      <c r="Z14" s="239"/>
      <c r="AA14" s="240" t="s">
        <v>398</v>
      </c>
      <c r="AB14" s="1" t="s">
        <v>377</v>
      </c>
    </row>
    <row r="15" spans="1:29" ht="11.25" customHeight="1">
      <c r="A15" s="233">
        <v>41025</v>
      </c>
      <c r="B15" s="1" t="s">
        <v>2087</v>
      </c>
      <c r="C15" s="1" t="s">
        <v>2071</v>
      </c>
      <c r="D15" s="1" t="s">
        <v>6623</v>
      </c>
      <c r="E15" s="1" t="s">
        <v>2093</v>
      </c>
      <c r="F15" s="1">
        <v>20</v>
      </c>
      <c r="G15" s="1" t="s">
        <v>239</v>
      </c>
      <c r="H15" s="234">
        <v>16.100000000000001</v>
      </c>
      <c r="I15" s="236">
        <f t="shared" si="0"/>
        <v>322</v>
      </c>
      <c r="J15" s="351"/>
      <c r="K15" s="241">
        <v>308.2</v>
      </c>
      <c r="L15" s="237">
        <v>41026</v>
      </c>
      <c r="M15" s="236" t="s">
        <v>384</v>
      </c>
      <c r="N15" s="235">
        <f t="shared" si="1"/>
        <v>322</v>
      </c>
      <c r="O15" s="235">
        <f t="shared" si="2"/>
        <v>0</v>
      </c>
      <c r="P15" s="238" t="s">
        <v>393</v>
      </c>
      <c r="Q15" s="1" t="s">
        <v>394</v>
      </c>
      <c r="R15" s="239" t="s">
        <v>395</v>
      </c>
      <c r="S15" s="238" t="s">
        <v>396</v>
      </c>
      <c r="U15" s="238" t="s">
        <v>397</v>
      </c>
      <c r="V15" s="238" t="s">
        <v>254</v>
      </c>
      <c r="Y15" s="239"/>
      <c r="Z15" s="239"/>
      <c r="AA15" s="240" t="s">
        <v>398</v>
      </c>
      <c r="AB15" s="1" t="s">
        <v>377</v>
      </c>
    </row>
    <row r="16" spans="1:29" ht="11.25" customHeight="1">
      <c r="A16" s="233">
        <v>41025</v>
      </c>
      <c r="B16" s="1" t="s">
        <v>2087</v>
      </c>
      <c r="C16" s="1" t="s">
        <v>2071</v>
      </c>
      <c r="D16" s="1" t="s">
        <v>2094</v>
      </c>
      <c r="E16" s="1">
        <v>12308</v>
      </c>
      <c r="F16" s="1">
        <v>20</v>
      </c>
      <c r="G16" s="1" t="s">
        <v>239</v>
      </c>
      <c r="H16" s="234">
        <v>20.3</v>
      </c>
      <c r="I16" s="236">
        <f t="shared" si="0"/>
        <v>406</v>
      </c>
      <c r="J16" s="351"/>
      <c r="K16" s="241">
        <v>388.6</v>
      </c>
      <c r="L16" s="237">
        <v>41026</v>
      </c>
      <c r="M16" s="236" t="s">
        <v>384</v>
      </c>
      <c r="N16" s="235">
        <f t="shared" si="1"/>
        <v>406</v>
      </c>
      <c r="O16" s="235">
        <f t="shared" si="2"/>
        <v>0</v>
      </c>
      <c r="P16" s="238" t="s">
        <v>393</v>
      </c>
      <c r="Q16" s="1" t="s">
        <v>394</v>
      </c>
      <c r="R16" s="239" t="s">
        <v>395</v>
      </c>
      <c r="S16" s="238" t="s">
        <v>396</v>
      </c>
      <c r="U16" s="238" t="s">
        <v>397</v>
      </c>
      <c r="V16" s="238" t="s">
        <v>254</v>
      </c>
      <c r="Y16" s="239"/>
      <c r="Z16" s="239"/>
      <c r="AA16" s="240" t="s">
        <v>398</v>
      </c>
      <c r="AB16" s="1" t="s">
        <v>377</v>
      </c>
    </row>
    <row r="17" spans="1:28" ht="11.25" customHeight="1">
      <c r="A17" s="233">
        <v>41025</v>
      </c>
      <c r="B17" s="1" t="s">
        <v>2087</v>
      </c>
      <c r="C17" s="1" t="s">
        <v>2071</v>
      </c>
      <c r="D17" s="1" t="s">
        <v>2095</v>
      </c>
      <c r="E17" s="1">
        <v>10434</v>
      </c>
      <c r="F17" s="1">
        <v>20</v>
      </c>
      <c r="G17" s="1" t="s">
        <v>239</v>
      </c>
      <c r="H17" s="234">
        <v>16.8</v>
      </c>
      <c r="I17" s="236">
        <f t="shared" si="0"/>
        <v>336</v>
      </c>
      <c r="J17" s="351"/>
      <c r="K17" s="241">
        <v>321.59999999999997</v>
      </c>
      <c r="L17" s="237">
        <v>41026</v>
      </c>
      <c r="M17" s="236" t="s">
        <v>384</v>
      </c>
      <c r="N17" s="235">
        <f t="shared" si="1"/>
        <v>336</v>
      </c>
      <c r="O17" s="235">
        <f t="shared" si="2"/>
        <v>0</v>
      </c>
      <c r="P17" s="238" t="s">
        <v>393</v>
      </c>
      <c r="Q17" s="1" t="s">
        <v>394</v>
      </c>
      <c r="R17" s="239" t="s">
        <v>395</v>
      </c>
      <c r="S17" s="238" t="s">
        <v>396</v>
      </c>
      <c r="U17" s="238" t="s">
        <v>397</v>
      </c>
      <c r="V17" s="238" t="s">
        <v>254</v>
      </c>
      <c r="Y17" s="239"/>
      <c r="Z17" s="239"/>
      <c r="AA17" s="240" t="s">
        <v>398</v>
      </c>
      <c r="AB17" s="1" t="s">
        <v>377</v>
      </c>
    </row>
    <row r="18" spans="1:28" ht="11.25" customHeight="1">
      <c r="A18" s="233">
        <v>41026</v>
      </c>
      <c r="B18" s="1" t="s">
        <v>2096</v>
      </c>
      <c r="C18" s="1" t="s">
        <v>2071</v>
      </c>
      <c r="D18" s="1" t="s">
        <v>2097</v>
      </c>
      <c r="E18" s="1" t="s">
        <v>2098</v>
      </c>
      <c r="F18" s="1">
        <v>150</v>
      </c>
      <c r="G18" s="1" t="s">
        <v>2099</v>
      </c>
      <c r="H18" s="234">
        <v>1.8</v>
      </c>
      <c r="I18" s="236">
        <f t="shared" si="0"/>
        <v>270</v>
      </c>
      <c r="J18" s="351"/>
      <c r="K18" s="241">
        <v>0</v>
      </c>
      <c r="L18" s="237">
        <v>41026</v>
      </c>
      <c r="M18" s="1" t="s">
        <v>300</v>
      </c>
      <c r="N18" s="235">
        <f t="shared" si="1"/>
        <v>270</v>
      </c>
      <c r="O18" s="235">
        <f t="shared" si="2"/>
        <v>0</v>
      </c>
      <c r="P18" s="238" t="s">
        <v>400</v>
      </c>
      <c r="Q18" s="1" t="s">
        <v>1863</v>
      </c>
      <c r="V18" s="238" t="s">
        <v>254</v>
      </c>
      <c r="Y18" s="239"/>
      <c r="Z18" s="239"/>
      <c r="AB18" s="1" t="s">
        <v>382</v>
      </c>
    </row>
    <row r="19" spans="1:28" ht="11.25" customHeight="1">
      <c r="A19" s="233">
        <v>41027</v>
      </c>
      <c r="B19" s="1" t="s">
        <v>378</v>
      </c>
      <c r="C19" s="1" t="s">
        <v>2071</v>
      </c>
      <c r="D19" s="1" t="s">
        <v>1210</v>
      </c>
      <c r="E19" s="1">
        <v>3200</v>
      </c>
      <c r="F19" s="1">
        <v>40</v>
      </c>
      <c r="G19" s="1" t="s">
        <v>229</v>
      </c>
      <c r="H19" s="234">
        <v>30.471</v>
      </c>
      <c r="I19" s="236">
        <f>H19*F19</f>
        <v>1218.8399999999999</v>
      </c>
      <c r="J19" s="351"/>
      <c r="K19" s="241">
        <v>1166.5999999999999</v>
      </c>
      <c r="L19" s="237">
        <v>41085</v>
      </c>
      <c r="M19" s="1" t="s">
        <v>2100</v>
      </c>
      <c r="N19" s="235">
        <f t="shared" si="1"/>
        <v>1218.8399999999999</v>
      </c>
      <c r="O19" s="235">
        <f t="shared" si="2"/>
        <v>0</v>
      </c>
      <c r="P19" s="238" t="s">
        <v>401</v>
      </c>
      <c r="Q19" s="1" t="s">
        <v>402</v>
      </c>
      <c r="R19" s="239" t="s">
        <v>403</v>
      </c>
      <c r="S19" s="238" t="s">
        <v>404</v>
      </c>
      <c r="U19" s="238" t="s">
        <v>405</v>
      </c>
      <c r="V19" s="238" t="s">
        <v>254</v>
      </c>
      <c r="Y19" s="239"/>
      <c r="Z19" s="239"/>
      <c r="AB19" s="1" t="s">
        <v>377</v>
      </c>
    </row>
    <row r="20" spans="1:28" ht="11.25" customHeight="1">
      <c r="A20" s="233">
        <v>41027</v>
      </c>
      <c r="B20" s="1" t="s">
        <v>378</v>
      </c>
      <c r="C20" s="1" t="s">
        <v>2071</v>
      </c>
      <c r="D20" s="1" t="s">
        <v>2101</v>
      </c>
      <c r="E20" s="1" t="s">
        <v>2102</v>
      </c>
      <c r="F20" s="1">
        <v>30</v>
      </c>
      <c r="G20" s="1" t="s">
        <v>229</v>
      </c>
      <c r="H20" s="234">
        <v>14.32</v>
      </c>
      <c r="I20" s="236">
        <f t="shared" si="0"/>
        <v>429.6</v>
      </c>
      <c r="J20" s="352">
        <v>13.326000000000001</v>
      </c>
      <c r="K20" s="241">
        <v>399.78</v>
      </c>
      <c r="L20" s="237">
        <v>41085</v>
      </c>
      <c r="M20" s="1" t="s">
        <v>2100</v>
      </c>
      <c r="N20" s="235">
        <f t="shared" si="1"/>
        <v>429.6</v>
      </c>
      <c r="O20" s="235">
        <f t="shared" si="2"/>
        <v>0</v>
      </c>
      <c r="P20" s="238" t="s">
        <v>401</v>
      </c>
      <c r="Q20" s="1" t="s">
        <v>402</v>
      </c>
      <c r="R20" s="239" t="s">
        <v>403</v>
      </c>
      <c r="S20" s="238" t="s">
        <v>2103</v>
      </c>
      <c r="U20" s="238" t="s">
        <v>405</v>
      </c>
      <c r="V20" s="238" t="s">
        <v>254</v>
      </c>
      <c r="Y20" s="239"/>
      <c r="Z20" s="239"/>
      <c r="AB20" s="1" t="s">
        <v>377</v>
      </c>
    </row>
    <row r="21" spans="1:28" ht="11.25" customHeight="1">
      <c r="A21" s="233">
        <v>41027</v>
      </c>
      <c r="B21" s="1" t="s">
        <v>378</v>
      </c>
      <c r="C21" s="1" t="s">
        <v>2071</v>
      </c>
      <c r="D21" s="1" t="s">
        <v>2104</v>
      </c>
      <c r="E21" s="1">
        <v>6200</v>
      </c>
      <c r="F21" s="1">
        <v>15</v>
      </c>
      <c r="G21" s="1" t="s">
        <v>229</v>
      </c>
      <c r="H21" s="234">
        <v>59.38</v>
      </c>
      <c r="I21" s="236">
        <f t="shared" si="0"/>
        <v>890.7</v>
      </c>
      <c r="J21" s="351"/>
      <c r="K21" s="241">
        <v>796.17</v>
      </c>
      <c r="L21" s="237">
        <v>41085</v>
      </c>
      <c r="M21" s="1" t="s">
        <v>2100</v>
      </c>
      <c r="N21" s="235">
        <f t="shared" si="1"/>
        <v>890.7</v>
      </c>
      <c r="O21" s="235">
        <f t="shared" si="2"/>
        <v>0</v>
      </c>
      <c r="P21" s="238" t="s">
        <v>401</v>
      </c>
      <c r="Q21" s="1" t="s">
        <v>402</v>
      </c>
      <c r="R21" s="239" t="s">
        <v>403</v>
      </c>
      <c r="S21" s="238" t="s">
        <v>404</v>
      </c>
      <c r="U21" s="238" t="s">
        <v>405</v>
      </c>
      <c r="V21" s="238" t="s">
        <v>254</v>
      </c>
      <c r="Y21" s="239"/>
      <c r="Z21" s="239"/>
      <c r="AB21" s="1" t="s">
        <v>377</v>
      </c>
    </row>
    <row r="22" spans="1:28" ht="11.25" customHeight="1">
      <c r="A22" s="233">
        <v>41027</v>
      </c>
      <c r="B22" s="1" t="s">
        <v>378</v>
      </c>
      <c r="C22" s="1" t="s">
        <v>2071</v>
      </c>
      <c r="D22" s="1" t="s">
        <v>353</v>
      </c>
      <c r="E22" s="1" t="s">
        <v>2072</v>
      </c>
      <c r="F22" s="1">
        <v>70</v>
      </c>
      <c r="G22" s="1" t="s">
        <v>229</v>
      </c>
      <c r="H22" s="234">
        <v>20.75</v>
      </c>
      <c r="I22" s="236">
        <f t="shared" si="0"/>
        <v>1452.5</v>
      </c>
      <c r="J22" s="351"/>
      <c r="K22" s="241">
        <v>1390.116</v>
      </c>
      <c r="L22" s="237">
        <v>41085</v>
      </c>
      <c r="M22" s="1" t="s">
        <v>2100</v>
      </c>
      <c r="N22" s="235">
        <f t="shared" si="1"/>
        <v>1452.5</v>
      </c>
      <c r="O22" s="235">
        <f t="shared" si="2"/>
        <v>0</v>
      </c>
      <c r="P22" s="238" t="s">
        <v>401</v>
      </c>
      <c r="Q22" s="1" t="s">
        <v>402</v>
      </c>
      <c r="R22" s="239" t="s">
        <v>403</v>
      </c>
      <c r="S22" s="238" t="s">
        <v>404</v>
      </c>
      <c r="U22" s="238" t="s">
        <v>405</v>
      </c>
      <c r="V22" s="238" t="s">
        <v>254</v>
      </c>
      <c r="Y22" s="239"/>
      <c r="Z22" s="239"/>
      <c r="AB22" s="1" t="s">
        <v>377</v>
      </c>
    </row>
    <row r="23" spans="1:28" ht="11.25" customHeight="1">
      <c r="A23" s="233">
        <v>41027</v>
      </c>
      <c r="B23" s="1" t="s">
        <v>2105</v>
      </c>
      <c r="C23" s="1" t="s">
        <v>2071</v>
      </c>
      <c r="D23" s="1" t="s">
        <v>268</v>
      </c>
      <c r="E23" s="1" t="s">
        <v>2106</v>
      </c>
      <c r="F23" s="1">
        <v>100</v>
      </c>
      <c r="G23" s="1" t="s">
        <v>231</v>
      </c>
      <c r="H23" s="234">
        <v>1.526</v>
      </c>
      <c r="I23" s="236">
        <f t="shared" si="0"/>
        <v>152.6</v>
      </c>
      <c r="J23" s="352">
        <v>1.484</v>
      </c>
      <c r="K23" s="241">
        <v>148.4</v>
      </c>
      <c r="L23" s="237">
        <v>41085</v>
      </c>
      <c r="M23" s="1" t="s">
        <v>2100</v>
      </c>
      <c r="N23" s="235">
        <f t="shared" si="1"/>
        <v>152.6</v>
      </c>
      <c r="O23" s="235">
        <f t="shared" si="2"/>
        <v>0</v>
      </c>
      <c r="P23" s="238" t="s">
        <v>4886</v>
      </c>
      <c r="Q23" s="1" t="s">
        <v>402</v>
      </c>
      <c r="R23" s="239" t="s">
        <v>403</v>
      </c>
      <c r="S23" s="238" t="s">
        <v>404</v>
      </c>
      <c r="U23" s="238" t="s">
        <v>405</v>
      </c>
      <c r="V23" s="238" t="s">
        <v>254</v>
      </c>
      <c r="Y23" s="239"/>
      <c r="Z23" s="239"/>
      <c r="AB23" s="1" t="s">
        <v>377</v>
      </c>
    </row>
    <row r="24" spans="1:28" ht="11.25" customHeight="1">
      <c r="A24" s="233">
        <v>41027</v>
      </c>
      <c r="B24" s="1" t="s">
        <v>389</v>
      </c>
      <c r="C24" s="1" t="s">
        <v>2071</v>
      </c>
      <c r="D24" s="1" t="s">
        <v>263</v>
      </c>
      <c r="E24" s="1">
        <v>501</v>
      </c>
      <c r="F24" s="1">
        <v>10</v>
      </c>
      <c r="G24" s="1" t="s">
        <v>229</v>
      </c>
      <c r="H24" s="234">
        <v>1.89</v>
      </c>
      <c r="I24" s="236">
        <f t="shared" si="0"/>
        <v>18.899999999999999</v>
      </c>
      <c r="J24" s="351">
        <v>1.75</v>
      </c>
      <c r="K24" s="241">
        <v>17.5</v>
      </c>
      <c r="L24" s="237">
        <v>41027</v>
      </c>
      <c r="M24" s="1" t="s">
        <v>300</v>
      </c>
      <c r="N24" s="235">
        <f t="shared" si="1"/>
        <v>18.899999999999999</v>
      </c>
      <c r="O24" s="235">
        <f t="shared" si="2"/>
        <v>0</v>
      </c>
      <c r="P24" s="238" t="s">
        <v>406</v>
      </c>
      <c r="Q24" s="1" t="s">
        <v>391</v>
      </c>
      <c r="T24" s="238" t="s">
        <v>795</v>
      </c>
      <c r="V24" s="238" t="s">
        <v>7000</v>
      </c>
      <c r="W24" s="236">
        <v>5687</v>
      </c>
      <c r="X24" s="233">
        <v>41417</v>
      </c>
      <c r="Y24" s="239" t="s">
        <v>6988</v>
      </c>
      <c r="Z24" s="239"/>
      <c r="AA24" s="240" t="s">
        <v>398</v>
      </c>
      <c r="AB24" s="1" t="s">
        <v>377</v>
      </c>
    </row>
    <row r="25" spans="1:28" ht="11.25" customHeight="1">
      <c r="A25" s="233">
        <v>41027</v>
      </c>
      <c r="B25" s="1" t="s">
        <v>389</v>
      </c>
      <c r="C25" s="1" t="s">
        <v>2080</v>
      </c>
      <c r="D25" s="1" t="s">
        <v>232</v>
      </c>
      <c r="E25" s="1" t="s">
        <v>2107</v>
      </c>
      <c r="F25" s="1">
        <v>10</v>
      </c>
      <c r="G25" s="1" t="s">
        <v>231</v>
      </c>
      <c r="H25" s="234">
        <v>6.9</v>
      </c>
      <c r="I25" s="236">
        <f t="shared" si="0"/>
        <v>69</v>
      </c>
      <c r="J25" s="351">
        <v>6</v>
      </c>
      <c r="K25" s="241">
        <v>60</v>
      </c>
      <c r="L25" s="237">
        <v>41027</v>
      </c>
      <c r="M25" s="1" t="s">
        <v>300</v>
      </c>
      <c r="N25" s="235">
        <f t="shared" si="1"/>
        <v>69</v>
      </c>
      <c r="O25" s="235">
        <f t="shared" si="2"/>
        <v>0</v>
      </c>
      <c r="P25" s="238" t="s">
        <v>406</v>
      </c>
      <c r="Q25" s="1" t="s">
        <v>391</v>
      </c>
      <c r="T25" s="238" t="s">
        <v>795</v>
      </c>
      <c r="V25" s="238" t="s">
        <v>7000</v>
      </c>
      <c r="W25" s="236">
        <v>5687</v>
      </c>
      <c r="X25" s="233">
        <v>41417</v>
      </c>
      <c r="Y25" s="239" t="s">
        <v>6988</v>
      </c>
      <c r="Z25" s="239"/>
      <c r="AA25" s="240" t="s">
        <v>398</v>
      </c>
      <c r="AB25" s="1" t="s">
        <v>377</v>
      </c>
    </row>
    <row r="26" spans="1:28" ht="11.25" customHeight="1">
      <c r="A26" s="233">
        <v>41027</v>
      </c>
      <c r="B26" s="1" t="s">
        <v>2108</v>
      </c>
      <c r="C26" s="1" t="s">
        <v>2080</v>
      </c>
      <c r="D26" s="5" t="s">
        <v>2014</v>
      </c>
      <c r="E26" s="1">
        <v>7502</v>
      </c>
      <c r="F26" s="1">
        <v>5</v>
      </c>
      <c r="G26" s="1" t="s">
        <v>229</v>
      </c>
      <c r="H26" s="234">
        <v>139.52000000000001</v>
      </c>
      <c r="I26" s="236">
        <f t="shared" si="0"/>
        <v>697.6</v>
      </c>
      <c r="J26" s="351"/>
      <c r="K26" s="241">
        <v>625</v>
      </c>
      <c r="L26" s="237">
        <v>41027</v>
      </c>
      <c r="M26" s="1" t="s">
        <v>300</v>
      </c>
      <c r="N26" s="235">
        <f t="shared" si="1"/>
        <v>697.6</v>
      </c>
      <c r="O26" s="235">
        <f t="shared" si="2"/>
        <v>0</v>
      </c>
      <c r="P26" s="238" t="s">
        <v>406</v>
      </c>
      <c r="Q26" s="1" t="s">
        <v>391</v>
      </c>
      <c r="T26" s="238" t="s">
        <v>795</v>
      </c>
      <c r="V26" s="238" t="s">
        <v>7000</v>
      </c>
      <c r="W26" s="236">
        <v>5687</v>
      </c>
      <c r="X26" s="233">
        <v>41417</v>
      </c>
      <c r="Y26" s="239" t="s">
        <v>6988</v>
      </c>
      <c r="Z26" s="239"/>
      <c r="AA26" s="240" t="s">
        <v>398</v>
      </c>
      <c r="AB26" s="1" t="s">
        <v>377</v>
      </c>
    </row>
    <row r="27" spans="1:28" ht="11.25" customHeight="1">
      <c r="A27" s="233">
        <v>41027</v>
      </c>
      <c r="B27" s="1" t="s">
        <v>389</v>
      </c>
      <c r="C27" s="1" t="s">
        <v>2080</v>
      </c>
      <c r="D27" s="1" t="s">
        <v>1867</v>
      </c>
      <c r="E27" s="1">
        <v>6006</v>
      </c>
      <c r="F27" s="1">
        <v>10</v>
      </c>
      <c r="G27" s="1" t="s">
        <v>229</v>
      </c>
      <c r="H27" s="234">
        <v>60.11</v>
      </c>
      <c r="I27" s="236">
        <f t="shared" si="0"/>
        <v>601.1</v>
      </c>
      <c r="J27" s="351"/>
      <c r="K27" s="241">
        <v>577.07999999999993</v>
      </c>
      <c r="L27" s="237">
        <v>41027</v>
      </c>
      <c r="M27" s="1" t="s">
        <v>300</v>
      </c>
      <c r="N27" s="235">
        <f t="shared" si="1"/>
        <v>601.1</v>
      </c>
      <c r="O27" s="235">
        <f t="shared" si="2"/>
        <v>0</v>
      </c>
      <c r="P27" s="238" t="s">
        <v>406</v>
      </c>
      <c r="Q27" s="1" t="s">
        <v>391</v>
      </c>
      <c r="T27" s="238" t="s">
        <v>795</v>
      </c>
      <c r="V27" s="238" t="s">
        <v>7000</v>
      </c>
      <c r="W27" s="236">
        <v>5687</v>
      </c>
      <c r="X27" s="233">
        <v>41417</v>
      </c>
      <c r="Y27" s="239" t="s">
        <v>6988</v>
      </c>
      <c r="Z27" s="239"/>
      <c r="AA27" s="240" t="s">
        <v>398</v>
      </c>
      <c r="AB27" s="1" t="s">
        <v>377</v>
      </c>
    </row>
    <row r="28" spans="1:28" ht="11.25" customHeight="1">
      <c r="A28" s="233">
        <v>41031</v>
      </c>
      <c r="B28" s="1" t="s">
        <v>407</v>
      </c>
      <c r="C28" s="1" t="s">
        <v>2080</v>
      </c>
      <c r="D28" s="5" t="s">
        <v>2015</v>
      </c>
      <c r="E28" s="1">
        <v>7501</v>
      </c>
      <c r="F28" s="1">
        <v>100</v>
      </c>
      <c r="G28" s="1" t="s">
        <v>2086</v>
      </c>
      <c r="H28" s="234">
        <v>136.5</v>
      </c>
      <c r="I28" s="236">
        <f t="shared" si="0"/>
        <v>13650</v>
      </c>
      <c r="J28" s="351"/>
      <c r="K28" s="241">
        <v>11073</v>
      </c>
      <c r="L28" s="237">
        <v>41031</v>
      </c>
      <c r="M28" s="1" t="s">
        <v>408</v>
      </c>
      <c r="N28" s="235">
        <f t="shared" si="1"/>
        <v>13650</v>
      </c>
      <c r="O28" s="235">
        <f t="shared" si="2"/>
        <v>0</v>
      </c>
      <c r="P28" s="238" t="s">
        <v>4886</v>
      </c>
      <c r="Q28" s="1" t="s">
        <v>409</v>
      </c>
      <c r="U28" s="238" t="s">
        <v>410</v>
      </c>
      <c r="V28" s="238" t="s">
        <v>411</v>
      </c>
      <c r="W28" s="236" t="s">
        <v>412</v>
      </c>
      <c r="X28" s="233">
        <v>41071</v>
      </c>
      <c r="Y28" s="238" t="s">
        <v>2109</v>
      </c>
      <c r="Z28" s="238"/>
      <c r="AA28" s="240" t="s">
        <v>398</v>
      </c>
      <c r="AB28" s="1" t="s">
        <v>377</v>
      </c>
    </row>
    <row r="29" spans="1:28" ht="11.25" customHeight="1">
      <c r="A29" s="233">
        <v>41031</v>
      </c>
      <c r="B29" s="1" t="s">
        <v>407</v>
      </c>
      <c r="C29" s="1" t="s">
        <v>2080</v>
      </c>
      <c r="D29" s="1" t="s">
        <v>273</v>
      </c>
      <c r="E29" s="1" t="s">
        <v>2110</v>
      </c>
      <c r="F29" s="1">
        <v>200</v>
      </c>
      <c r="G29" s="1" t="s">
        <v>229</v>
      </c>
      <c r="H29" s="234">
        <v>37.6</v>
      </c>
      <c r="I29" s="236">
        <f t="shared" si="0"/>
        <v>7520</v>
      </c>
      <c r="J29" s="351">
        <v>30.41</v>
      </c>
      <c r="K29" s="241">
        <v>6082</v>
      </c>
      <c r="L29" s="237">
        <v>41031</v>
      </c>
      <c r="M29" s="1" t="s">
        <v>408</v>
      </c>
      <c r="N29" s="235">
        <f t="shared" si="1"/>
        <v>7520</v>
      </c>
      <c r="O29" s="235">
        <f t="shared" si="2"/>
        <v>0</v>
      </c>
      <c r="P29" s="238" t="s">
        <v>4886</v>
      </c>
      <c r="Q29" s="1" t="s">
        <v>409</v>
      </c>
      <c r="U29" s="238" t="s">
        <v>410</v>
      </c>
      <c r="V29" s="238" t="s">
        <v>413</v>
      </c>
      <c r="W29" s="236">
        <v>11197.5</v>
      </c>
      <c r="X29" s="233">
        <v>41071</v>
      </c>
      <c r="Y29" s="238" t="s">
        <v>2109</v>
      </c>
      <c r="Z29" s="238"/>
      <c r="AA29" s="240" t="s">
        <v>398</v>
      </c>
      <c r="AB29" s="1" t="s">
        <v>377</v>
      </c>
    </row>
    <row r="30" spans="1:28" ht="11.25" customHeight="1">
      <c r="A30" s="233">
        <v>41031</v>
      </c>
      <c r="B30" s="1" t="s">
        <v>407</v>
      </c>
      <c r="C30" s="1" t="s">
        <v>2080</v>
      </c>
      <c r="D30" s="1" t="s">
        <v>232</v>
      </c>
      <c r="E30" s="1" t="s">
        <v>2107</v>
      </c>
      <c r="F30" s="1">
        <v>200</v>
      </c>
      <c r="G30" s="1" t="s">
        <v>231</v>
      </c>
      <c r="H30" s="234">
        <v>6.7</v>
      </c>
      <c r="I30" s="236">
        <f t="shared" ref="I30:I36" si="3">H30*F30</f>
        <v>1340</v>
      </c>
      <c r="J30" s="351">
        <v>5.01</v>
      </c>
      <c r="K30" s="241">
        <v>1002</v>
      </c>
      <c r="L30" s="237">
        <v>41031</v>
      </c>
      <c r="M30" s="1" t="s">
        <v>408</v>
      </c>
      <c r="N30" s="235">
        <f t="shared" si="1"/>
        <v>1340</v>
      </c>
      <c r="O30" s="235">
        <f t="shared" si="2"/>
        <v>0</v>
      </c>
      <c r="P30" s="238" t="s">
        <v>4886</v>
      </c>
      <c r="Q30" s="1" t="s">
        <v>409</v>
      </c>
      <c r="U30" s="238" t="s">
        <v>410</v>
      </c>
      <c r="V30" s="238" t="s">
        <v>413</v>
      </c>
      <c r="W30" s="236">
        <v>11197.5</v>
      </c>
      <c r="X30" s="233">
        <v>41071</v>
      </c>
      <c r="Y30" s="238" t="s">
        <v>2109</v>
      </c>
      <c r="Z30" s="238"/>
      <c r="AA30" s="240" t="s">
        <v>398</v>
      </c>
      <c r="AB30" s="1" t="s">
        <v>377</v>
      </c>
    </row>
    <row r="31" spans="1:28" ht="11.25" customHeight="1">
      <c r="A31" s="233">
        <v>41031</v>
      </c>
      <c r="B31" s="1" t="s">
        <v>407</v>
      </c>
      <c r="C31" s="1" t="s">
        <v>2080</v>
      </c>
      <c r="D31" s="1" t="s">
        <v>263</v>
      </c>
      <c r="E31" s="1">
        <v>501</v>
      </c>
      <c r="F31" s="1">
        <v>200</v>
      </c>
      <c r="G31" s="1" t="s">
        <v>229</v>
      </c>
      <c r="H31" s="234">
        <v>1.45</v>
      </c>
      <c r="I31" s="236">
        <f t="shared" si="3"/>
        <v>290</v>
      </c>
      <c r="J31" s="351">
        <v>1.41</v>
      </c>
      <c r="K31" s="241">
        <v>282</v>
      </c>
      <c r="L31" s="237">
        <v>41031</v>
      </c>
      <c r="M31" s="1" t="s">
        <v>408</v>
      </c>
      <c r="N31" s="235">
        <f t="shared" si="1"/>
        <v>290</v>
      </c>
      <c r="O31" s="235">
        <f t="shared" si="2"/>
        <v>0</v>
      </c>
      <c r="P31" s="238" t="s">
        <v>4886</v>
      </c>
      <c r="Q31" s="1" t="s">
        <v>409</v>
      </c>
      <c r="U31" s="238" t="s">
        <v>410</v>
      </c>
      <c r="V31" s="238" t="s">
        <v>413</v>
      </c>
      <c r="W31" s="236">
        <v>11197.5</v>
      </c>
      <c r="X31" s="233">
        <v>41071</v>
      </c>
      <c r="Y31" s="238" t="s">
        <v>2109</v>
      </c>
      <c r="Z31" s="238"/>
      <c r="AA31" s="240" t="s">
        <v>398</v>
      </c>
      <c r="AB31" s="1" t="s">
        <v>377</v>
      </c>
    </row>
    <row r="32" spans="1:28" ht="11.25" customHeight="1">
      <c r="A32" s="233">
        <v>41032</v>
      </c>
      <c r="B32" s="1" t="s">
        <v>2111</v>
      </c>
      <c r="C32" s="1" t="s">
        <v>2080</v>
      </c>
      <c r="D32" s="1" t="s">
        <v>1210</v>
      </c>
      <c r="E32" s="1">
        <v>3200</v>
      </c>
      <c r="F32" s="1">
        <v>20</v>
      </c>
      <c r="G32" s="1" t="s">
        <v>229</v>
      </c>
      <c r="H32" s="234">
        <v>31.34</v>
      </c>
      <c r="I32" s="236">
        <f t="shared" si="3"/>
        <v>626.79999999999995</v>
      </c>
      <c r="J32" s="351"/>
      <c r="K32" s="241">
        <v>583.29999999999995</v>
      </c>
      <c r="L32" s="237">
        <v>41033</v>
      </c>
      <c r="M32" s="1" t="s">
        <v>384</v>
      </c>
      <c r="N32" s="235">
        <f t="shared" si="1"/>
        <v>626.79999999999995</v>
      </c>
      <c r="O32" s="235">
        <f t="shared" si="2"/>
        <v>0</v>
      </c>
      <c r="P32" s="238">
        <v>6102782</v>
      </c>
      <c r="Q32" s="1" t="s">
        <v>402</v>
      </c>
      <c r="R32" s="239" t="s">
        <v>414</v>
      </c>
      <c r="S32" s="238" t="s">
        <v>415</v>
      </c>
      <c r="U32" s="238" t="s">
        <v>416</v>
      </c>
      <c r="V32" s="238" t="s">
        <v>254</v>
      </c>
      <c r="Y32" s="239"/>
      <c r="Z32" s="239"/>
      <c r="AA32" s="240" t="s">
        <v>398</v>
      </c>
      <c r="AB32" s="1" t="s">
        <v>377</v>
      </c>
    </row>
    <row r="33" spans="1:28" ht="11.25" customHeight="1">
      <c r="A33" s="233">
        <v>41032</v>
      </c>
      <c r="B33" s="1" t="s">
        <v>2112</v>
      </c>
      <c r="C33" s="1" t="s">
        <v>2071</v>
      </c>
      <c r="D33" s="1" t="s">
        <v>346</v>
      </c>
      <c r="E33" s="1">
        <v>3700</v>
      </c>
      <c r="F33" s="1">
        <v>20</v>
      </c>
      <c r="G33" s="1" t="s">
        <v>229</v>
      </c>
      <c r="H33" s="234">
        <v>5.21</v>
      </c>
      <c r="I33" s="236">
        <f>H33*F33</f>
        <v>104.2</v>
      </c>
      <c r="J33" s="351">
        <v>4.8499999999999996</v>
      </c>
      <c r="K33" s="241">
        <v>97</v>
      </c>
      <c r="L33" s="237">
        <v>41033</v>
      </c>
      <c r="M33" s="1" t="s">
        <v>384</v>
      </c>
      <c r="N33" s="235">
        <f t="shared" si="1"/>
        <v>104.2</v>
      </c>
      <c r="O33" s="235">
        <f t="shared" si="2"/>
        <v>0</v>
      </c>
      <c r="P33" s="238">
        <v>6102782</v>
      </c>
      <c r="Q33" s="1" t="s">
        <v>402</v>
      </c>
      <c r="R33" s="239" t="s">
        <v>414</v>
      </c>
      <c r="S33" s="238" t="s">
        <v>415</v>
      </c>
      <c r="U33" s="238" t="s">
        <v>416</v>
      </c>
      <c r="V33" s="238" t="s">
        <v>254</v>
      </c>
      <c r="Y33" s="239"/>
      <c r="Z33" s="239"/>
      <c r="AA33" s="240" t="s">
        <v>398</v>
      </c>
      <c r="AB33" s="1" t="s">
        <v>377</v>
      </c>
    </row>
    <row r="34" spans="1:28" ht="11.25" customHeight="1">
      <c r="A34" s="233">
        <v>41032</v>
      </c>
      <c r="B34" s="1" t="s">
        <v>2112</v>
      </c>
      <c r="C34" s="1" t="s">
        <v>2071</v>
      </c>
      <c r="D34" s="1" t="s">
        <v>232</v>
      </c>
      <c r="E34" s="1" t="s">
        <v>2113</v>
      </c>
      <c r="F34" s="1">
        <v>20</v>
      </c>
      <c r="G34" s="1" t="s">
        <v>231</v>
      </c>
      <c r="H34" s="234">
        <v>2.02</v>
      </c>
      <c r="I34" s="236">
        <f t="shared" si="3"/>
        <v>40.4</v>
      </c>
      <c r="K34" s="241">
        <v>37.599999999999994</v>
      </c>
      <c r="L34" s="237">
        <v>41033</v>
      </c>
      <c r="M34" s="1" t="s">
        <v>384</v>
      </c>
      <c r="N34" s="235">
        <f t="shared" si="1"/>
        <v>40.4</v>
      </c>
      <c r="O34" s="235">
        <f t="shared" si="2"/>
        <v>0</v>
      </c>
      <c r="P34" s="238">
        <v>6102782</v>
      </c>
      <c r="Q34" s="1" t="s">
        <v>402</v>
      </c>
      <c r="R34" s="239" t="s">
        <v>414</v>
      </c>
      <c r="S34" s="238" t="s">
        <v>415</v>
      </c>
      <c r="U34" s="238" t="s">
        <v>416</v>
      </c>
      <c r="V34" s="238" t="s">
        <v>254</v>
      </c>
      <c r="Y34" s="239"/>
      <c r="Z34" s="239"/>
      <c r="AA34" s="240" t="s">
        <v>398</v>
      </c>
      <c r="AB34" s="1" t="s">
        <v>377</v>
      </c>
    </row>
    <row r="35" spans="1:28" ht="11.25" customHeight="1">
      <c r="A35" s="233">
        <v>41032</v>
      </c>
      <c r="B35" s="1" t="s">
        <v>2112</v>
      </c>
      <c r="C35" s="1" t="s">
        <v>2071</v>
      </c>
      <c r="D35" s="1" t="s">
        <v>2097</v>
      </c>
      <c r="E35" s="1" t="s">
        <v>2098</v>
      </c>
      <c r="F35" s="1">
        <v>2000</v>
      </c>
      <c r="G35" s="1" t="s">
        <v>2099</v>
      </c>
      <c r="H35" s="234">
        <v>1.3</v>
      </c>
      <c r="I35" s="236">
        <f t="shared" si="3"/>
        <v>2600</v>
      </c>
      <c r="J35" s="351"/>
      <c r="K35" s="241">
        <v>2412</v>
      </c>
      <c r="L35" s="237">
        <v>41033</v>
      </c>
      <c r="M35" s="1" t="s">
        <v>384</v>
      </c>
      <c r="N35" s="235">
        <f t="shared" si="1"/>
        <v>2600</v>
      </c>
      <c r="O35" s="235">
        <f t="shared" si="2"/>
        <v>0</v>
      </c>
      <c r="P35" s="238">
        <v>6102782</v>
      </c>
      <c r="Q35" s="1" t="s">
        <v>402</v>
      </c>
      <c r="R35" s="239" t="s">
        <v>414</v>
      </c>
      <c r="S35" s="238" t="s">
        <v>415</v>
      </c>
      <c r="U35" s="238" t="s">
        <v>416</v>
      </c>
      <c r="V35" s="238" t="s">
        <v>254</v>
      </c>
      <c r="Y35" s="239"/>
      <c r="Z35" s="239"/>
      <c r="AA35" s="240" t="s">
        <v>398</v>
      </c>
      <c r="AB35" s="1" t="s">
        <v>377</v>
      </c>
    </row>
    <row r="36" spans="1:28" ht="11.25" customHeight="1">
      <c r="A36" s="233">
        <v>41032</v>
      </c>
      <c r="B36" s="1" t="s">
        <v>2112</v>
      </c>
      <c r="C36" s="1" t="s">
        <v>2071</v>
      </c>
      <c r="D36" s="5" t="s">
        <v>2012</v>
      </c>
      <c r="E36" s="1" t="s">
        <v>2089</v>
      </c>
      <c r="F36" s="1">
        <v>1000</v>
      </c>
      <c r="G36" s="1" t="s">
        <v>4970</v>
      </c>
      <c r="H36" s="234">
        <v>1.93</v>
      </c>
      <c r="I36" s="236">
        <f t="shared" si="3"/>
        <v>1930</v>
      </c>
      <c r="J36" s="351">
        <v>1.66</v>
      </c>
      <c r="K36" s="241">
        <v>1660</v>
      </c>
      <c r="L36" s="237">
        <v>41033</v>
      </c>
      <c r="M36" s="1" t="s">
        <v>384</v>
      </c>
      <c r="N36" s="235">
        <f t="shared" si="1"/>
        <v>1930</v>
      </c>
      <c r="O36" s="235">
        <f t="shared" si="2"/>
        <v>0</v>
      </c>
      <c r="P36" s="238">
        <v>6102782</v>
      </c>
      <c r="Q36" s="1" t="s">
        <v>402</v>
      </c>
      <c r="R36" s="239" t="s">
        <v>414</v>
      </c>
      <c r="S36" s="238" t="s">
        <v>415</v>
      </c>
      <c r="U36" s="238" t="s">
        <v>416</v>
      </c>
      <c r="V36" s="238" t="s">
        <v>254</v>
      </c>
      <c r="Y36" s="239"/>
      <c r="Z36" s="239"/>
      <c r="AA36" s="240" t="s">
        <v>398</v>
      </c>
      <c r="AB36" s="1" t="s">
        <v>377</v>
      </c>
    </row>
    <row r="37" spans="1:28" s="5" customFormat="1" ht="11.25" customHeight="1">
      <c r="A37" s="7">
        <v>41032</v>
      </c>
      <c r="B37" s="5" t="s">
        <v>2114</v>
      </c>
      <c r="C37" s="5" t="s">
        <v>2071</v>
      </c>
      <c r="D37" s="5" t="s">
        <v>2012</v>
      </c>
      <c r="E37" s="5" t="s">
        <v>2089</v>
      </c>
      <c r="F37" s="5">
        <v>-2500</v>
      </c>
      <c r="G37" s="1" t="s">
        <v>4970</v>
      </c>
      <c r="H37" s="243">
        <v>1.8</v>
      </c>
      <c r="I37" s="235">
        <v>-4500</v>
      </c>
      <c r="J37" s="353">
        <v>1.66</v>
      </c>
      <c r="K37" s="244">
        <v>-4150</v>
      </c>
      <c r="L37" s="245" t="s">
        <v>2115</v>
      </c>
      <c r="M37" s="5" t="s">
        <v>417</v>
      </c>
      <c r="N37" s="235">
        <f t="shared" si="1"/>
        <v>-4500</v>
      </c>
      <c r="O37" s="235">
        <f t="shared" si="2"/>
        <v>0</v>
      </c>
      <c r="P37" s="238" t="s">
        <v>4886</v>
      </c>
      <c r="Q37" s="5" t="s">
        <v>418</v>
      </c>
      <c r="R37" s="247"/>
      <c r="S37" s="246"/>
      <c r="T37" s="246"/>
      <c r="U37" s="246"/>
      <c r="V37" s="246"/>
      <c r="W37" s="235"/>
      <c r="X37" s="7"/>
      <c r="Y37" s="247"/>
      <c r="Z37" s="247"/>
      <c r="AA37" s="248"/>
      <c r="AB37" s="5" t="s">
        <v>377</v>
      </c>
    </row>
    <row r="38" spans="1:28" ht="11.25" customHeight="1">
      <c r="A38" s="233">
        <v>41033</v>
      </c>
      <c r="B38" s="1" t="s">
        <v>419</v>
      </c>
      <c r="C38" s="1" t="s">
        <v>2071</v>
      </c>
      <c r="D38" s="1" t="s">
        <v>1763</v>
      </c>
      <c r="E38" s="1">
        <v>9132</v>
      </c>
      <c r="F38" s="1">
        <v>30</v>
      </c>
      <c r="G38" s="1" t="s">
        <v>231</v>
      </c>
      <c r="H38" s="234">
        <v>3.9</v>
      </c>
      <c r="I38" s="236">
        <f t="shared" ref="I38:I101" si="4">H38*F38</f>
        <v>117</v>
      </c>
      <c r="J38" s="351"/>
      <c r="K38" s="241">
        <v>87</v>
      </c>
      <c r="L38" s="237">
        <v>41033</v>
      </c>
      <c r="M38" s="1" t="s">
        <v>384</v>
      </c>
      <c r="N38" s="235">
        <f t="shared" si="1"/>
        <v>117</v>
      </c>
      <c r="O38" s="235">
        <f t="shared" si="2"/>
        <v>0</v>
      </c>
      <c r="P38" s="238" t="s">
        <v>4886</v>
      </c>
      <c r="Q38" s="1" t="s">
        <v>420</v>
      </c>
      <c r="V38" s="238" t="s">
        <v>254</v>
      </c>
      <c r="Y38" s="239"/>
      <c r="Z38" s="239"/>
      <c r="AB38" s="1" t="s">
        <v>377</v>
      </c>
    </row>
    <row r="39" spans="1:28" ht="11.25" customHeight="1">
      <c r="A39" s="233">
        <v>41033</v>
      </c>
      <c r="B39" s="1" t="s">
        <v>2116</v>
      </c>
      <c r="C39" s="1" t="s">
        <v>2071</v>
      </c>
      <c r="D39" s="1" t="s">
        <v>241</v>
      </c>
      <c r="E39" s="1" t="s">
        <v>2102</v>
      </c>
      <c r="F39" s="1">
        <v>100</v>
      </c>
      <c r="G39" s="1" t="s">
        <v>229</v>
      </c>
      <c r="H39" s="234">
        <v>14.3208</v>
      </c>
      <c r="I39" s="236">
        <f t="shared" si="4"/>
        <v>1432.08</v>
      </c>
      <c r="J39" s="352">
        <v>13.326000000000001</v>
      </c>
      <c r="K39" s="241">
        <v>1332.6</v>
      </c>
      <c r="L39" s="237">
        <v>41038</v>
      </c>
      <c r="M39" s="1" t="s">
        <v>408</v>
      </c>
      <c r="N39" s="235">
        <f t="shared" si="1"/>
        <v>1432.08</v>
      </c>
      <c r="O39" s="235">
        <f t="shared" si="2"/>
        <v>0</v>
      </c>
      <c r="P39" s="238" t="s">
        <v>422</v>
      </c>
      <c r="Q39" s="1" t="s">
        <v>391</v>
      </c>
      <c r="V39" s="238" t="s">
        <v>2117</v>
      </c>
      <c r="W39" s="236">
        <v>4691.5200000000004</v>
      </c>
      <c r="X39" s="233">
        <v>41059</v>
      </c>
      <c r="Y39" s="239"/>
      <c r="Z39" s="239"/>
      <c r="AB39" s="1" t="s">
        <v>377</v>
      </c>
    </row>
    <row r="40" spans="1:28" ht="11.25" customHeight="1">
      <c r="A40" s="233">
        <v>41033</v>
      </c>
      <c r="B40" s="1" t="s">
        <v>421</v>
      </c>
      <c r="C40" s="1" t="s">
        <v>2071</v>
      </c>
      <c r="D40" s="1" t="s">
        <v>263</v>
      </c>
      <c r="E40" s="1" t="s">
        <v>2118</v>
      </c>
      <c r="F40" s="1">
        <v>100</v>
      </c>
      <c r="G40" s="1" t="s">
        <v>229</v>
      </c>
      <c r="H40" s="234">
        <v>2.0663999999999998</v>
      </c>
      <c r="I40" s="236">
        <f t="shared" si="4"/>
        <v>206.64</v>
      </c>
      <c r="J40" s="351">
        <v>2.117</v>
      </c>
      <c r="K40" s="241">
        <f>2.17*F40</f>
        <v>217</v>
      </c>
      <c r="L40" s="237">
        <v>41038</v>
      </c>
      <c r="M40" s="1" t="s">
        <v>408</v>
      </c>
      <c r="N40" s="235">
        <f t="shared" si="1"/>
        <v>206.64</v>
      </c>
      <c r="O40" s="235">
        <f t="shared" si="2"/>
        <v>0</v>
      </c>
      <c r="P40" s="238" t="s">
        <v>422</v>
      </c>
      <c r="Q40" s="1" t="s">
        <v>391</v>
      </c>
      <c r="V40" s="238" t="s">
        <v>2119</v>
      </c>
      <c r="W40" s="236">
        <v>4691.5200000000004</v>
      </c>
      <c r="X40" s="233">
        <v>41059</v>
      </c>
      <c r="Y40" s="239"/>
      <c r="Z40" s="239"/>
      <c r="AB40" s="1" t="s">
        <v>377</v>
      </c>
    </row>
    <row r="41" spans="1:28" ht="11.25" customHeight="1">
      <c r="A41" s="233">
        <v>41033</v>
      </c>
      <c r="B41" s="1" t="s">
        <v>421</v>
      </c>
      <c r="C41" s="1" t="s">
        <v>2080</v>
      </c>
      <c r="D41" s="1" t="s">
        <v>268</v>
      </c>
      <c r="E41" s="1" t="s">
        <v>2120</v>
      </c>
      <c r="F41" s="1">
        <v>2000</v>
      </c>
      <c r="G41" s="1" t="s">
        <v>231</v>
      </c>
      <c r="H41" s="234">
        <v>1.5264</v>
      </c>
      <c r="I41" s="236">
        <f t="shared" si="4"/>
        <v>3052.8</v>
      </c>
      <c r="J41" s="352">
        <v>1.484</v>
      </c>
      <c r="K41" s="241">
        <v>2968</v>
      </c>
      <c r="L41" s="237">
        <v>41038</v>
      </c>
      <c r="M41" s="1" t="s">
        <v>408</v>
      </c>
      <c r="N41" s="235">
        <f t="shared" si="1"/>
        <v>3052.8</v>
      </c>
      <c r="O41" s="235">
        <f t="shared" si="2"/>
        <v>0</v>
      </c>
      <c r="P41" s="238" t="s">
        <v>422</v>
      </c>
      <c r="Q41" s="1" t="s">
        <v>391</v>
      </c>
      <c r="V41" s="238" t="s">
        <v>2119</v>
      </c>
      <c r="W41" s="236">
        <v>4691.5200000000004</v>
      </c>
      <c r="X41" s="233">
        <v>41059</v>
      </c>
      <c r="Y41" s="239"/>
      <c r="Z41" s="239"/>
      <c r="AB41" s="1" t="s">
        <v>377</v>
      </c>
    </row>
    <row r="42" spans="1:28" ht="11.25" customHeight="1">
      <c r="A42" s="233">
        <v>41037</v>
      </c>
      <c r="B42" s="1" t="s">
        <v>423</v>
      </c>
      <c r="C42" s="1" t="s">
        <v>2080</v>
      </c>
      <c r="D42" s="1" t="s">
        <v>240</v>
      </c>
      <c r="E42" s="1">
        <v>6200</v>
      </c>
      <c r="F42" s="1">
        <v>10</v>
      </c>
      <c r="G42" s="1" t="s">
        <v>229</v>
      </c>
      <c r="H42" s="234">
        <v>59</v>
      </c>
      <c r="I42" s="236">
        <f t="shared" si="4"/>
        <v>590</v>
      </c>
      <c r="J42" s="351"/>
      <c r="K42" s="241">
        <v>530.78</v>
      </c>
      <c r="L42" s="237">
        <v>41037</v>
      </c>
      <c r="M42" s="1" t="s">
        <v>300</v>
      </c>
      <c r="N42" s="235">
        <f t="shared" si="1"/>
        <v>590</v>
      </c>
      <c r="O42" s="235">
        <f t="shared" si="2"/>
        <v>0</v>
      </c>
      <c r="P42" s="238" t="s">
        <v>424</v>
      </c>
      <c r="Q42" s="1" t="s">
        <v>391</v>
      </c>
      <c r="R42" s="239" t="s">
        <v>2121</v>
      </c>
      <c r="S42" s="238" t="s">
        <v>425</v>
      </c>
      <c r="V42" s="238" t="s">
        <v>254</v>
      </c>
      <c r="Y42" s="239"/>
      <c r="Z42" s="239"/>
      <c r="AB42" s="1" t="s">
        <v>377</v>
      </c>
    </row>
    <row r="43" spans="1:28" ht="11.25" customHeight="1">
      <c r="A43" s="233">
        <v>41037</v>
      </c>
      <c r="B43" s="1" t="s">
        <v>423</v>
      </c>
      <c r="C43" s="1" t="s">
        <v>2071</v>
      </c>
      <c r="D43" s="1" t="s">
        <v>5245</v>
      </c>
      <c r="E43" s="1" t="s">
        <v>2072</v>
      </c>
      <c r="F43" s="1">
        <v>20</v>
      </c>
      <c r="G43" s="1" t="s">
        <v>229</v>
      </c>
      <c r="H43" s="234">
        <v>22</v>
      </c>
      <c r="I43" s="236">
        <f t="shared" si="4"/>
        <v>440</v>
      </c>
      <c r="J43" s="351"/>
      <c r="K43" s="241">
        <v>397.16</v>
      </c>
      <c r="L43" s="237">
        <v>41037</v>
      </c>
      <c r="M43" s="1" t="s">
        <v>300</v>
      </c>
      <c r="N43" s="235">
        <f t="shared" si="1"/>
        <v>440</v>
      </c>
      <c r="O43" s="235">
        <f t="shared" si="2"/>
        <v>0</v>
      </c>
      <c r="P43" s="238" t="s">
        <v>424</v>
      </c>
      <c r="Q43" s="1" t="s">
        <v>391</v>
      </c>
      <c r="R43" s="239" t="s">
        <v>2122</v>
      </c>
      <c r="S43" s="238" t="s">
        <v>425</v>
      </c>
      <c r="V43" s="238" t="s">
        <v>254</v>
      </c>
      <c r="Y43" s="239"/>
      <c r="Z43" s="239"/>
      <c r="AB43" s="1" t="s">
        <v>377</v>
      </c>
    </row>
    <row r="44" spans="1:28" ht="11.25" customHeight="1">
      <c r="A44" s="233">
        <v>41037</v>
      </c>
      <c r="B44" s="1" t="s">
        <v>2123</v>
      </c>
      <c r="C44" s="1" t="s">
        <v>2071</v>
      </c>
      <c r="D44" s="1" t="s">
        <v>232</v>
      </c>
      <c r="E44" s="1" t="s">
        <v>2076</v>
      </c>
      <c r="F44" s="1">
        <v>20</v>
      </c>
      <c r="G44" s="1" t="s">
        <v>231</v>
      </c>
      <c r="H44" s="234">
        <v>7</v>
      </c>
      <c r="I44" s="236">
        <f t="shared" si="4"/>
        <v>140</v>
      </c>
      <c r="J44" s="351">
        <v>6.16</v>
      </c>
      <c r="K44" s="241">
        <v>123.2</v>
      </c>
      <c r="L44" s="237">
        <v>41037</v>
      </c>
      <c r="M44" s="1" t="s">
        <v>300</v>
      </c>
      <c r="N44" s="235">
        <f t="shared" si="1"/>
        <v>140</v>
      </c>
      <c r="O44" s="235">
        <f t="shared" si="2"/>
        <v>0</v>
      </c>
      <c r="P44" s="238" t="s">
        <v>424</v>
      </c>
      <c r="Q44" s="1" t="s">
        <v>391</v>
      </c>
      <c r="R44" s="239" t="s">
        <v>2122</v>
      </c>
      <c r="S44" s="238" t="s">
        <v>425</v>
      </c>
      <c r="V44" s="238" t="s">
        <v>254</v>
      </c>
      <c r="Y44" s="239"/>
      <c r="Z44" s="239"/>
      <c r="AB44" s="1" t="s">
        <v>377</v>
      </c>
    </row>
    <row r="45" spans="1:28" ht="11.25" customHeight="1">
      <c r="A45" s="233">
        <v>41037</v>
      </c>
      <c r="B45" s="1" t="s">
        <v>423</v>
      </c>
      <c r="C45" s="1" t="s">
        <v>2071</v>
      </c>
      <c r="D45" s="1" t="s">
        <v>263</v>
      </c>
      <c r="E45" s="1">
        <v>501</v>
      </c>
      <c r="F45" s="1">
        <v>20</v>
      </c>
      <c r="G45" s="1" t="s">
        <v>229</v>
      </c>
      <c r="H45" s="234">
        <v>1.5</v>
      </c>
      <c r="I45" s="236">
        <f t="shared" si="4"/>
        <v>30</v>
      </c>
      <c r="J45" s="351">
        <v>1.81</v>
      </c>
      <c r="K45" s="241">
        <v>28.6</v>
      </c>
      <c r="L45" s="237">
        <v>41037</v>
      </c>
      <c r="M45" s="1" t="s">
        <v>300</v>
      </c>
      <c r="N45" s="235">
        <f t="shared" si="1"/>
        <v>30</v>
      </c>
      <c r="O45" s="235">
        <f t="shared" si="2"/>
        <v>0</v>
      </c>
      <c r="P45" s="238" t="s">
        <v>424</v>
      </c>
      <c r="Q45" s="1" t="s">
        <v>391</v>
      </c>
      <c r="R45" s="239" t="s">
        <v>2121</v>
      </c>
      <c r="S45" s="238" t="s">
        <v>425</v>
      </c>
      <c r="V45" s="238" t="s">
        <v>254</v>
      </c>
      <c r="Y45" s="239"/>
      <c r="Z45" s="239"/>
      <c r="AB45" s="1" t="s">
        <v>377</v>
      </c>
    </row>
    <row r="46" spans="1:28" ht="11.25" customHeight="1">
      <c r="A46" s="233">
        <v>41037</v>
      </c>
      <c r="B46" s="1" t="s">
        <v>385</v>
      </c>
      <c r="C46" s="1" t="s">
        <v>2071</v>
      </c>
      <c r="D46" s="1" t="s">
        <v>2124</v>
      </c>
      <c r="E46" s="1">
        <v>6006</v>
      </c>
      <c r="F46" s="1">
        <v>20</v>
      </c>
      <c r="G46" s="1" t="s">
        <v>229</v>
      </c>
      <c r="H46" s="234">
        <v>60</v>
      </c>
      <c r="I46" s="236">
        <f t="shared" si="4"/>
        <v>1200</v>
      </c>
      <c r="J46" s="351"/>
      <c r="K46" s="241">
        <v>1154.1600000000001</v>
      </c>
      <c r="L46" s="237">
        <v>41038</v>
      </c>
      <c r="M46" s="1" t="s">
        <v>408</v>
      </c>
      <c r="N46" s="235">
        <f t="shared" si="1"/>
        <v>1200</v>
      </c>
      <c r="O46" s="235">
        <f t="shared" si="2"/>
        <v>0</v>
      </c>
      <c r="P46" s="238" t="s">
        <v>426</v>
      </c>
      <c r="Q46" s="1" t="s">
        <v>427</v>
      </c>
      <c r="R46" s="239" t="s">
        <v>428</v>
      </c>
      <c r="S46" s="238" t="s">
        <v>429</v>
      </c>
      <c r="V46" s="238" t="s">
        <v>430</v>
      </c>
      <c r="W46" s="236">
        <v>1551.2</v>
      </c>
      <c r="X46" s="233">
        <v>41060</v>
      </c>
      <c r="Y46" s="239"/>
      <c r="Z46" s="239"/>
      <c r="AB46" s="1" t="s">
        <v>377</v>
      </c>
    </row>
    <row r="47" spans="1:28" ht="11.25" customHeight="1">
      <c r="A47" s="233">
        <v>41037</v>
      </c>
      <c r="B47" s="1" t="s">
        <v>385</v>
      </c>
      <c r="C47" s="1" t="s">
        <v>2071</v>
      </c>
      <c r="D47" s="1" t="s">
        <v>1218</v>
      </c>
      <c r="E47" s="1">
        <v>6004</v>
      </c>
      <c r="F47" s="1">
        <v>8</v>
      </c>
      <c r="G47" s="1" t="s">
        <v>229</v>
      </c>
      <c r="H47" s="234">
        <v>43.9</v>
      </c>
      <c r="I47" s="236">
        <f t="shared" si="4"/>
        <v>351.2</v>
      </c>
      <c r="J47" s="351"/>
      <c r="K47" s="241">
        <v>347.12</v>
      </c>
      <c r="L47" s="237">
        <v>41038</v>
      </c>
      <c r="M47" s="1" t="s">
        <v>408</v>
      </c>
      <c r="N47" s="235">
        <f t="shared" si="1"/>
        <v>351.2</v>
      </c>
      <c r="O47" s="235">
        <f t="shared" si="2"/>
        <v>0</v>
      </c>
      <c r="P47" s="238" t="s">
        <v>426</v>
      </c>
      <c r="Q47" s="1" t="s">
        <v>427</v>
      </c>
      <c r="R47" s="239" t="s">
        <v>428</v>
      </c>
      <c r="S47" s="238" t="s">
        <v>429</v>
      </c>
      <c r="V47" s="238" t="s">
        <v>430</v>
      </c>
      <c r="W47" s="236">
        <v>1551.2</v>
      </c>
      <c r="X47" s="233">
        <v>41060</v>
      </c>
      <c r="Y47" s="239"/>
      <c r="Z47" s="239"/>
      <c r="AB47" s="1" t="s">
        <v>377</v>
      </c>
    </row>
    <row r="48" spans="1:28" ht="11.25" customHeight="1">
      <c r="A48" s="233">
        <v>41038</v>
      </c>
      <c r="B48" s="1" t="s">
        <v>2112</v>
      </c>
      <c r="C48" s="1" t="s">
        <v>2071</v>
      </c>
      <c r="D48" s="1" t="s">
        <v>353</v>
      </c>
      <c r="E48" s="1" t="s">
        <v>2072</v>
      </c>
      <c r="F48" s="1">
        <v>20</v>
      </c>
      <c r="G48" s="1" t="s">
        <v>229</v>
      </c>
      <c r="H48" s="234">
        <v>21.34</v>
      </c>
      <c r="I48" s="236">
        <f t="shared" si="4"/>
        <v>426.8</v>
      </c>
      <c r="J48" s="351"/>
      <c r="K48" s="241">
        <v>397.16</v>
      </c>
      <c r="L48" s="237">
        <v>41039</v>
      </c>
      <c r="M48" s="236" t="s">
        <v>384</v>
      </c>
      <c r="N48" s="235">
        <f t="shared" si="1"/>
        <v>426.8</v>
      </c>
      <c r="O48" s="235">
        <f t="shared" si="2"/>
        <v>0</v>
      </c>
      <c r="P48" s="238" t="s">
        <v>431</v>
      </c>
      <c r="Q48" s="1" t="s">
        <v>402</v>
      </c>
      <c r="R48" s="239" t="s">
        <v>414</v>
      </c>
      <c r="S48" s="238" t="s">
        <v>415</v>
      </c>
      <c r="U48" s="238" t="s">
        <v>432</v>
      </c>
      <c r="V48" s="238" t="s">
        <v>254</v>
      </c>
      <c r="Y48" s="249"/>
      <c r="Z48" s="239"/>
      <c r="AA48" s="240" t="s">
        <v>398</v>
      </c>
      <c r="AB48" s="1" t="s">
        <v>377</v>
      </c>
    </row>
    <row r="49" spans="1:28" ht="11.25" customHeight="1">
      <c r="A49" s="233">
        <v>41038</v>
      </c>
      <c r="B49" s="1" t="s">
        <v>2112</v>
      </c>
      <c r="C49" s="1" t="s">
        <v>2071</v>
      </c>
      <c r="D49" s="1" t="s">
        <v>232</v>
      </c>
      <c r="E49" s="1" t="s">
        <v>2076</v>
      </c>
      <c r="F49" s="1">
        <v>20</v>
      </c>
      <c r="G49" s="1" t="s">
        <v>231</v>
      </c>
      <c r="H49" s="234">
        <v>6.9</v>
      </c>
      <c r="I49" s="236">
        <f t="shared" si="4"/>
        <v>138</v>
      </c>
      <c r="J49" s="351">
        <v>6.16</v>
      </c>
      <c r="K49" s="241">
        <v>123.2</v>
      </c>
      <c r="L49" s="237">
        <v>41039</v>
      </c>
      <c r="M49" s="236" t="s">
        <v>384</v>
      </c>
      <c r="N49" s="235">
        <f t="shared" si="1"/>
        <v>138</v>
      </c>
      <c r="O49" s="235">
        <f t="shared" si="2"/>
        <v>0</v>
      </c>
      <c r="P49" s="238" t="s">
        <v>431</v>
      </c>
      <c r="Q49" s="1" t="s">
        <v>402</v>
      </c>
      <c r="R49" s="239" t="s">
        <v>414</v>
      </c>
      <c r="S49" s="238" t="s">
        <v>415</v>
      </c>
      <c r="U49" s="238" t="s">
        <v>432</v>
      </c>
      <c r="V49" s="238" t="s">
        <v>254</v>
      </c>
      <c r="Y49" s="249"/>
      <c r="Z49" s="239"/>
      <c r="AA49" s="240" t="s">
        <v>398</v>
      </c>
      <c r="AB49" s="1" t="s">
        <v>377</v>
      </c>
    </row>
    <row r="50" spans="1:28" ht="11.25" customHeight="1">
      <c r="A50" s="233">
        <v>41038</v>
      </c>
      <c r="B50" s="1" t="s">
        <v>2112</v>
      </c>
      <c r="C50" s="1" t="s">
        <v>2071</v>
      </c>
      <c r="D50" s="1" t="s">
        <v>2125</v>
      </c>
      <c r="E50" s="1">
        <v>10435</v>
      </c>
      <c r="F50" s="1">
        <v>14</v>
      </c>
      <c r="G50" s="1" t="s">
        <v>239</v>
      </c>
      <c r="H50" s="234">
        <v>17.28</v>
      </c>
      <c r="I50" s="236">
        <f t="shared" si="4"/>
        <v>241.92000000000002</v>
      </c>
      <c r="J50" s="351"/>
      <c r="K50" s="241">
        <v>225.11999999999998</v>
      </c>
      <c r="L50" s="237">
        <v>41039</v>
      </c>
      <c r="M50" s="236" t="s">
        <v>384</v>
      </c>
      <c r="N50" s="235">
        <f t="shared" si="1"/>
        <v>241.92000000000002</v>
      </c>
      <c r="O50" s="235">
        <f t="shared" si="2"/>
        <v>0</v>
      </c>
      <c r="P50" s="238" t="s">
        <v>431</v>
      </c>
      <c r="Q50" s="1" t="s">
        <v>402</v>
      </c>
      <c r="R50" s="239" t="s">
        <v>414</v>
      </c>
      <c r="S50" s="238" t="s">
        <v>415</v>
      </c>
      <c r="U50" s="238" t="s">
        <v>432</v>
      </c>
      <c r="V50" s="238" t="s">
        <v>254</v>
      </c>
      <c r="Y50" s="249"/>
      <c r="Z50" s="239"/>
      <c r="AA50" s="240" t="s">
        <v>398</v>
      </c>
      <c r="AB50" s="1" t="s">
        <v>377</v>
      </c>
    </row>
    <row r="51" spans="1:28" ht="11.25" customHeight="1">
      <c r="A51" s="233">
        <v>41038</v>
      </c>
      <c r="B51" s="1" t="s">
        <v>2112</v>
      </c>
      <c r="C51" s="1" t="s">
        <v>2071</v>
      </c>
      <c r="D51" s="1" t="s">
        <v>288</v>
      </c>
      <c r="E51" s="1" t="s">
        <v>2126</v>
      </c>
      <c r="F51" s="1">
        <v>600</v>
      </c>
      <c r="G51" s="1" t="s">
        <v>239</v>
      </c>
      <c r="H51" s="234">
        <v>1.33</v>
      </c>
      <c r="I51" s="236">
        <f t="shared" si="4"/>
        <v>798</v>
      </c>
      <c r="J51" s="351"/>
      <c r="K51" s="241">
        <v>706.8</v>
      </c>
      <c r="L51" s="237">
        <v>41039</v>
      </c>
      <c r="M51" s="236" t="s">
        <v>384</v>
      </c>
      <c r="N51" s="235">
        <f t="shared" si="1"/>
        <v>798</v>
      </c>
      <c r="O51" s="235">
        <f t="shared" si="2"/>
        <v>0</v>
      </c>
      <c r="P51" s="238" t="s">
        <v>431</v>
      </c>
      <c r="Q51" s="1" t="s">
        <v>402</v>
      </c>
      <c r="R51" s="239" t="s">
        <v>414</v>
      </c>
      <c r="S51" s="238" t="s">
        <v>415</v>
      </c>
      <c r="U51" s="238" t="s">
        <v>432</v>
      </c>
      <c r="V51" s="238" t="s">
        <v>254</v>
      </c>
      <c r="Y51" s="249"/>
      <c r="Z51" s="239"/>
      <c r="AA51" s="240" t="s">
        <v>398</v>
      </c>
      <c r="AB51" s="1" t="s">
        <v>377</v>
      </c>
    </row>
    <row r="52" spans="1:28" ht="11.25" customHeight="1">
      <c r="A52" s="233">
        <v>41038</v>
      </c>
      <c r="B52" s="1" t="s">
        <v>376</v>
      </c>
      <c r="C52" s="1" t="s">
        <v>2071</v>
      </c>
      <c r="D52" s="1" t="s">
        <v>290</v>
      </c>
      <c r="E52" s="1" t="s">
        <v>2127</v>
      </c>
      <c r="F52" s="1">
        <v>10</v>
      </c>
      <c r="G52" s="1" t="s">
        <v>229</v>
      </c>
      <c r="H52" s="234">
        <v>162.06</v>
      </c>
      <c r="I52" s="236">
        <f t="shared" si="4"/>
        <v>1620.6</v>
      </c>
      <c r="J52" s="351"/>
      <c r="K52" s="241">
        <v>1576.8000000000002</v>
      </c>
      <c r="L52" s="237">
        <v>41037</v>
      </c>
      <c r="M52" s="236" t="s">
        <v>408</v>
      </c>
      <c r="N52" s="235">
        <f t="shared" si="1"/>
        <v>1620.6</v>
      </c>
      <c r="O52" s="235">
        <f t="shared" si="2"/>
        <v>0</v>
      </c>
      <c r="P52" s="238" t="s">
        <v>433</v>
      </c>
      <c r="Q52" s="1" t="s">
        <v>434</v>
      </c>
      <c r="R52" s="239" t="s">
        <v>435</v>
      </c>
      <c r="S52" s="238" t="s">
        <v>436</v>
      </c>
      <c r="U52" s="238" t="s">
        <v>437</v>
      </c>
      <c r="V52" s="238" t="s">
        <v>2128</v>
      </c>
      <c r="W52" s="236">
        <v>5992.1</v>
      </c>
      <c r="X52" s="233">
        <v>41109</v>
      </c>
      <c r="Y52" s="249">
        <v>468490602767</v>
      </c>
      <c r="Z52" s="242"/>
      <c r="AA52" s="240" t="s">
        <v>398</v>
      </c>
      <c r="AB52" s="1" t="s">
        <v>377</v>
      </c>
    </row>
    <row r="53" spans="1:28" ht="11.25" customHeight="1">
      <c r="A53" s="233">
        <v>41038</v>
      </c>
      <c r="B53" s="1" t="s">
        <v>376</v>
      </c>
      <c r="C53" s="1" t="s">
        <v>2071</v>
      </c>
      <c r="D53" s="1" t="s">
        <v>293</v>
      </c>
      <c r="E53" s="1">
        <v>7744</v>
      </c>
      <c r="F53" s="1">
        <v>100</v>
      </c>
      <c r="G53" s="1" t="s">
        <v>231</v>
      </c>
      <c r="H53" s="234">
        <v>6.99</v>
      </c>
      <c r="I53" s="236">
        <f t="shared" si="4"/>
        <v>699</v>
      </c>
      <c r="J53" s="351"/>
      <c r="K53" s="241">
        <v>680</v>
      </c>
      <c r="L53" s="237">
        <v>41037</v>
      </c>
      <c r="M53" s="236" t="s">
        <v>408</v>
      </c>
      <c r="N53" s="235">
        <f t="shared" si="1"/>
        <v>699</v>
      </c>
      <c r="O53" s="235">
        <f t="shared" si="2"/>
        <v>0</v>
      </c>
      <c r="P53" s="238" t="s">
        <v>433</v>
      </c>
      <c r="Q53" s="1" t="s">
        <v>434</v>
      </c>
      <c r="R53" s="239" t="s">
        <v>435</v>
      </c>
      <c r="S53" s="238" t="s">
        <v>436</v>
      </c>
      <c r="U53" s="238" t="s">
        <v>437</v>
      </c>
      <c r="V53" s="238" t="s">
        <v>2128</v>
      </c>
      <c r="W53" s="236">
        <v>5992.1</v>
      </c>
      <c r="X53" s="233">
        <v>41109</v>
      </c>
      <c r="Y53" s="249">
        <v>468490602767</v>
      </c>
      <c r="Z53" s="242"/>
      <c r="AA53" s="240" t="s">
        <v>398</v>
      </c>
      <c r="AB53" s="1" t="s">
        <v>377</v>
      </c>
    </row>
    <row r="54" spans="1:28" ht="11.25" customHeight="1">
      <c r="A54" s="233">
        <v>41038</v>
      </c>
      <c r="B54" s="1" t="s">
        <v>438</v>
      </c>
      <c r="C54" s="1" t="s">
        <v>2071</v>
      </c>
      <c r="D54" s="1" t="s">
        <v>1210</v>
      </c>
      <c r="E54" s="1">
        <v>3200</v>
      </c>
      <c r="F54" s="1">
        <v>10</v>
      </c>
      <c r="G54" s="1" t="s">
        <v>229</v>
      </c>
      <c r="H54" s="234">
        <v>39</v>
      </c>
      <c r="I54" s="236">
        <f t="shared" si="4"/>
        <v>390</v>
      </c>
      <c r="J54" s="351"/>
      <c r="K54" s="241">
        <v>287.3</v>
      </c>
      <c r="L54" s="237">
        <v>41038</v>
      </c>
      <c r="M54" s="236" t="s">
        <v>408</v>
      </c>
      <c r="N54" s="235">
        <f t="shared" si="1"/>
        <v>390</v>
      </c>
      <c r="O54" s="235">
        <f t="shared" si="2"/>
        <v>0</v>
      </c>
      <c r="P54" s="238" t="s">
        <v>439</v>
      </c>
      <c r="Q54" s="1" t="s">
        <v>440</v>
      </c>
      <c r="R54" s="239" t="s">
        <v>441</v>
      </c>
      <c r="S54" s="238" t="s">
        <v>442</v>
      </c>
      <c r="U54" s="238" t="s">
        <v>443</v>
      </c>
      <c r="V54" s="238" t="s">
        <v>2129</v>
      </c>
      <c r="W54" s="236">
        <v>620.5</v>
      </c>
      <c r="X54" s="233">
        <v>41145</v>
      </c>
      <c r="Y54" s="238">
        <v>23155145699</v>
      </c>
      <c r="Z54" s="239"/>
      <c r="AA54" s="240" t="s">
        <v>444</v>
      </c>
      <c r="AB54" s="1" t="s">
        <v>2130</v>
      </c>
    </row>
    <row r="55" spans="1:28" ht="11.25" customHeight="1">
      <c r="A55" s="233">
        <v>41038</v>
      </c>
      <c r="B55" s="1" t="s">
        <v>438</v>
      </c>
      <c r="C55" s="1" t="s">
        <v>2131</v>
      </c>
      <c r="D55" s="1" t="s">
        <v>346</v>
      </c>
      <c r="E55" s="1">
        <v>3700</v>
      </c>
      <c r="F55" s="1">
        <v>10</v>
      </c>
      <c r="G55" s="1" t="s">
        <v>229</v>
      </c>
      <c r="H55" s="234">
        <v>6.19</v>
      </c>
      <c r="I55" s="236">
        <f t="shared" si="4"/>
        <v>61.900000000000006</v>
      </c>
      <c r="J55" s="351">
        <v>4.78</v>
      </c>
      <c r="K55" s="241">
        <v>47.8</v>
      </c>
      <c r="L55" s="237">
        <v>41038</v>
      </c>
      <c r="M55" s="236" t="s">
        <v>408</v>
      </c>
      <c r="N55" s="235">
        <f t="shared" si="1"/>
        <v>61.900000000000006</v>
      </c>
      <c r="O55" s="235">
        <f t="shared" si="2"/>
        <v>0</v>
      </c>
      <c r="P55" s="238" t="s">
        <v>439</v>
      </c>
      <c r="Q55" s="1" t="s">
        <v>440</v>
      </c>
      <c r="R55" s="239" t="s">
        <v>441</v>
      </c>
      <c r="S55" s="238" t="s">
        <v>442</v>
      </c>
      <c r="U55" s="238" t="s">
        <v>443</v>
      </c>
      <c r="V55" s="238" t="s">
        <v>2129</v>
      </c>
      <c r="W55" s="236">
        <v>620.5</v>
      </c>
      <c r="X55" s="233">
        <v>41145</v>
      </c>
      <c r="Y55" s="238">
        <v>23155145699</v>
      </c>
      <c r="Z55" s="239"/>
      <c r="AA55" s="240" t="s">
        <v>444</v>
      </c>
      <c r="AB55" s="1" t="s">
        <v>2130</v>
      </c>
    </row>
    <row r="56" spans="1:28" ht="11.25" customHeight="1">
      <c r="A56" s="233">
        <v>41038</v>
      </c>
      <c r="B56" s="1" t="s">
        <v>438</v>
      </c>
      <c r="C56" s="1" t="s">
        <v>2131</v>
      </c>
      <c r="D56" s="1" t="s">
        <v>232</v>
      </c>
      <c r="E56" s="1" t="s">
        <v>2132</v>
      </c>
      <c r="F56" s="1">
        <v>60</v>
      </c>
      <c r="G56" s="1" t="s">
        <v>231</v>
      </c>
      <c r="H56" s="234">
        <v>2.81</v>
      </c>
      <c r="I56" s="236">
        <f t="shared" si="4"/>
        <v>168.6</v>
      </c>
      <c r="K56" s="241">
        <v>111</v>
      </c>
      <c r="L56" s="237">
        <v>41038</v>
      </c>
      <c r="M56" s="236" t="s">
        <v>408</v>
      </c>
      <c r="N56" s="235">
        <f t="shared" si="1"/>
        <v>168.6</v>
      </c>
      <c r="O56" s="235">
        <f t="shared" si="2"/>
        <v>0</v>
      </c>
      <c r="P56" s="238" t="s">
        <v>439</v>
      </c>
      <c r="Q56" s="1" t="s">
        <v>440</v>
      </c>
      <c r="R56" s="239" t="s">
        <v>441</v>
      </c>
      <c r="S56" s="238" t="s">
        <v>442</v>
      </c>
      <c r="U56" s="238" t="s">
        <v>443</v>
      </c>
      <c r="V56" s="238" t="s">
        <v>2129</v>
      </c>
      <c r="W56" s="236">
        <v>620.5</v>
      </c>
      <c r="X56" s="233">
        <v>41145</v>
      </c>
      <c r="Y56" s="238">
        <v>23155145699</v>
      </c>
      <c r="Z56" s="239"/>
      <c r="AA56" s="240" t="s">
        <v>444</v>
      </c>
      <c r="AB56" s="1" t="s">
        <v>2130</v>
      </c>
    </row>
    <row r="57" spans="1:28" ht="11.25" customHeight="1">
      <c r="A57" s="233">
        <v>41038</v>
      </c>
      <c r="B57" s="1" t="s">
        <v>2133</v>
      </c>
      <c r="C57" s="1" t="s">
        <v>2131</v>
      </c>
      <c r="D57" s="1" t="s">
        <v>246</v>
      </c>
      <c r="E57" s="1">
        <v>4620</v>
      </c>
      <c r="F57" s="1">
        <v>30</v>
      </c>
      <c r="G57" s="1" t="s">
        <v>243</v>
      </c>
      <c r="H57" s="234">
        <v>22</v>
      </c>
      <c r="I57" s="236">
        <f t="shared" si="4"/>
        <v>660</v>
      </c>
      <c r="J57" s="351"/>
      <c r="K57" s="241">
        <v>533.69999999999993</v>
      </c>
      <c r="L57" s="237">
        <v>41096</v>
      </c>
      <c r="M57" s="236" t="s">
        <v>2134</v>
      </c>
      <c r="N57" s="235">
        <f t="shared" si="1"/>
        <v>660</v>
      </c>
      <c r="O57" s="235">
        <f t="shared" si="2"/>
        <v>0</v>
      </c>
      <c r="P57" s="238" t="s">
        <v>445</v>
      </c>
      <c r="Q57" s="1" t="s">
        <v>427</v>
      </c>
      <c r="V57" s="238" t="s">
        <v>2135</v>
      </c>
      <c r="W57" s="236">
        <v>5445.25</v>
      </c>
      <c r="X57" s="233">
        <v>41088</v>
      </c>
      <c r="Y57" s="249"/>
      <c r="Z57" s="239"/>
      <c r="AB57" s="1" t="s">
        <v>377</v>
      </c>
    </row>
    <row r="58" spans="1:28" ht="11.25" customHeight="1">
      <c r="A58" s="233">
        <v>41038</v>
      </c>
      <c r="B58" s="1" t="s">
        <v>381</v>
      </c>
      <c r="C58" s="1" t="s">
        <v>2131</v>
      </c>
      <c r="D58" s="5" t="s">
        <v>2012</v>
      </c>
      <c r="E58" s="1" t="s">
        <v>2136</v>
      </c>
      <c r="F58" s="1">
        <v>100</v>
      </c>
      <c r="G58" s="1" t="s">
        <v>4970</v>
      </c>
      <c r="H58" s="234">
        <v>2.68</v>
      </c>
      <c r="I58" s="236">
        <f t="shared" si="4"/>
        <v>268</v>
      </c>
      <c r="J58" s="351">
        <v>1.66</v>
      </c>
      <c r="K58" s="241">
        <v>166</v>
      </c>
      <c r="L58" s="237">
        <v>41038</v>
      </c>
      <c r="M58" s="236" t="s">
        <v>300</v>
      </c>
      <c r="N58" s="235">
        <f t="shared" si="1"/>
        <v>268</v>
      </c>
      <c r="O58" s="235">
        <f t="shared" si="2"/>
        <v>0</v>
      </c>
      <c r="P58" s="238" t="s">
        <v>446</v>
      </c>
      <c r="Q58" s="1" t="s">
        <v>447</v>
      </c>
      <c r="R58" s="239" t="s">
        <v>2137</v>
      </c>
      <c r="S58" s="238" t="s">
        <v>448</v>
      </c>
      <c r="T58" s="238" t="s">
        <v>2138</v>
      </c>
      <c r="V58" s="238" t="s">
        <v>2139</v>
      </c>
      <c r="W58" s="236">
        <v>1072</v>
      </c>
      <c r="X58" s="233">
        <v>41120</v>
      </c>
      <c r="Y58" s="249" t="s">
        <v>2140</v>
      </c>
      <c r="Z58" s="238"/>
      <c r="AA58" s="240" t="s">
        <v>2141</v>
      </c>
      <c r="AB58" s="1" t="s">
        <v>382</v>
      </c>
    </row>
    <row r="59" spans="1:28" ht="11.25" customHeight="1">
      <c r="A59" s="233">
        <v>41040</v>
      </c>
      <c r="B59" s="1" t="s">
        <v>449</v>
      </c>
      <c r="C59" s="1" t="s">
        <v>2131</v>
      </c>
      <c r="D59" s="1" t="s">
        <v>297</v>
      </c>
      <c r="E59" s="1">
        <v>9001</v>
      </c>
      <c r="F59" s="1">
        <v>100</v>
      </c>
      <c r="G59" s="1" t="s">
        <v>231</v>
      </c>
      <c r="H59" s="234">
        <v>2.1</v>
      </c>
      <c r="I59" s="236">
        <f t="shared" si="4"/>
        <v>210</v>
      </c>
      <c r="J59" s="351"/>
      <c r="K59" s="241">
        <v>175</v>
      </c>
      <c r="L59" s="237">
        <v>41040</v>
      </c>
      <c r="M59" s="236" t="s">
        <v>300</v>
      </c>
      <c r="N59" s="235">
        <f t="shared" si="1"/>
        <v>210</v>
      </c>
      <c r="O59" s="235">
        <f t="shared" si="2"/>
        <v>0</v>
      </c>
      <c r="P59" s="238" t="s">
        <v>311</v>
      </c>
      <c r="Q59" s="1" t="s">
        <v>391</v>
      </c>
      <c r="R59" s="239" t="s">
        <v>2142</v>
      </c>
      <c r="S59" s="238" t="s">
        <v>2143</v>
      </c>
      <c r="V59" s="238" t="s">
        <v>2144</v>
      </c>
      <c r="W59" s="236">
        <v>784.3</v>
      </c>
      <c r="X59" s="233">
        <v>41113</v>
      </c>
      <c r="Y59" s="238" t="s">
        <v>2145</v>
      </c>
      <c r="Z59" s="239"/>
      <c r="AB59" s="1" t="s">
        <v>377</v>
      </c>
    </row>
    <row r="60" spans="1:28" ht="11.25" customHeight="1">
      <c r="A60" s="233">
        <v>41040</v>
      </c>
      <c r="B60" s="1" t="s">
        <v>450</v>
      </c>
      <c r="C60" s="1" t="s">
        <v>2131</v>
      </c>
      <c r="D60" s="1" t="s">
        <v>1213</v>
      </c>
      <c r="E60" s="1" t="s">
        <v>2146</v>
      </c>
      <c r="F60" s="1">
        <v>20</v>
      </c>
      <c r="G60" s="1" t="s">
        <v>239</v>
      </c>
      <c r="H60" s="234">
        <v>20</v>
      </c>
      <c r="I60" s="236">
        <f t="shared" si="4"/>
        <v>400</v>
      </c>
      <c r="J60" s="351"/>
      <c r="K60" s="250">
        <v>260</v>
      </c>
      <c r="L60" s="237">
        <v>41040</v>
      </c>
      <c r="M60" s="236" t="s">
        <v>384</v>
      </c>
      <c r="N60" s="235">
        <f t="shared" si="1"/>
        <v>400</v>
      </c>
      <c r="O60" s="235">
        <f t="shared" si="2"/>
        <v>0</v>
      </c>
      <c r="P60" s="238" t="s">
        <v>4886</v>
      </c>
      <c r="Q60" s="1" t="s">
        <v>1863</v>
      </c>
      <c r="V60" s="238" t="s">
        <v>254</v>
      </c>
      <c r="Y60" s="249"/>
      <c r="Z60" s="239"/>
      <c r="AB60" s="1" t="s">
        <v>377</v>
      </c>
    </row>
    <row r="61" spans="1:28" ht="11.25" customHeight="1">
      <c r="A61" s="233">
        <v>41043</v>
      </c>
      <c r="B61" s="1" t="s">
        <v>451</v>
      </c>
      <c r="C61" s="1" t="s">
        <v>2071</v>
      </c>
      <c r="D61" s="5" t="s">
        <v>2012</v>
      </c>
      <c r="E61" s="1" t="s">
        <v>2089</v>
      </c>
      <c r="F61" s="5">
        <v>500</v>
      </c>
      <c r="G61" s="1" t="s">
        <v>4970</v>
      </c>
      <c r="H61" s="234">
        <v>2.68</v>
      </c>
      <c r="I61" s="236">
        <f t="shared" si="4"/>
        <v>1340</v>
      </c>
      <c r="J61" s="351">
        <v>1.66</v>
      </c>
      <c r="K61" s="241">
        <v>830</v>
      </c>
      <c r="L61" s="237">
        <v>41044</v>
      </c>
      <c r="M61" s="236" t="s">
        <v>408</v>
      </c>
      <c r="N61" s="235">
        <f t="shared" si="1"/>
        <v>1340</v>
      </c>
      <c r="O61" s="235">
        <f t="shared" si="2"/>
        <v>0</v>
      </c>
      <c r="P61" s="238" t="s">
        <v>452</v>
      </c>
      <c r="Q61" s="1" t="s">
        <v>402</v>
      </c>
      <c r="R61" s="239" t="s">
        <v>2147</v>
      </c>
      <c r="S61" s="238" t="s">
        <v>2148</v>
      </c>
      <c r="T61" s="238" t="s">
        <v>2149</v>
      </c>
      <c r="U61" s="238" t="s">
        <v>453</v>
      </c>
      <c r="V61" s="238" t="s">
        <v>1266</v>
      </c>
      <c r="W61" s="236">
        <v>1340</v>
      </c>
      <c r="X61" s="233">
        <v>41073</v>
      </c>
      <c r="Y61" s="249" t="s">
        <v>2150</v>
      </c>
      <c r="Z61" s="238"/>
      <c r="AA61" s="240" t="s">
        <v>398</v>
      </c>
      <c r="AB61" s="1" t="s">
        <v>2075</v>
      </c>
    </row>
    <row r="62" spans="1:28" ht="11.25" customHeight="1">
      <c r="A62" s="233">
        <v>41043</v>
      </c>
      <c r="B62" s="1" t="s">
        <v>2112</v>
      </c>
      <c r="C62" s="1" t="s">
        <v>2071</v>
      </c>
      <c r="D62" s="1" t="s">
        <v>301</v>
      </c>
      <c r="E62" s="1" t="s">
        <v>2151</v>
      </c>
      <c r="F62" s="1">
        <v>3</v>
      </c>
      <c r="G62" s="1" t="s">
        <v>239</v>
      </c>
      <c r="H62" s="234">
        <v>153</v>
      </c>
      <c r="I62" s="236">
        <f t="shared" si="4"/>
        <v>459</v>
      </c>
      <c r="J62" s="351"/>
      <c r="K62" s="241">
        <v>434.52</v>
      </c>
      <c r="L62" s="237">
        <v>41057</v>
      </c>
      <c r="M62" s="236" t="s">
        <v>327</v>
      </c>
      <c r="N62" s="235">
        <f t="shared" si="1"/>
        <v>459</v>
      </c>
      <c r="O62" s="235">
        <f t="shared" si="2"/>
        <v>0</v>
      </c>
      <c r="P62" s="238" t="s">
        <v>454</v>
      </c>
      <c r="Q62" s="1" t="s">
        <v>402</v>
      </c>
      <c r="R62" s="239" t="s">
        <v>414</v>
      </c>
      <c r="S62" s="238" t="s">
        <v>415</v>
      </c>
      <c r="U62" s="238" t="s">
        <v>455</v>
      </c>
      <c r="V62" s="238" t="s">
        <v>254</v>
      </c>
      <c r="Y62" s="249"/>
      <c r="Z62" s="239"/>
      <c r="AA62" s="240" t="s">
        <v>398</v>
      </c>
      <c r="AB62" s="1" t="s">
        <v>377</v>
      </c>
    </row>
    <row r="63" spans="1:28" ht="11.25" customHeight="1">
      <c r="A63" s="233">
        <v>41043</v>
      </c>
      <c r="B63" s="1" t="s">
        <v>2112</v>
      </c>
      <c r="C63" s="1" t="s">
        <v>2071</v>
      </c>
      <c r="D63" s="1" t="s">
        <v>304</v>
      </c>
      <c r="E63" s="1">
        <v>1426</v>
      </c>
      <c r="F63" s="1">
        <v>2</v>
      </c>
      <c r="G63" s="5" t="s">
        <v>2152</v>
      </c>
      <c r="H63" s="234">
        <v>21.49</v>
      </c>
      <c r="I63" s="236">
        <f t="shared" si="4"/>
        <v>42.98</v>
      </c>
      <c r="J63" s="351"/>
      <c r="K63" s="241">
        <v>38.799999999999997</v>
      </c>
      <c r="L63" s="237">
        <v>41057</v>
      </c>
      <c r="M63" s="236" t="s">
        <v>327</v>
      </c>
      <c r="N63" s="235">
        <f t="shared" si="1"/>
        <v>42.98</v>
      </c>
      <c r="O63" s="235">
        <f t="shared" si="2"/>
        <v>0</v>
      </c>
      <c r="P63" s="238" t="s">
        <v>454</v>
      </c>
      <c r="Q63" s="1" t="s">
        <v>402</v>
      </c>
      <c r="R63" s="239" t="s">
        <v>414</v>
      </c>
      <c r="S63" s="238" t="s">
        <v>415</v>
      </c>
      <c r="U63" s="238" t="s">
        <v>455</v>
      </c>
      <c r="V63" s="238" t="s">
        <v>254</v>
      </c>
      <c r="Y63" s="249"/>
      <c r="Z63" s="239"/>
      <c r="AA63" s="240" t="s">
        <v>398</v>
      </c>
      <c r="AB63" s="1" t="s">
        <v>377</v>
      </c>
    </row>
    <row r="64" spans="1:28" ht="11.25" customHeight="1">
      <c r="A64" s="233">
        <v>41043</v>
      </c>
      <c r="B64" s="1" t="s">
        <v>2112</v>
      </c>
      <c r="C64" s="1" t="s">
        <v>2071</v>
      </c>
      <c r="D64" s="1" t="s">
        <v>249</v>
      </c>
      <c r="E64" s="1">
        <v>1427</v>
      </c>
      <c r="F64" s="1">
        <v>2</v>
      </c>
      <c r="G64" s="1" t="s">
        <v>239</v>
      </c>
      <c r="H64" s="234">
        <v>87</v>
      </c>
      <c r="I64" s="236">
        <f t="shared" si="4"/>
        <v>174</v>
      </c>
      <c r="J64" s="351"/>
      <c r="K64" s="241">
        <v>164.72</v>
      </c>
      <c r="L64" s="237">
        <v>41057</v>
      </c>
      <c r="M64" s="236" t="s">
        <v>327</v>
      </c>
      <c r="N64" s="235">
        <f t="shared" si="1"/>
        <v>174</v>
      </c>
      <c r="O64" s="235">
        <f t="shared" si="2"/>
        <v>0</v>
      </c>
      <c r="P64" s="238" t="s">
        <v>454</v>
      </c>
      <c r="Q64" s="1" t="s">
        <v>402</v>
      </c>
      <c r="R64" s="239" t="s">
        <v>414</v>
      </c>
      <c r="S64" s="238" t="s">
        <v>415</v>
      </c>
      <c r="U64" s="238" t="s">
        <v>455</v>
      </c>
      <c r="V64" s="238" t="s">
        <v>254</v>
      </c>
      <c r="Y64" s="249"/>
      <c r="Z64" s="239"/>
      <c r="AA64" s="240" t="s">
        <v>398</v>
      </c>
      <c r="AB64" s="1" t="s">
        <v>377</v>
      </c>
    </row>
    <row r="65" spans="1:28" ht="11.25" customHeight="1">
      <c r="A65" s="233">
        <v>41043</v>
      </c>
      <c r="B65" s="1" t="s">
        <v>2112</v>
      </c>
      <c r="C65" s="1" t="s">
        <v>2071</v>
      </c>
      <c r="D65" s="1" t="s">
        <v>290</v>
      </c>
      <c r="E65" s="1">
        <v>1436</v>
      </c>
      <c r="F65" s="1">
        <v>2</v>
      </c>
      <c r="G65" s="1" t="s">
        <v>239</v>
      </c>
      <c r="H65" s="234">
        <v>32.869999999999997</v>
      </c>
      <c r="I65" s="236">
        <f t="shared" si="4"/>
        <v>65.739999999999995</v>
      </c>
      <c r="J65" s="351"/>
      <c r="K65" s="241">
        <v>59.34</v>
      </c>
      <c r="L65" s="237">
        <v>41057</v>
      </c>
      <c r="M65" s="236" t="s">
        <v>327</v>
      </c>
      <c r="N65" s="235">
        <f t="shared" si="1"/>
        <v>65.739999999999995</v>
      </c>
      <c r="O65" s="235">
        <f t="shared" si="2"/>
        <v>0</v>
      </c>
      <c r="P65" s="238" t="s">
        <v>454</v>
      </c>
      <c r="Q65" s="1" t="s">
        <v>402</v>
      </c>
      <c r="R65" s="239" t="s">
        <v>414</v>
      </c>
      <c r="S65" s="238" t="s">
        <v>415</v>
      </c>
      <c r="U65" s="238" t="s">
        <v>455</v>
      </c>
      <c r="V65" s="238" t="s">
        <v>254</v>
      </c>
      <c r="Y65" s="249"/>
      <c r="Z65" s="239"/>
      <c r="AA65" s="240" t="s">
        <v>398</v>
      </c>
      <c r="AB65" s="1" t="s">
        <v>377</v>
      </c>
    </row>
    <row r="66" spans="1:28" ht="11.25" customHeight="1">
      <c r="A66" s="233">
        <v>41043</v>
      </c>
      <c r="B66" s="1" t="s">
        <v>449</v>
      </c>
      <c r="C66" s="1" t="s">
        <v>2071</v>
      </c>
      <c r="D66" s="1" t="s">
        <v>305</v>
      </c>
      <c r="E66" s="1">
        <v>1270</v>
      </c>
      <c r="F66" s="1">
        <v>10</v>
      </c>
      <c r="G66" s="1" t="s">
        <v>239</v>
      </c>
      <c r="H66" s="234">
        <v>4.83</v>
      </c>
      <c r="I66" s="236">
        <f t="shared" si="4"/>
        <v>48.3</v>
      </c>
      <c r="J66" s="351"/>
      <c r="K66" s="241">
        <v>46.4</v>
      </c>
      <c r="L66" s="237">
        <v>41043</v>
      </c>
      <c r="M66" s="236" t="s">
        <v>300</v>
      </c>
      <c r="N66" s="235">
        <f t="shared" si="1"/>
        <v>48.3</v>
      </c>
      <c r="O66" s="235">
        <f t="shared" si="2"/>
        <v>0</v>
      </c>
      <c r="P66" s="238" t="s">
        <v>456</v>
      </c>
      <c r="Q66" s="1" t="s">
        <v>391</v>
      </c>
      <c r="R66" s="239" t="s">
        <v>2153</v>
      </c>
      <c r="S66" s="238" t="s">
        <v>2154</v>
      </c>
      <c r="V66" s="238" t="s">
        <v>2155</v>
      </c>
      <c r="W66" s="236">
        <v>784.3</v>
      </c>
      <c r="X66" s="233">
        <v>41113</v>
      </c>
      <c r="Y66" s="238" t="s">
        <v>2115</v>
      </c>
      <c r="Z66" s="239"/>
      <c r="AB66" s="1" t="s">
        <v>377</v>
      </c>
    </row>
    <row r="67" spans="1:28" ht="11.25" customHeight="1">
      <c r="A67" s="233">
        <v>41043</v>
      </c>
      <c r="B67" s="1" t="s">
        <v>449</v>
      </c>
      <c r="C67" s="1" t="s">
        <v>2071</v>
      </c>
      <c r="D67" s="1" t="s">
        <v>307</v>
      </c>
      <c r="E67" s="1">
        <v>1110</v>
      </c>
      <c r="F67" s="1">
        <v>50</v>
      </c>
      <c r="G67" s="1" t="s">
        <v>239</v>
      </c>
      <c r="H67" s="234">
        <v>0.86</v>
      </c>
      <c r="I67" s="236">
        <f t="shared" si="4"/>
        <v>43</v>
      </c>
      <c r="J67" s="351"/>
      <c r="K67" s="241">
        <v>40</v>
      </c>
      <c r="L67" s="237">
        <v>41043</v>
      </c>
      <c r="M67" s="236" t="s">
        <v>300</v>
      </c>
      <c r="N67" s="235">
        <f t="shared" ref="N67:N130" si="5">I67</f>
        <v>43</v>
      </c>
      <c r="O67" s="235">
        <f t="shared" ref="O67:O130" si="6">I67-N67</f>
        <v>0</v>
      </c>
      <c r="P67" s="238" t="s">
        <v>456</v>
      </c>
      <c r="Q67" s="1" t="s">
        <v>391</v>
      </c>
      <c r="R67" s="239" t="s">
        <v>2153</v>
      </c>
      <c r="S67" s="238" t="s">
        <v>2154</v>
      </c>
      <c r="V67" s="238" t="s">
        <v>2155</v>
      </c>
      <c r="W67" s="236">
        <v>784.3</v>
      </c>
      <c r="X67" s="233">
        <v>41113</v>
      </c>
      <c r="Y67" s="238" t="s">
        <v>2115</v>
      </c>
      <c r="Z67" s="239"/>
      <c r="AB67" s="1" t="s">
        <v>377</v>
      </c>
    </row>
    <row r="68" spans="1:28" ht="11.25" customHeight="1">
      <c r="A68" s="233">
        <v>41045</v>
      </c>
      <c r="B68" s="1" t="s">
        <v>383</v>
      </c>
      <c r="C68" s="1" t="s">
        <v>2071</v>
      </c>
      <c r="D68" s="1" t="s">
        <v>1210</v>
      </c>
      <c r="E68" s="1">
        <v>3200</v>
      </c>
      <c r="F68" s="1">
        <v>100</v>
      </c>
      <c r="G68" s="1" t="s">
        <v>229</v>
      </c>
      <c r="H68" s="234">
        <v>37.57</v>
      </c>
      <c r="I68" s="236">
        <f>H68*F68</f>
        <v>3757</v>
      </c>
      <c r="J68" s="351"/>
      <c r="K68" s="241">
        <v>3536.3</v>
      </c>
      <c r="L68" s="237">
        <v>41045</v>
      </c>
      <c r="M68" s="236" t="s">
        <v>408</v>
      </c>
      <c r="N68" s="235">
        <f t="shared" si="5"/>
        <v>3757</v>
      </c>
      <c r="O68" s="235">
        <f t="shared" si="6"/>
        <v>0</v>
      </c>
      <c r="P68" s="238" t="s">
        <v>457</v>
      </c>
      <c r="Q68" s="1" t="s">
        <v>434</v>
      </c>
      <c r="R68" s="239" t="s">
        <v>383</v>
      </c>
      <c r="S68" s="238" t="s">
        <v>458</v>
      </c>
      <c r="U68" s="238" t="s">
        <v>459</v>
      </c>
      <c r="V68" s="238" t="s">
        <v>2156</v>
      </c>
      <c r="W68" s="236">
        <v>6121</v>
      </c>
      <c r="X68" s="233">
        <v>41080</v>
      </c>
      <c r="Y68" s="238" t="s">
        <v>2157</v>
      </c>
      <c r="Z68" s="238"/>
      <c r="AB68" s="1" t="s">
        <v>377</v>
      </c>
    </row>
    <row r="69" spans="1:28" ht="11.25" customHeight="1">
      <c r="A69" s="233">
        <v>41045</v>
      </c>
      <c r="B69" s="1" t="s">
        <v>383</v>
      </c>
      <c r="C69" s="1" t="s">
        <v>2071</v>
      </c>
      <c r="D69" s="1" t="s">
        <v>232</v>
      </c>
      <c r="E69" s="1" t="s">
        <v>2113</v>
      </c>
      <c r="F69" s="1">
        <v>5000</v>
      </c>
      <c r="G69" s="1" t="s">
        <v>231</v>
      </c>
      <c r="H69" s="234">
        <v>1.97</v>
      </c>
      <c r="I69" s="236">
        <f t="shared" si="4"/>
        <v>9850</v>
      </c>
      <c r="J69" s="352">
        <v>1.85</v>
      </c>
      <c r="K69" s="241">
        <v>9275</v>
      </c>
      <c r="L69" s="237">
        <v>41045</v>
      </c>
      <c r="M69" s="236" t="s">
        <v>408</v>
      </c>
      <c r="N69" s="235">
        <f t="shared" si="5"/>
        <v>9850</v>
      </c>
      <c r="O69" s="235">
        <f t="shared" si="6"/>
        <v>0</v>
      </c>
      <c r="P69" s="238" t="s">
        <v>457</v>
      </c>
      <c r="Q69" s="1" t="s">
        <v>434</v>
      </c>
      <c r="R69" s="239" t="s">
        <v>383</v>
      </c>
      <c r="S69" s="238" t="s">
        <v>458</v>
      </c>
      <c r="U69" s="238" t="s">
        <v>459</v>
      </c>
      <c r="V69" s="238" t="s">
        <v>2158</v>
      </c>
      <c r="W69" s="236">
        <v>11623</v>
      </c>
      <c r="X69" s="233">
        <v>41080</v>
      </c>
      <c r="Y69" s="238" t="s">
        <v>2157</v>
      </c>
      <c r="Z69" s="238"/>
      <c r="AB69" s="1" t="s">
        <v>377</v>
      </c>
    </row>
    <row r="70" spans="1:28" ht="11.25" customHeight="1">
      <c r="A70" s="233">
        <v>41045</v>
      </c>
      <c r="B70" s="1" t="s">
        <v>310</v>
      </c>
      <c r="C70" s="1" t="s">
        <v>2071</v>
      </c>
      <c r="D70" s="1" t="s">
        <v>232</v>
      </c>
      <c r="E70" s="1" t="s">
        <v>2076</v>
      </c>
      <c r="F70" s="1">
        <v>40</v>
      </c>
      <c r="G70" s="1" t="s">
        <v>231</v>
      </c>
      <c r="H70" s="234">
        <v>5.98</v>
      </c>
      <c r="I70" s="236">
        <f t="shared" si="4"/>
        <v>239.20000000000002</v>
      </c>
      <c r="J70" s="351">
        <v>5.98</v>
      </c>
      <c r="K70" s="241">
        <v>239.2</v>
      </c>
      <c r="L70" s="237">
        <v>41045</v>
      </c>
      <c r="M70" s="236" t="s">
        <v>300</v>
      </c>
      <c r="N70" s="235">
        <f t="shared" si="5"/>
        <v>239.20000000000002</v>
      </c>
      <c r="O70" s="235">
        <f t="shared" si="6"/>
        <v>0</v>
      </c>
      <c r="P70" s="238" t="s">
        <v>311</v>
      </c>
      <c r="Q70" s="1" t="s">
        <v>1863</v>
      </c>
      <c r="V70" s="238" t="s">
        <v>2159</v>
      </c>
      <c r="Y70" s="249"/>
      <c r="Z70" s="239"/>
      <c r="AB70" s="1" t="s">
        <v>377</v>
      </c>
    </row>
    <row r="71" spans="1:28" ht="11.25" customHeight="1">
      <c r="A71" s="233">
        <v>41046</v>
      </c>
      <c r="B71" s="1" t="s">
        <v>2160</v>
      </c>
      <c r="C71" s="1" t="s">
        <v>2071</v>
      </c>
      <c r="D71" s="1" t="s">
        <v>1213</v>
      </c>
      <c r="E71" s="1" t="s">
        <v>2161</v>
      </c>
      <c r="F71" s="1">
        <v>50</v>
      </c>
      <c r="G71" s="1" t="s">
        <v>239</v>
      </c>
      <c r="H71" s="234">
        <v>21</v>
      </c>
      <c r="I71" s="236">
        <f t="shared" si="4"/>
        <v>1050</v>
      </c>
      <c r="J71" s="351"/>
      <c r="K71" s="250">
        <v>670</v>
      </c>
      <c r="L71" s="237">
        <v>41047</v>
      </c>
      <c r="M71" s="236" t="s">
        <v>408</v>
      </c>
      <c r="N71" s="235">
        <f t="shared" si="5"/>
        <v>1050</v>
      </c>
      <c r="O71" s="235">
        <f t="shared" si="6"/>
        <v>0</v>
      </c>
      <c r="P71" s="238" t="s">
        <v>460</v>
      </c>
      <c r="Q71" s="1" t="s">
        <v>440</v>
      </c>
      <c r="R71" s="239" t="s">
        <v>461</v>
      </c>
      <c r="S71" s="238" t="s">
        <v>2162</v>
      </c>
      <c r="T71" s="238" t="s">
        <v>2163</v>
      </c>
      <c r="U71" s="238" t="s">
        <v>462</v>
      </c>
      <c r="V71" s="238" t="s">
        <v>2164</v>
      </c>
      <c r="W71" s="236">
        <v>1050</v>
      </c>
      <c r="X71" s="233">
        <v>41107</v>
      </c>
      <c r="Y71" s="249" t="s">
        <v>2165</v>
      </c>
      <c r="Z71" s="238"/>
      <c r="AB71" s="1" t="s">
        <v>2166</v>
      </c>
    </row>
    <row r="72" spans="1:28" ht="11.25" customHeight="1">
      <c r="A72" s="233">
        <v>41051</v>
      </c>
      <c r="B72" s="1" t="s">
        <v>376</v>
      </c>
      <c r="C72" s="1" t="s">
        <v>2167</v>
      </c>
      <c r="D72" s="1" t="s">
        <v>318</v>
      </c>
      <c r="E72" s="1">
        <v>7772</v>
      </c>
      <c r="F72" s="1">
        <v>10</v>
      </c>
      <c r="G72" s="1" t="s">
        <v>229</v>
      </c>
      <c r="H72" s="234">
        <v>118.7</v>
      </c>
      <c r="I72" s="236">
        <f t="shared" si="4"/>
        <v>1187</v>
      </c>
      <c r="J72" s="351"/>
      <c r="K72" s="241">
        <v>1136.7</v>
      </c>
      <c r="L72" s="237">
        <v>41051</v>
      </c>
      <c r="M72" s="236" t="s">
        <v>408</v>
      </c>
      <c r="N72" s="235">
        <f t="shared" si="5"/>
        <v>1187</v>
      </c>
      <c r="O72" s="235">
        <f t="shared" si="6"/>
        <v>0</v>
      </c>
      <c r="P72" s="238" t="s">
        <v>463</v>
      </c>
      <c r="Q72" s="1" t="s">
        <v>434</v>
      </c>
      <c r="R72" s="239" t="s">
        <v>435</v>
      </c>
      <c r="S72" s="238" t="s">
        <v>436</v>
      </c>
      <c r="U72" s="238" t="s">
        <v>437</v>
      </c>
      <c r="V72" s="238" t="s">
        <v>2168</v>
      </c>
      <c r="W72" s="236">
        <v>5992.1</v>
      </c>
      <c r="X72" s="233">
        <v>41109</v>
      </c>
      <c r="Y72" s="249">
        <v>468490602767</v>
      </c>
      <c r="Z72" s="242"/>
      <c r="AB72" s="1" t="s">
        <v>377</v>
      </c>
    </row>
    <row r="73" spans="1:28" ht="11.25" customHeight="1">
      <c r="A73" s="233">
        <v>41051</v>
      </c>
      <c r="B73" s="1" t="s">
        <v>376</v>
      </c>
      <c r="C73" s="1" t="s">
        <v>2167</v>
      </c>
      <c r="D73" s="1" t="s">
        <v>293</v>
      </c>
      <c r="E73" s="1">
        <v>7744</v>
      </c>
      <c r="F73" s="1">
        <v>200</v>
      </c>
      <c r="G73" s="1" t="s">
        <v>231</v>
      </c>
      <c r="H73" s="234">
        <v>6.89</v>
      </c>
      <c r="I73" s="236">
        <f t="shared" si="4"/>
        <v>1378</v>
      </c>
      <c r="J73" s="351"/>
      <c r="K73" s="241">
        <v>1360</v>
      </c>
      <c r="L73" s="237">
        <v>41051</v>
      </c>
      <c r="M73" s="236" t="s">
        <v>408</v>
      </c>
      <c r="N73" s="235">
        <f t="shared" si="5"/>
        <v>1378</v>
      </c>
      <c r="O73" s="235">
        <f t="shared" si="6"/>
        <v>0</v>
      </c>
      <c r="P73" s="238" t="s">
        <v>463</v>
      </c>
      <c r="Q73" s="1" t="s">
        <v>434</v>
      </c>
      <c r="R73" s="239" t="s">
        <v>435</v>
      </c>
      <c r="S73" s="238" t="s">
        <v>436</v>
      </c>
      <c r="U73" s="238" t="s">
        <v>437</v>
      </c>
      <c r="V73" s="238" t="s">
        <v>2168</v>
      </c>
      <c r="W73" s="236">
        <v>5992.1</v>
      </c>
      <c r="X73" s="233">
        <v>41109</v>
      </c>
      <c r="Y73" s="249">
        <v>468490602767</v>
      </c>
      <c r="Z73" s="242"/>
      <c r="AB73" s="1" t="s">
        <v>377</v>
      </c>
    </row>
    <row r="74" spans="1:28" ht="11.25" customHeight="1">
      <c r="A74" s="233">
        <v>41051</v>
      </c>
      <c r="B74" s="1" t="s">
        <v>376</v>
      </c>
      <c r="C74" s="1" t="s">
        <v>2167</v>
      </c>
      <c r="D74" s="1" t="s">
        <v>263</v>
      </c>
      <c r="E74" s="1">
        <v>774</v>
      </c>
      <c r="F74" s="1">
        <v>50</v>
      </c>
      <c r="G74" s="1" t="s">
        <v>229</v>
      </c>
      <c r="H74" s="234">
        <v>6.31</v>
      </c>
      <c r="I74" s="236">
        <f t="shared" si="4"/>
        <v>315.5</v>
      </c>
      <c r="J74" s="351"/>
      <c r="K74" s="241">
        <v>311.5</v>
      </c>
      <c r="L74" s="237">
        <v>41051</v>
      </c>
      <c r="M74" s="236" t="s">
        <v>408</v>
      </c>
      <c r="N74" s="235">
        <f t="shared" si="5"/>
        <v>315.5</v>
      </c>
      <c r="O74" s="235">
        <f t="shared" si="6"/>
        <v>0</v>
      </c>
      <c r="P74" s="238" t="s">
        <v>463</v>
      </c>
      <c r="Q74" s="1" t="s">
        <v>434</v>
      </c>
      <c r="R74" s="239" t="s">
        <v>435</v>
      </c>
      <c r="S74" s="238" t="s">
        <v>436</v>
      </c>
      <c r="U74" s="238" t="s">
        <v>437</v>
      </c>
      <c r="V74" s="238" t="s">
        <v>2083</v>
      </c>
      <c r="W74" s="236">
        <v>5992.1</v>
      </c>
      <c r="X74" s="233">
        <v>41109</v>
      </c>
      <c r="Y74" s="249">
        <v>468490602767</v>
      </c>
      <c r="Z74" s="242"/>
      <c r="AB74" s="1" t="s">
        <v>377</v>
      </c>
    </row>
    <row r="75" spans="1:28" ht="11.25" customHeight="1">
      <c r="A75" s="233">
        <v>41051</v>
      </c>
      <c r="B75" s="1" t="s">
        <v>2169</v>
      </c>
      <c r="C75" s="1" t="s">
        <v>2080</v>
      </c>
      <c r="D75" s="1" t="s">
        <v>273</v>
      </c>
      <c r="E75" s="1" t="s">
        <v>2110</v>
      </c>
      <c r="F75" s="1">
        <v>1800</v>
      </c>
      <c r="G75" s="1" t="s">
        <v>229</v>
      </c>
      <c r="H75" s="234">
        <v>32</v>
      </c>
      <c r="I75" s="236">
        <f t="shared" si="4"/>
        <v>57600</v>
      </c>
      <c r="J75" s="351">
        <v>31</v>
      </c>
      <c r="K75" s="241">
        <v>55800</v>
      </c>
      <c r="L75" s="237">
        <v>41051</v>
      </c>
      <c r="M75" s="236" t="s">
        <v>408</v>
      </c>
      <c r="N75" s="235">
        <f t="shared" si="5"/>
        <v>57600</v>
      </c>
      <c r="O75" s="235">
        <f t="shared" si="6"/>
        <v>0</v>
      </c>
      <c r="P75" s="238" t="s">
        <v>465</v>
      </c>
      <c r="Q75" s="1" t="s">
        <v>434</v>
      </c>
      <c r="R75" s="239" t="s">
        <v>435</v>
      </c>
      <c r="S75" s="238" t="s">
        <v>436</v>
      </c>
      <c r="U75" s="238" t="s">
        <v>437</v>
      </c>
      <c r="V75" s="238" t="s">
        <v>466</v>
      </c>
      <c r="W75" s="236" t="s">
        <v>467</v>
      </c>
      <c r="X75" s="233">
        <v>41072</v>
      </c>
      <c r="Y75" s="238" t="s">
        <v>2170</v>
      </c>
      <c r="Z75" s="238"/>
      <c r="AB75" s="1" t="s">
        <v>377</v>
      </c>
    </row>
    <row r="76" spans="1:28" ht="11.25" customHeight="1">
      <c r="A76" s="233">
        <v>41051</v>
      </c>
      <c r="B76" s="1" t="s">
        <v>464</v>
      </c>
      <c r="C76" s="1" t="s">
        <v>2080</v>
      </c>
      <c r="D76" s="1" t="s">
        <v>240</v>
      </c>
      <c r="E76" s="1">
        <v>6200</v>
      </c>
      <c r="F76" s="1">
        <v>360</v>
      </c>
      <c r="G76" s="1" t="s">
        <v>229</v>
      </c>
      <c r="H76" s="234">
        <v>46</v>
      </c>
      <c r="I76" s="236">
        <f t="shared" si="4"/>
        <v>16560</v>
      </c>
      <c r="J76" s="351">
        <v>45.8</v>
      </c>
      <c r="K76" s="241" t="e">
        <f>#REF!*F76</f>
        <v>#REF!</v>
      </c>
      <c r="L76" s="237">
        <v>41051</v>
      </c>
      <c r="M76" s="236" t="s">
        <v>408</v>
      </c>
      <c r="N76" s="235">
        <f t="shared" si="5"/>
        <v>16560</v>
      </c>
      <c r="O76" s="235">
        <f t="shared" si="6"/>
        <v>0</v>
      </c>
      <c r="P76" s="238" t="s">
        <v>465</v>
      </c>
      <c r="Q76" s="1" t="s">
        <v>468</v>
      </c>
      <c r="R76" s="239" t="s">
        <v>469</v>
      </c>
      <c r="S76" s="238" t="s">
        <v>470</v>
      </c>
      <c r="U76" s="238" t="s">
        <v>471</v>
      </c>
      <c r="V76" s="238" t="s">
        <v>472</v>
      </c>
      <c r="W76" s="236" t="s">
        <v>473</v>
      </c>
      <c r="X76" s="233">
        <v>41072</v>
      </c>
      <c r="Y76" s="238" t="s">
        <v>2171</v>
      </c>
      <c r="Z76" s="238"/>
      <c r="AB76" s="1" t="s">
        <v>377</v>
      </c>
    </row>
    <row r="77" spans="1:28" ht="11.25" customHeight="1">
      <c r="A77" s="233">
        <v>41051</v>
      </c>
      <c r="B77" s="1" t="s">
        <v>464</v>
      </c>
      <c r="C77" s="1" t="s">
        <v>2172</v>
      </c>
      <c r="D77" s="1" t="s">
        <v>232</v>
      </c>
      <c r="E77" s="1" t="s">
        <v>2173</v>
      </c>
      <c r="F77" s="1">
        <v>3400</v>
      </c>
      <c r="G77" s="1" t="s">
        <v>231</v>
      </c>
      <c r="H77" s="234">
        <v>5.8</v>
      </c>
      <c r="I77" s="236">
        <f t="shared" si="4"/>
        <v>19720</v>
      </c>
      <c r="J77" s="351">
        <v>5.0999999999999996</v>
      </c>
      <c r="K77" s="241">
        <v>17340</v>
      </c>
      <c r="L77" s="237">
        <v>41051</v>
      </c>
      <c r="M77" s="236" t="s">
        <v>408</v>
      </c>
      <c r="N77" s="235">
        <f t="shared" si="5"/>
        <v>19720</v>
      </c>
      <c r="O77" s="235">
        <f t="shared" si="6"/>
        <v>0</v>
      </c>
      <c r="P77" s="238" t="s">
        <v>465</v>
      </c>
      <c r="Q77" s="1" t="s">
        <v>468</v>
      </c>
      <c r="R77" s="239" t="s">
        <v>469</v>
      </c>
      <c r="S77" s="238" t="s">
        <v>470</v>
      </c>
      <c r="U77" s="238" t="s">
        <v>471</v>
      </c>
      <c r="V77" s="238" t="s">
        <v>474</v>
      </c>
      <c r="W77" s="236" t="s">
        <v>475</v>
      </c>
      <c r="X77" s="233">
        <v>41072</v>
      </c>
      <c r="Y77" s="238" t="s">
        <v>2171</v>
      </c>
      <c r="Z77" s="238"/>
      <c r="AB77" s="1" t="s">
        <v>377</v>
      </c>
    </row>
    <row r="78" spans="1:28" ht="11.25" customHeight="1">
      <c r="A78" s="233">
        <v>41051</v>
      </c>
      <c r="B78" s="1" t="s">
        <v>464</v>
      </c>
      <c r="C78" s="1" t="s">
        <v>2172</v>
      </c>
      <c r="D78" s="1" t="s">
        <v>263</v>
      </c>
      <c r="E78" s="1">
        <v>501</v>
      </c>
      <c r="F78" s="1">
        <v>700</v>
      </c>
      <c r="G78" s="1" t="s">
        <v>229</v>
      </c>
      <c r="H78" s="234">
        <v>1.45</v>
      </c>
      <c r="I78" s="236">
        <f t="shared" si="4"/>
        <v>1015</v>
      </c>
      <c r="J78" s="351">
        <v>1.4</v>
      </c>
      <c r="K78" s="241">
        <v>979.99999999999989</v>
      </c>
      <c r="L78" s="237">
        <v>41051</v>
      </c>
      <c r="M78" s="236" t="s">
        <v>408</v>
      </c>
      <c r="N78" s="235">
        <f t="shared" si="5"/>
        <v>1015</v>
      </c>
      <c r="O78" s="235">
        <f t="shared" si="6"/>
        <v>0</v>
      </c>
      <c r="P78" s="238" t="s">
        <v>465</v>
      </c>
      <c r="Q78" s="1" t="s">
        <v>468</v>
      </c>
      <c r="R78" s="239" t="s">
        <v>469</v>
      </c>
      <c r="S78" s="238" t="s">
        <v>470</v>
      </c>
      <c r="U78" s="238" t="s">
        <v>471</v>
      </c>
      <c r="V78" s="238" t="s">
        <v>476</v>
      </c>
      <c r="W78" s="236">
        <v>10265</v>
      </c>
      <c r="X78" s="233">
        <v>41072</v>
      </c>
      <c r="Y78" s="238" t="s">
        <v>2171</v>
      </c>
      <c r="Z78" s="238"/>
      <c r="AB78" s="1" t="s">
        <v>377</v>
      </c>
    </row>
    <row r="79" spans="1:28" ht="11.25" customHeight="1">
      <c r="A79" s="233">
        <v>41053</v>
      </c>
      <c r="B79" s="1" t="s">
        <v>2174</v>
      </c>
      <c r="C79" s="1" t="s">
        <v>2172</v>
      </c>
      <c r="D79" s="1" t="s">
        <v>1711</v>
      </c>
      <c r="E79" s="1">
        <v>8210</v>
      </c>
      <c r="F79" s="1">
        <v>160</v>
      </c>
      <c r="G79" s="1" t="s">
        <v>2175</v>
      </c>
      <c r="H79" s="234">
        <v>4.5</v>
      </c>
      <c r="I79" s="236">
        <f t="shared" si="4"/>
        <v>720</v>
      </c>
      <c r="J79" s="351"/>
      <c r="K79" s="241">
        <v>691.2</v>
      </c>
      <c r="L79" s="237">
        <v>41053</v>
      </c>
      <c r="M79" s="236" t="s">
        <v>300</v>
      </c>
      <c r="N79" s="235">
        <f t="shared" si="5"/>
        <v>720</v>
      </c>
      <c r="O79" s="235">
        <f t="shared" si="6"/>
        <v>0</v>
      </c>
      <c r="P79" s="238" t="s">
        <v>477</v>
      </c>
      <c r="Q79" s="1" t="s">
        <v>427</v>
      </c>
      <c r="R79" s="239" t="s">
        <v>2176</v>
      </c>
      <c r="S79" s="238" t="s">
        <v>2177</v>
      </c>
      <c r="T79" s="238" t="s">
        <v>3533</v>
      </c>
      <c r="V79" s="238" t="s">
        <v>254</v>
      </c>
      <c r="Y79" s="249"/>
      <c r="Z79" s="239"/>
      <c r="AB79" s="1" t="s">
        <v>377</v>
      </c>
    </row>
    <row r="80" spans="1:28" ht="11.25" customHeight="1">
      <c r="A80" s="233">
        <v>41054</v>
      </c>
      <c r="B80" s="1" t="s">
        <v>478</v>
      </c>
      <c r="C80" s="1" t="s">
        <v>2071</v>
      </c>
      <c r="D80" s="5" t="s">
        <v>2012</v>
      </c>
      <c r="E80" s="1" t="s">
        <v>2089</v>
      </c>
      <c r="F80" s="5">
        <v>200</v>
      </c>
      <c r="G80" s="1" t="s">
        <v>4970</v>
      </c>
      <c r="H80" s="234">
        <v>2.6</v>
      </c>
      <c r="I80" s="236">
        <f t="shared" si="4"/>
        <v>520</v>
      </c>
      <c r="J80" s="351">
        <v>1.66</v>
      </c>
      <c r="K80" s="241">
        <f t="shared" ref="K80:K85" si="7">1.66*F80</f>
        <v>332</v>
      </c>
      <c r="L80" s="237">
        <v>41054</v>
      </c>
      <c r="M80" s="236" t="s">
        <v>300</v>
      </c>
      <c r="N80" s="235">
        <f t="shared" si="5"/>
        <v>520</v>
      </c>
      <c r="O80" s="235">
        <f t="shared" si="6"/>
        <v>0</v>
      </c>
      <c r="P80" s="238" t="s">
        <v>479</v>
      </c>
      <c r="Q80" s="1" t="s">
        <v>391</v>
      </c>
      <c r="S80" s="238" t="s">
        <v>2178</v>
      </c>
      <c r="V80" s="238" t="s">
        <v>254</v>
      </c>
      <c r="Y80" s="249"/>
      <c r="Z80" s="239"/>
      <c r="AB80" s="1" t="s">
        <v>382</v>
      </c>
    </row>
    <row r="81" spans="1:28" ht="12" customHeight="1">
      <c r="A81" s="233">
        <v>41054</v>
      </c>
      <c r="B81" s="1" t="s">
        <v>2179</v>
      </c>
      <c r="C81" s="1" t="s">
        <v>2071</v>
      </c>
      <c r="D81" s="5" t="s">
        <v>2012</v>
      </c>
      <c r="E81" s="1" t="s">
        <v>2089</v>
      </c>
      <c r="F81" s="5">
        <v>150</v>
      </c>
      <c r="G81" s="1" t="s">
        <v>4970</v>
      </c>
      <c r="H81" s="234">
        <v>2.6</v>
      </c>
      <c r="I81" s="236">
        <f t="shared" si="4"/>
        <v>390</v>
      </c>
      <c r="J81" s="351">
        <v>1.66</v>
      </c>
      <c r="K81" s="241">
        <f t="shared" si="7"/>
        <v>249</v>
      </c>
      <c r="L81" s="237">
        <v>41054</v>
      </c>
      <c r="M81" s="236" t="s">
        <v>300</v>
      </c>
      <c r="N81" s="235">
        <f t="shared" si="5"/>
        <v>390</v>
      </c>
      <c r="O81" s="235">
        <f t="shared" si="6"/>
        <v>0</v>
      </c>
      <c r="P81" s="238" t="s">
        <v>481</v>
      </c>
      <c r="Q81" s="1" t="s">
        <v>391</v>
      </c>
      <c r="R81" s="239" t="s">
        <v>2180</v>
      </c>
      <c r="S81" s="238" t="s">
        <v>2181</v>
      </c>
      <c r="V81" s="238" t="s">
        <v>254</v>
      </c>
      <c r="Y81" s="249"/>
      <c r="Z81" s="239"/>
      <c r="AB81" s="1" t="s">
        <v>382</v>
      </c>
    </row>
    <row r="82" spans="1:28" ht="11.25" customHeight="1">
      <c r="A82" s="233">
        <v>41054</v>
      </c>
      <c r="B82" s="1" t="s">
        <v>482</v>
      </c>
      <c r="C82" s="1" t="s">
        <v>2071</v>
      </c>
      <c r="D82" s="5" t="s">
        <v>2012</v>
      </c>
      <c r="E82" s="1" t="s">
        <v>2089</v>
      </c>
      <c r="F82" s="5">
        <v>100</v>
      </c>
      <c r="G82" s="1" t="s">
        <v>4970</v>
      </c>
      <c r="H82" s="234">
        <v>2.6</v>
      </c>
      <c r="I82" s="236">
        <f t="shared" si="4"/>
        <v>260</v>
      </c>
      <c r="J82" s="351">
        <v>1.66</v>
      </c>
      <c r="K82" s="241">
        <f t="shared" si="7"/>
        <v>166</v>
      </c>
      <c r="L82" s="237">
        <v>41054</v>
      </c>
      <c r="M82" s="236" t="s">
        <v>300</v>
      </c>
      <c r="N82" s="235">
        <f t="shared" si="5"/>
        <v>260</v>
      </c>
      <c r="O82" s="235">
        <f t="shared" si="6"/>
        <v>0</v>
      </c>
      <c r="P82" s="238" t="s">
        <v>483</v>
      </c>
      <c r="Q82" s="1" t="s">
        <v>391</v>
      </c>
      <c r="S82" s="238" t="s">
        <v>2182</v>
      </c>
      <c r="V82" s="238" t="s">
        <v>254</v>
      </c>
      <c r="Y82" s="239"/>
      <c r="Z82" s="239"/>
      <c r="AB82" s="1" t="s">
        <v>382</v>
      </c>
    </row>
    <row r="83" spans="1:28" ht="11.25" customHeight="1">
      <c r="A83" s="233">
        <v>41054</v>
      </c>
      <c r="B83" s="1" t="s">
        <v>484</v>
      </c>
      <c r="C83" s="1" t="s">
        <v>2071</v>
      </c>
      <c r="D83" s="5" t="s">
        <v>2012</v>
      </c>
      <c r="E83" s="1" t="s">
        <v>2089</v>
      </c>
      <c r="F83" s="5">
        <v>50</v>
      </c>
      <c r="G83" s="1" t="s">
        <v>4970</v>
      </c>
      <c r="H83" s="234">
        <v>2.6</v>
      </c>
      <c r="I83" s="236">
        <f t="shared" si="4"/>
        <v>130</v>
      </c>
      <c r="J83" s="351">
        <v>1.66</v>
      </c>
      <c r="K83" s="241">
        <f t="shared" si="7"/>
        <v>83</v>
      </c>
      <c r="L83" s="237">
        <v>41054</v>
      </c>
      <c r="M83" s="236" t="s">
        <v>300</v>
      </c>
      <c r="N83" s="235">
        <f t="shared" si="5"/>
        <v>130</v>
      </c>
      <c r="O83" s="235">
        <f t="shared" si="6"/>
        <v>0</v>
      </c>
      <c r="P83" s="238" t="s">
        <v>485</v>
      </c>
      <c r="Q83" s="1" t="s">
        <v>391</v>
      </c>
      <c r="V83" s="238" t="s">
        <v>254</v>
      </c>
      <c r="Y83" s="239"/>
      <c r="Z83" s="239"/>
      <c r="AB83" s="1" t="s">
        <v>382</v>
      </c>
    </row>
    <row r="84" spans="1:28" ht="11.25" customHeight="1">
      <c r="A84" s="233">
        <v>41054</v>
      </c>
      <c r="B84" s="1" t="s">
        <v>486</v>
      </c>
      <c r="C84" s="1" t="s">
        <v>2071</v>
      </c>
      <c r="D84" s="5" t="s">
        <v>2012</v>
      </c>
      <c r="E84" s="1" t="s">
        <v>2089</v>
      </c>
      <c r="F84" s="5">
        <v>150</v>
      </c>
      <c r="G84" s="1" t="s">
        <v>4970</v>
      </c>
      <c r="H84" s="234">
        <v>2.6</v>
      </c>
      <c r="I84" s="236">
        <f t="shared" si="4"/>
        <v>390</v>
      </c>
      <c r="J84" s="351">
        <v>1.66</v>
      </c>
      <c r="K84" s="241">
        <f t="shared" si="7"/>
        <v>249</v>
      </c>
      <c r="L84" s="237">
        <v>41054</v>
      </c>
      <c r="M84" s="236" t="s">
        <v>300</v>
      </c>
      <c r="N84" s="235">
        <f t="shared" si="5"/>
        <v>390</v>
      </c>
      <c r="O84" s="235">
        <f t="shared" si="6"/>
        <v>0</v>
      </c>
      <c r="P84" s="238" t="s">
        <v>487</v>
      </c>
      <c r="Q84" s="1" t="s">
        <v>391</v>
      </c>
      <c r="S84" s="238" t="s">
        <v>2183</v>
      </c>
      <c r="V84" s="238" t="s">
        <v>254</v>
      </c>
      <c r="Y84" s="239"/>
      <c r="Z84" s="239"/>
      <c r="AB84" s="1" t="s">
        <v>382</v>
      </c>
    </row>
    <row r="85" spans="1:28" ht="11.25" customHeight="1">
      <c r="A85" s="233">
        <v>41054</v>
      </c>
      <c r="B85" s="1" t="s">
        <v>488</v>
      </c>
      <c r="C85" s="1" t="s">
        <v>2071</v>
      </c>
      <c r="D85" s="5" t="s">
        <v>2012</v>
      </c>
      <c r="E85" s="1" t="s">
        <v>2089</v>
      </c>
      <c r="F85" s="5">
        <v>150</v>
      </c>
      <c r="G85" s="1" t="s">
        <v>4970</v>
      </c>
      <c r="H85" s="234">
        <v>2.6</v>
      </c>
      <c r="I85" s="236">
        <f t="shared" si="4"/>
        <v>390</v>
      </c>
      <c r="J85" s="351">
        <v>1.66</v>
      </c>
      <c r="K85" s="241">
        <f t="shared" si="7"/>
        <v>249</v>
      </c>
      <c r="L85" s="237">
        <v>41054</v>
      </c>
      <c r="M85" s="236" t="s">
        <v>300</v>
      </c>
      <c r="N85" s="235">
        <f t="shared" si="5"/>
        <v>390</v>
      </c>
      <c r="O85" s="235">
        <f t="shared" si="6"/>
        <v>0</v>
      </c>
      <c r="P85" s="238" t="s">
        <v>489</v>
      </c>
      <c r="Q85" s="1" t="s">
        <v>391</v>
      </c>
      <c r="S85" s="238" t="s">
        <v>2184</v>
      </c>
      <c r="V85" s="238" t="s">
        <v>254</v>
      </c>
      <c r="Y85" s="239"/>
      <c r="Z85" s="239"/>
      <c r="AB85" s="1" t="s">
        <v>382</v>
      </c>
    </row>
    <row r="86" spans="1:28" ht="11.25" customHeight="1">
      <c r="A86" s="233">
        <v>41054</v>
      </c>
      <c r="B86" s="1" t="s">
        <v>488</v>
      </c>
      <c r="C86" s="1" t="s">
        <v>2071</v>
      </c>
      <c r="D86" s="1" t="s">
        <v>490</v>
      </c>
      <c r="E86" s="1">
        <v>3200</v>
      </c>
      <c r="F86" s="1">
        <v>1</v>
      </c>
      <c r="G86" s="1" t="s">
        <v>229</v>
      </c>
      <c r="H86" s="234">
        <v>65</v>
      </c>
      <c r="I86" s="236">
        <f t="shared" si="4"/>
        <v>65</v>
      </c>
      <c r="J86" s="351">
        <v>11.96</v>
      </c>
      <c r="K86" s="241">
        <v>26.89</v>
      </c>
      <c r="L86" s="237">
        <v>41054</v>
      </c>
      <c r="M86" s="236" t="s">
        <v>300</v>
      </c>
      <c r="N86" s="235">
        <f t="shared" si="5"/>
        <v>65</v>
      </c>
      <c r="O86" s="235">
        <f t="shared" si="6"/>
        <v>0</v>
      </c>
      <c r="P86" s="238" t="s">
        <v>491</v>
      </c>
      <c r="Q86" s="1" t="s">
        <v>391</v>
      </c>
      <c r="S86" s="238" t="s">
        <v>2184</v>
      </c>
      <c r="V86" s="238" t="s">
        <v>254</v>
      </c>
      <c r="Y86" s="239"/>
      <c r="Z86" s="239"/>
      <c r="AB86" s="1" t="s">
        <v>382</v>
      </c>
    </row>
    <row r="87" spans="1:28" ht="11.25" customHeight="1">
      <c r="A87" s="233">
        <v>41054</v>
      </c>
      <c r="B87" s="1" t="s">
        <v>488</v>
      </c>
      <c r="C87" s="1" t="s">
        <v>2071</v>
      </c>
      <c r="D87" s="1" t="s">
        <v>353</v>
      </c>
      <c r="E87" s="1" t="s">
        <v>2102</v>
      </c>
      <c r="F87" s="1">
        <v>5</v>
      </c>
      <c r="G87" s="1" t="s">
        <v>229</v>
      </c>
      <c r="H87" s="234">
        <v>20</v>
      </c>
      <c r="I87" s="236">
        <f t="shared" si="4"/>
        <v>100</v>
      </c>
      <c r="J87" s="352">
        <v>12.93</v>
      </c>
      <c r="K87" s="241">
        <f>12.93*F87</f>
        <v>64.650000000000006</v>
      </c>
      <c r="L87" s="237">
        <v>41054</v>
      </c>
      <c r="M87" s="236" t="s">
        <v>300</v>
      </c>
      <c r="N87" s="235">
        <f t="shared" si="5"/>
        <v>100</v>
      </c>
      <c r="O87" s="235">
        <f t="shared" si="6"/>
        <v>0</v>
      </c>
      <c r="P87" s="238" t="s">
        <v>491</v>
      </c>
      <c r="Q87" s="1" t="s">
        <v>391</v>
      </c>
      <c r="S87" s="238" t="s">
        <v>2184</v>
      </c>
      <c r="V87" s="238" t="s">
        <v>254</v>
      </c>
      <c r="Y87" s="239"/>
      <c r="Z87" s="239"/>
      <c r="AB87" s="1" t="s">
        <v>382</v>
      </c>
    </row>
    <row r="88" spans="1:28" ht="11.25" customHeight="1">
      <c r="A88" s="233">
        <v>41054</v>
      </c>
      <c r="B88" s="1" t="s">
        <v>478</v>
      </c>
      <c r="C88" s="1" t="s">
        <v>2071</v>
      </c>
      <c r="D88" s="1" t="s">
        <v>490</v>
      </c>
      <c r="E88" s="1">
        <v>3200</v>
      </c>
      <c r="F88" s="1">
        <v>1</v>
      </c>
      <c r="G88" s="1" t="s">
        <v>229</v>
      </c>
      <c r="H88" s="234">
        <v>65</v>
      </c>
      <c r="I88" s="236">
        <f t="shared" si="4"/>
        <v>65</v>
      </c>
      <c r="J88" s="351">
        <v>11.96</v>
      </c>
      <c r="K88" s="241">
        <v>26.89</v>
      </c>
      <c r="L88" s="237">
        <v>41054</v>
      </c>
      <c r="M88" s="236" t="s">
        <v>300</v>
      </c>
      <c r="N88" s="235">
        <f t="shared" si="5"/>
        <v>65</v>
      </c>
      <c r="O88" s="235">
        <f t="shared" si="6"/>
        <v>0</v>
      </c>
      <c r="P88" s="238" t="s">
        <v>492</v>
      </c>
      <c r="Q88" s="1" t="s">
        <v>391</v>
      </c>
      <c r="S88" s="238" t="s">
        <v>2178</v>
      </c>
      <c r="V88" s="238" t="s">
        <v>254</v>
      </c>
      <c r="Y88" s="239"/>
      <c r="Z88" s="239"/>
      <c r="AB88" s="1" t="s">
        <v>382</v>
      </c>
    </row>
    <row r="89" spans="1:28" ht="11.25" customHeight="1">
      <c r="A89" s="233">
        <v>41054</v>
      </c>
      <c r="B89" s="1" t="s">
        <v>478</v>
      </c>
      <c r="C89" s="1" t="s">
        <v>2071</v>
      </c>
      <c r="D89" s="1" t="s">
        <v>353</v>
      </c>
      <c r="E89" s="1" t="s">
        <v>2102</v>
      </c>
      <c r="F89" s="1">
        <v>5</v>
      </c>
      <c r="G89" s="1" t="s">
        <v>229</v>
      </c>
      <c r="H89" s="234">
        <v>20</v>
      </c>
      <c r="I89" s="236">
        <f t="shared" si="4"/>
        <v>100</v>
      </c>
      <c r="J89" s="352">
        <v>12.93</v>
      </c>
      <c r="K89" s="241">
        <v>64.650000000000006</v>
      </c>
      <c r="L89" s="237">
        <v>41054</v>
      </c>
      <c r="M89" s="236" t="s">
        <v>300</v>
      </c>
      <c r="N89" s="235">
        <f t="shared" si="5"/>
        <v>100</v>
      </c>
      <c r="O89" s="235">
        <f t="shared" si="6"/>
        <v>0</v>
      </c>
      <c r="P89" s="238" t="s">
        <v>492</v>
      </c>
      <c r="Q89" s="1" t="s">
        <v>391</v>
      </c>
      <c r="S89" s="238" t="s">
        <v>2178</v>
      </c>
      <c r="V89" s="238" t="s">
        <v>254</v>
      </c>
      <c r="Y89" s="239"/>
      <c r="Z89" s="239"/>
      <c r="AB89" s="1" t="s">
        <v>382</v>
      </c>
    </row>
    <row r="90" spans="1:28" ht="11.25" customHeight="1">
      <c r="A90" s="233">
        <v>41054</v>
      </c>
      <c r="B90" s="1" t="s">
        <v>486</v>
      </c>
      <c r="C90" s="1" t="s">
        <v>2071</v>
      </c>
      <c r="D90" s="1" t="s">
        <v>490</v>
      </c>
      <c r="E90" s="1">
        <v>3200</v>
      </c>
      <c r="F90" s="1">
        <v>1</v>
      </c>
      <c r="G90" s="1" t="s">
        <v>229</v>
      </c>
      <c r="H90" s="234">
        <v>65</v>
      </c>
      <c r="I90" s="236">
        <f t="shared" si="4"/>
        <v>65</v>
      </c>
      <c r="J90" s="351">
        <v>11.96</v>
      </c>
      <c r="K90" s="241">
        <v>26.89</v>
      </c>
      <c r="L90" s="237">
        <v>41054</v>
      </c>
      <c r="M90" s="236" t="s">
        <v>300</v>
      </c>
      <c r="N90" s="235">
        <f t="shared" si="5"/>
        <v>65</v>
      </c>
      <c r="O90" s="235">
        <f t="shared" si="6"/>
        <v>0</v>
      </c>
      <c r="P90" s="238" t="s">
        <v>493</v>
      </c>
      <c r="Q90" s="1" t="s">
        <v>391</v>
      </c>
      <c r="S90" s="238" t="s">
        <v>2183</v>
      </c>
      <c r="V90" s="238" t="s">
        <v>254</v>
      </c>
      <c r="Y90" s="239"/>
      <c r="Z90" s="239"/>
      <c r="AB90" s="1" t="s">
        <v>382</v>
      </c>
    </row>
    <row r="91" spans="1:28" ht="11.25" customHeight="1">
      <c r="A91" s="233">
        <v>41054</v>
      </c>
      <c r="B91" s="1" t="s">
        <v>486</v>
      </c>
      <c r="C91" s="1" t="s">
        <v>2071</v>
      </c>
      <c r="D91" s="1" t="s">
        <v>353</v>
      </c>
      <c r="E91" s="1" t="s">
        <v>2102</v>
      </c>
      <c r="F91" s="1">
        <v>5</v>
      </c>
      <c r="G91" s="1" t="s">
        <v>229</v>
      </c>
      <c r="H91" s="234">
        <v>20</v>
      </c>
      <c r="I91" s="236">
        <f t="shared" si="4"/>
        <v>100</v>
      </c>
      <c r="J91" s="352">
        <v>12.93</v>
      </c>
      <c r="K91" s="241">
        <v>64.650000000000006</v>
      </c>
      <c r="L91" s="237">
        <v>41054</v>
      </c>
      <c r="M91" s="236" t="s">
        <v>300</v>
      </c>
      <c r="N91" s="235">
        <f t="shared" si="5"/>
        <v>100</v>
      </c>
      <c r="O91" s="235">
        <f t="shared" si="6"/>
        <v>0</v>
      </c>
      <c r="P91" s="238" t="s">
        <v>493</v>
      </c>
      <c r="Q91" s="1" t="s">
        <v>391</v>
      </c>
      <c r="S91" s="238" t="s">
        <v>2183</v>
      </c>
      <c r="V91" s="238" t="s">
        <v>254</v>
      </c>
      <c r="Y91" s="239"/>
      <c r="Z91" s="239"/>
      <c r="AB91" s="1" t="s">
        <v>382</v>
      </c>
    </row>
    <row r="92" spans="1:28" ht="11.25" customHeight="1">
      <c r="A92" s="233">
        <v>41054</v>
      </c>
      <c r="B92" s="1" t="s">
        <v>482</v>
      </c>
      <c r="C92" s="1" t="s">
        <v>2071</v>
      </c>
      <c r="D92" s="1" t="s">
        <v>490</v>
      </c>
      <c r="E92" s="1">
        <v>3200</v>
      </c>
      <c r="F92" s="1">
        <v>1</v>
      </c>
      <c r="G92" s="1" t="s">
        <v>229</v>
      </c>
      <c r="H92" s="234">
        <v>65</v>
      </c>
      <c r="I92" s="236">
        <f t="shared" si="4"/>
        <v>65</v>
      </c>
      <c r="J92" s="351">
        <v>11.96</v>
      </c>
      <c r="K92" s="241">
        <v>26.89</v>
      </c>
      <c r="L92" s="237">
        <v>41054</v>
      </c>
      <c r="M92" s="236" t="s">
        <v>300</v>
      </c>
      <c r="N92" s="235">
        <f t="shared" si="5"/>
        <v>65</v>
      </c>
      <c r="O92" s="235">
        <f t="shared" si="6"/>
        <v>0</v>
      </c>
      <c r="P92" s="238" t="s">
        <v>494</v>
      </c>
      <c r="Q92" s="1" t="s">
        <v>391</v>
      </c>
      <c r="S92" s="238" t="s">
        <v>2182</v>
      </c>
      <c r="V92" s="238" t="s">
        <v>254</v>
      </c>
      <c r="Y92" s="239"/>
      <c r="Z92" s="239"/>
      <c r="AB92" s="1" t="s">
        <v>382</v>
      </c>
    </row>
    <row r="93" spans="1:28" ht="11.25" customHeight="1">
      <c r="A93" s="233">
        <v>41054</v>
      </c>
      <c r="B93" s="1" t="s">
        <v>482</v>
      </c>
      <c r="C93" s="1" t="s">
        <v>2071</v>
      </c>
      <c r="D93" s="1" t="s">
        <v>353</v>
      </c>
      <c r="E93" s="1" t="s">
        <v>2102</v>
      </c>
      <c r="F93" s="1">
        <v>2</v>
      </c>
      <c r="G93" s="1" t="s">
        <v>229</v>
      </c>
      <c r="H93" s="234">
        <v>20</v>
      </c>
      <c r="I93" s="236">
        <f t="shared" si="4"/>
        <v>40</v>
      </c>
      <c r="J93" s="352">
        <v>12.93</v>
      </c>
      <c r="K93" s="241">
        <f>12.93*F93</f>
        <v>25.86</v>
      </c>
      <c r="L93" s="237">
        <v>41054</v>
      </c>
      <c r="M93" s="236" t="s">
        <v>300</v>
      </c>
      <c r="N93" s="235">
        <f t="shared" si="5"/>
        <v>40</v>
      </c>
      <c r="O93" s="235">
        <f t="shared" si="6"/>
        <v>0</v>
      </c>
      <c r="P93" s="238" t="s">
        <v>494</v>
      </c>
      <c r="Q93" s="1" t="s">
        <v>391</v>
      </c>
      <c r="S93" s="238" t="s">
        <v>2182</v>
      </c>
      <c r="V93" s="238" t="s">
        <v>254</v>
      </c>
      <c r="Y93" s="239"/>
      <c r="Z93" s="239"/>
      <c r="AB93" s="1" t="s">
        <v>382</v>
      </c>
    </row>
    <row r="94" spans="1:28" ht="11.25" customHeight="1">
      <c r="A94" s="233">
        <v>41054</v>
      </c>
      <c r="B94" s="1" t="s">
        <v>495</v>
      </c>
      <c r="C94" s="1" t="s">
        <v>2071</v>
      </c>
      <c r="D94" s="1" t="s">
        <v>490</v>
      </c>
      <c r="E94" s="1">
        <v>3200</v>
      </c>
      <c r="F94" s="1">
        <v>2</v>
      </c>
      <c r="G94" s="1" t="s">
        <v>229</v>
      </c>
      <c r="H94" s="234">
        <v>70</v>
      </c>
      <c r="I94" s="236">
        <f t="shared" si="4"/>
        <v>140</v>
      </c>
      <c r="J94" s="351">
        <v>11.96</v>
      </c>
      <c r="K94" s="241">
        <f>26.89*F94</f>
        <v>53.78</v>
      </c>
      <c r="L94" s="237">
        <v>41054</v>
      </c>
      <c r="M94" s="236" t="s">
        <v>300</v>
      </c>
      <c r="N94" s="235">
        <f t="shared" si="5"/>
        <v>140</v>
      </c>
      <c r="O94" s="235">
        <f t="shared" si="6"/>
        <v>0</v>
      </c>
      <c r="P94" s="238" t="s">
        <v>496</v>
      </c>
      <c r="Q94" s="1" t="s">
        <v>391</v>
      </c>
      <c r="R94" s="239" t="s">
        <v>2185</v>
      </c>
      <c r="S94" s="238" t="s">
        <v>2186</v>
      </c>
      <c r="T94" s="238" t="s">
        <v>2187</v>
      </c>
      <c r="V94" s="238" t="s">
        <v>254</v>
      </c>
      <c r="Y94" s="239"/>
      <c r="Z94" s="239"/>
      <c r="AB94" s="1" t="s">
        <v>382</v>
      </c>
    </row>
    <row r="95" spans="1:28" ht="11.25" customHeight="1">
      <c r="A95" s="233">
        <v>41054</v>
      </c>
      <c r="B95" s="1" t="s">
        <v>495</v>
      </c>
      <c r="C95" s="1" t="s">
        <v>2071</v>
      </c>
      <c r="D95" s="1" t="s">
        <v>353</v>
      </c>
      <c r="E95" s="1" t="s">
        <v>2102</v>
      </c>
      <c r="F95" s="1">
        <v>5</v>
      </c>
      <c r="G95" s="1" t="s">
        <v>229</v>
      </c>
      <c r="H95" s="234">
        <v>25</v>
      </c>
      <c r="I95" s="236">
        <f t="shared" si="4"/>
        <v>125</v>
      </c>
      <c r="J95" s="352">
        <v>12.93</v>
      </c>
      <c r="K95" s="241">
        <f>12.93*F95</f>
        <v>64.650000000000006</v>
      </c>
      <c r="L95" s="237">
        <v>41054</v>
      </c>
      <c r="M95" s="236" t="s">
        <v>300</v>
      </c>
      <c r="N95" s="235">
        <f t="shared" si="5"/>
        <v>125</v>
      </c>
      <c r="O95" s="235">
        <f t="shared" si="6"/>
        <v>0</v>
      </c>
      <c r="P95" s="238" t="s">
        <v>496</v>
      </c>
      <c r="Q95" s="1" t="s">
        <v>391</v>
      </c>
      <c r="R95" s="239" t="s">
        <v>2185</v>
      </c>
      <c r="S95" s="238" t="s">
        <v>2186</v>
      </c>
      <c r="T95" s="238" t="s">
        <v>2187</v>
      </c>
      <c r="V95" s="238" t="s">
        <v>254</v>
      </c>
      <c r="Y95" s="239"/>
      <c r="Z95" s="239"/>
      <c r="AB95" s="1" t="s">
        <v>382</v>
      </c>
    </row>
    <row r="96" spans="1:28" ht="11.25" customHeight="1">
      <c r="A96" s="233">
        <v>41054</v>
      </c>
      <c r="B96" s="1" t="s">
        <v>495</v>
      </c>
      <c r="C96" s="1" t="s">
        <v>2071</v>
      </c>
      <c r="D96" s="1" t="s">
        <v>230</v>
      </c>
      <c r="E96" s="1">
        <v>7711</v>
      </c>
      <c r="F96" s="1">
        <v>10</v>
      </c>
      <c r="G96" s="1" t="s">
        <v>231</v>
      </c>
      <c r="H96" s="234">
        <v>5</v>
      </c>
      <c r="I96" s="236">
        <f t="shared" si="4"/>
        <v>50</v>
      </c>
      <c r="J96" s="351"/>
      <c r="K96" s="241">
        <v>0</v>
      </c>
      <c r="L96" s="237">
        <v>41054</v>
      </c>
      <c r="M96" s="236" t="s">
        <v>300</v>
      </c>
      <c r="N96" s="235">
        <f t="shared" si="5"/>
        <v>50</v>
      </c>
      <c r="O96" s="235">
        <f t="shared" si="6"/>
        <v>0</v>
      </c>
      <c r="P96" s="238" t="s">
        <v>496</v>
      </c>
      <c r="Q96" s="1" t="s">
        <v>391</v>
      </c>
      <c r="R96" s="239" t="s">
        <v>2185</v>
      </c>
      <c r="S96" s="238" t="s">
        <v>2186</v>
      </c>
      <c r="T96" s="238" t="s">
        <v>2187</v>
      </c>
      <c r="V96" s="238" t="s">
        <v>254</v>
      </c>
      <c r="Y96" s="239"/>
      <c r="Z96" s="239"/>
      <c r="AB96" s="1" t="s">
        <v>382</v>
      </c>
    </row>
    <row r="97" spans="1:28" ht="11.25" customHeight="1">
      <c r="A97" s="233">
        <v>41054</v>
      </c>
      <c r="B97" s="1" t="s">
        <v>495</v>
      </c>
      <c r="C97" s="1" t="s">
        <v>2071</v>
      </c>
      <c r="D97" s="5" t="s">
        <v>2012</v>
      </c>
      <c r="E97" s="1" t="s">
        <v>2089</v>
      </c>
      <c r="F97" s="5">
        <v>50</v>
      </c>
      <c r="G97" s="1" t="s">
        <v>4970</v>
      </c>
      <c r="H97" s="234">
        <v>2.6</v>
      </c>
      <c r="I97" s="236">
        <f t="shared" si="4"/>
        <v>130</v>
      </c>
      <c r="J97" s="351">
        <v>1.62</v>
      </c>
      <c r="K97" s="241">
        <v>81</v>
      </c>
      <c r="L97" s="237">
        <v>41054</v>
      </c>
      <c r="M97" s="236" t="s">
        <v>300</v>
      </c>
      <c r="N97" s="235">
        <f t="shared" si="5"/>
        <v>130</v>
      </c>
      <c r="O97" s="235">
        <f t="shared" si="6"/>
        <v>0</v>
      </c>
      <c r="P97" s="238" t="s">
        <v>496</v>
      </c>
      <c r="Q97" s="1" t="s">
        <v>391</v>
      </c>
      <c r="R97" s="239" t="s">
        <v>2185</v>
      </c>
      <c r="S97" s="238" t="s">
        <v>2186</v>
      </c>
      <c r="T97" s="238" t="s">
        <v>2187</v>
      </c>
      <c r="V97" s="238" t="s">
        <v>254</v>
      </c>
      <c r="Y97" s="239"/>
      <c r="Z97" s="239"/>
      <c r="AB97" s="1" t="s">
        <v>382</v>
      </c>
    </row>
    <row r="98" spans="1:28" ht="11.25" customHeight="1">
      <c r="A98" s="233">
        <v>41054</v>
      </c>
      <c r="B98" s="1" t="s">
        <v>497</v>
      </c>
      <c r="C98" s="1" t="s">
        <v>2071</v>
      </c>
      <c r="D98" s="1" t="s">
        <v>490</v>
      </c>
      <c r="E98" s="1">
        <v>6200</v>
      </c>
      <c r="F98" s="1">
        <v>1</v>
      </c>
      <c r="G98" s="1" t="s">
        <v>236</v>
      </c>
      <c r="H98" s="234">
        <v>140</v>
      </c>
      <c r="I98" s="236">
        <f t="shared" si="4"/>
        <v>140</v>
      </c>
      <c r="J98" s="354">
        <v>50</v>
      </c>
      <c r="K98" s="241" t="e">
        <f>#REF!*F98</f>
        <v>#REF!</v>
      </c>
      <c r="L98" s="237">
        <v>41054</v>
      </c>
      <c r="M98" s="236" t="s">
        <v>300</v>
      </c>
      <c r="N98" s="235">
        <f t="shared" si="5"/>
        <v>140</v>
      </c>
      <c r="O98" s="235">
        <f t="shared" si="6"/>
        <v>0</v>
      </c>
      <c r="P98" s="238" t="s">
        <v>498</v>
      </c>
      <c r="Q98" s="1" t="s">
        <v>402</v>
      </c>
      <c r="R98" s="239" t="s">
        <v>2188</v>
      </c>
      <c r="S98" s="238" t="s">
        <v>2189</v>
      </c>
      <c r="U98" s="238" t="s">
        <v>501</v>
      </c>
      <c r="V98" s="238" t="s">
        <v>254</v>
      </c>
      <c r="Y98" s="239"/>
      <c r="Z98" s="239"/>
      <c r="AA98" s="240" t="s">
        <v>398</v>
      </c>
      <c r="AB98" s="1" t="s">
        <v>382</v>
      </c>
    </row>
    <row r="99" spans="1:28" ht="11.25" customHeight="1">
      <c r="A99" s="233">
        <v>41054</v>
      </c>
      <c r="B99" s="1" t="s">
        <v>497</v>
      </c>
      <c r="C99" s="1" t="s">
        <v>2071</v>
      </c>
      <c r="D99" s="1" t="s">
        <v>353</v>
      </c>
      <c r="E99" s="1" t="s">
        <v>2072</v>
      </c>
      <c r="F99" s="1">
        <v>2</v>
      </c>
      <c r="G99" s="1" t="s">
        <v>229</v>
      </c>
      <c r="H99" s="234">
        <v>30</v>
      </c>
      <c r="I99" s="236">
        <f t="shared" si="4"/>
        <v>60</v>
      </c>
      <c r="J99" s="351">
        <v>19.86</v>
      </c>
      <c r="K99" s="241">
        <v>39.72</v>
      </c>
      <c r="L99" s="237">
        <v>41054</v>
      </c>
      <c r="M99" s="236" t="s">
        <v>300</v>
      </c>
      <c r="N99" s="235">
        <f t="shared" si="5"/>
        <v>60</v>
      </c>
      <c r="O99" s="235">
        <f t="shared" si="6"/>
        <v>0</v>
      </c>
      <c r="P99" s="238" t="s">
        <v>498</v>
      </c>
      <c r="Q99" s="1" t="s">
        <v>402</v>
      </c>
      <c r="R99" s="239" t="s">
        <v>2188</v>
      </c>
      <c r="S99" s="238" t="s">
        <v>2189</v>
      </c>
      <c r="U99" s="238" t="s">
        <v>501</v>
      </c>
      <c r="V99" s="238" t="s">
        <v>254</v>
      </c>
      <c r="Y99" s="239"/>
      <c r="Z99" s="239"/>
      <c r="AA99" s="240" t="s">
        <v>398</v>
      </c>
      <c r="AB99" s="1" t="s">
        <v>382</v>
      </c>
    </row>
    <row r="100" spans="1:28" ht="11.25" customHeight="1">
      <c r="A100" s="233">
        <v>41054</v>
      </c>
      <c r="B100" s="1" t="s">
        <v>497</v>
      </c>
      <c r="C100" s="1" t="s">
        <v>2071</v>
      </c>
      <c r="D100" s="5" t="s">
        <v>2012</v>
      </c>
      <c r="E100" s="1" t="s">
        <v>2089</v>
      </c>
      <c r="F100" s="5">
        <v>50</v>
      </c>
      <c r="G100" s="1" t="s">
        <v>4970</v>
      </c>
      <c r="H100" s="234">
        <v>2.6</v>
      </c>
      <c r="I100" s="236">
        <f t="shared" si="4"/>
        <v>130</v>
      </c>
      <c r="J100" s="351">
        <v>1.62</v>
      </c>
      <c r="K100" s="241">
        <f>1.62*F100</f>
        <v>81</v>
      </c>
      <c r="L100" s="237">
        <v>41054</v>
      </c>
      <c r="M100" s="236" t="s">
        <v>300</v>
      </c>
      <c r="N100" s="235">
        <f t="shared" si="5"/>
        <v>130</v>
      </c>
      <c r="O100" s="235">
        <f t="shared" si="6"/>
        <v>0</v>
      </c>
      <c r="P100" s="238" t="s">
        <v>498</v>
      </c>
      <c r="Q100" s="1" t="s">
        <v>402</v>
      </c>
      <c r="R100" s="239" t="s">
        <v>2188</v>
      </c>
      <c r="S100" s="238" t="s">
        <v>2189</v>
      </c>
      <c r="U100" s="238" t="s">
        <v>501</v>
      </c>
      <c r="V100" s="238" t="s">
        <v>254</v>
      </c>
      <c r="Y100" s="239"/>
      <c r="Z100" s="239"/>
      <c r="AA100" s="240" t="s">
        <v>398</v>
      </c>
      <c r="AB100" s="1" t="s">
        <v>382</v>
      </c>
    </row>
    <row r="101" spans="1:28" ht="11.25" customHeight="1">
      <c r="A101" s="233">
        <v>41054</v>
      </c>
      <c r="B101" s="1" t="s">
        <v>502</v>
      </c>
      <c r="C101" s="1" t="s">
        <v>2071</v>
      </c>
      <c r="D101" s="1" t="s">
        <v>490</v>
      </c>
      <c r="E101" s="1">
        <v>6200</v>
      </c>
      <c r="F101" s="1">
        <v>1</v>
      </c>
      <c r="G101" s="1" t="s">
        <v>236</v>
      </c>
      <c r="H101" s="234">
        <v>140</v>
      </c>
      <c r="I101" s="236">
        <f t="shared" si="4"/>
        <v>140</v>
      </c>
      <c r="J101" s="354">
        <v>50</v>
      </c>
      <c r="K101" s="241" t="e">
        <f>#REF!*F101</f>
        <v>#REF!</v>
      </c>
      <c r="L101" s="237">
        <v>41054</v>
      </c>
      <c r="M101" s="236" t="s">
        <v>300</v>
      </c>
      <c r="N101" s="235">
        <f t="shared" si="5"/>
        <v>140</v>
      </c>
      <c r="O101" s="235">
        <f t="shared" si="6"/>
        <v>0</v>
      </c>
      <c r="P101" s="238" t="s">
        <v>503</v>
      </c>
      <c r="Q101" s="1" t="s">
        <v>402</v>
      </c>
      <c r="R101" s="239" t="s">
        <v>499</v>
      </c>
      <c r="S101" s="238" t="s">
        <v>500</v>
      </c>
      <c r="U101" s="238" t="s">
        <v>501</v>
      </c>
      <c r="V101" s="238" t="s">
        <v>254</v>
      </c>
      <c r="Y101" s="239"/>
      <c r="Z101" s="239"/>
      <c r="AA101" s="240" t="s">
        <v>398</v>
      </c>
      <c r="AB101" s="1" t="s">
        <v>382</v>
      </c>
    </row>
    <row r="102" spans="1:28" ht="11.25" customHeight="1">
      <c r="A102" s="233">
        <v>41054</v>
      </c>
      <c r="B102" s="1" t="s">
        <v>502</v>
      </c>
      <c r="C102" s="1" t="s">
        <v>2071</v>
      </c>
      <c r="D102" s="1" t="s">
        <v>353</v>
      </c>
      <c r="E102" s="1" t="s">
        <v>2072</v>
      </c>
      <c r="F102" s="1">
        <v>2</v>
      </c>
      <c r="G102" s="1" t="s">
        <v>229</v>
      </c>
      <c r="H102" s="234">
        <v>30</v>
      </c>
      <c r="I102" s="236">
        <f t="shared" ref="I102:I166" si="8">H102*F102</f>
        <v>60</v>
      </c>
      <c r="J102" s="351">
        <v>19.86</v>
      </c>
      <c r="K102" s="241">
        <v>39.72</v>
      </c>
      <c r="L102" s="237">
        <v>41054</v>
      </c>
      <c r="M102" s="236" t="s">
        <v>300</v>
      </c>
      <c r="N102" s="235">
        <f t="shared" si="5"/>
        <v>60</v>
      </c>
      <c r="O102" s="235">
        <f t="shared" si="6"/>
        <v>0</v>
      </c>
      <c r="P102" s="238" t="s">
        <v>503</v>
      </c>
      <c r="Q102" s="1" t="s">
        <v>402</v>
      </c>
      <c r="R102" s="239" t="s">
        <v>499</v>
      </c>
      <c r="S102" s="238" t="s">
        <v>500</v>
      </c>
      <c r="U102" s="238" t="s">
        <v>501</v>
      </c>
      <c r="V102" s="238" t="s">
        <v>254</v>
      </c>
      <c r="Y102" s="239"/>
      <c r="Z102" s="239"/>
      <c r="AA102" s="240" t="s">
        <v>398</v>
      </c>
      <c r="AB102" s="1" t="s">
        <v>382</v>
      </c>
    </row>
    <row r="103" spans="1:28" ht="11.25" customHeight="1">
      <c r="A103" s="233">
        <v>41054</v>
      </c>
      <c r="B103" s="1" t="s">
        <v>502</v>
      </c>
      <c r="C103" s="1" t="s">
        <v>2071</v>
      </c>
      <c r="D103" s="5" t="s">
        <v>2012</v>
      </c>
      <c r="E103" s="1" t="s">
        <v>2089</v>
      </c>
      <c r="F103" s="5">
        <v>50</v>
      </c>
      <c r="G103" s="1" t="s">
        <v>4970</v>
      </c>
      <c r="H103" s="234">
        <v>2.6</v>
      </c>
      <c r="I103" s="236">
        <f t="shared" si="8"/>
        <v>130</v>
      </c>
      <c r="J103" s="351">
        <v>1.62</v>
      </c>
      <c r="K103" s="241">
        <v>81</v>
      </c>
      <c r="L103" s="237">
        <v>41054</v>
      </c>
      <c r="M103" s="236" t="s">
        <v>300</v>
      </c>
      <c r="N103" s="235">
        <f t="shared" si="5"/>
        <v>130</v>
      </c>
      <c r="O103" s="235">
        <f t="shared" si="6"/>
        <v>0</v>
      </c>
      <c r="P103" s="238" t="s">
        <v>503</v>
      </c>
      <c r="Q103" s="1" t="s">
        <v>402</v>
      </c>
      <c r="R103" s="239" t="s">
        <v>499</v>
      </c>
      <c r="S103" s="238" t="s">
        <v>500</v>
      </c>
      <c r="U103" s="238" t="s">
        <v>501</v>
      </c>
      <c r="V103" s="238" t="s">
        <v>254</v>
      </c>
      <c r="Y103" s="239"/>
      <c r="Z103" s="239"/>
      <c r="AA103" s="240" t="s">
        <v>398</v>
      </c>
      <c r="AB103" s="1" t="s">
        <v>382</v>
      </c>
    </row>
    <row r="104" spans="1:28" ht="11.25" customHeight="1">
      <c r="A104" s="233">
        <v>41054</v>
      </c>
      <c r="B104" s="1" t="s">
        <v>504</v>
      </c>
      <c r="C104" s="1" t="s">
        <v>2071</v>
      </c>
      <c r="D104" s="1" t="s">
        <v>490</v>
      </c>
      <c r="E104" s="1">
        <v>6200</v>
      </c>
      <c r="F104" s="1">
        <v>1</v>
      </c>
      <c r="G104" s="1" t="s">
        <v>236</v>
      </c>
      <c r="H104" s="234">
        <v>140</v>
      </c>
      <c r="I104" s="236">
        <f t="shared" si="8"/>
        <v>140</v>
      </c>
      <c r="J104" s="354">
        <v>50</v>
      </c>
      <c r="K104" s="241" t="e">
        <f>#REF!*F104</f>
        <v>#REF!</v>
      </c>
      <c r="L104" s="237">
        <v>41054</v>
      </c>
      <c r="M104" s="236" t="s">
        <v>300</v>
      </c>
      <c r="N104" s="235">
        <f t="shared" si="5"/>
        <v>140</v>
      </c>
      <c r="O104" s="235">
        <f t="shared" si="6"/>
        <v>0</v>
      </c>
      <c r="P104" s="238" t="s">
        <v>505</v>
      </c>
      <c r="Q104" s="1" t="s">
        <v>402</v>
      </c>
      <c r="R104" s="239" t="s">
        <v>499</v>
      </c>
      <c r="S104" s="238" t="s">
        <v>500</v>
      </c>
      <c r="U104" s="238" t="s">
        <v>501</v>
      </c>
      <c r="V104" s="238" t="s">
        <v>254</v>
      </c>
      <c r="Y104" s="239"/>
      <c r="Z104" s="239"/>
      <c r="AA104" s="240" t="s">
        <v>398</v>
      </c>
      <c r="AB104" s="1" t="s">
        <v>382</v>
      </c>
    </row>
    <row r="105" spans="1:28" ht="11.25" customHeight="1">
      <c r="A105" s="233">
        <v>41054</v>
      </c>
      <c r="B105" s="1" t="s">
        <v>504</v>
      </c>
      <c r="C105" s="1" t="s">
        <v>2071</v>
      </c>
      <c r="D105" s="1" t="s">
        <v>353</v>
      </c>
      <c r="E105" s="1" t="s">
        <v>2072</v>
      </c>
      <c r="F105" s="1">
        <v>2</v>
      </c>
      <c r="G105" s="1" t="s">
        <v>229</v>
      </c>
      <c r="H105" s="234">
        <v>30</v>
      </c>
      <c r="I105" s="236">
        <f t="shared" si="8"/>
        <v>60</v>
      </c>
      <c r="J105" s="351">
        <v>19.86</v>
      </c>
      <c r="K105" s="241">
        <v>39.72</v>
      </c>
      <c r="L105" s="237">
        <v>41054</v>
      </c>
      <c r="M105" s="236" t="s">
        <v>300</v>
      </c>
      <c r="N105" s="235">
        <f t="shared" si="5"/>
        <v>60</v>
      </c>
      <c r="O105" s="235">
        <f t="shared" si="6"/>
        <v>0</v>
      </c>
      <c r="P105" s="238" t="s">
        <v>505</v>
      </c>
      <c r="Q105" s="1" t="s">
        <v>402</v>
      </c>
      <c r="R105" s="239" t="s">
        <v>499</v>
      </c>
      <c r="S105" s="238" t="s">
        <v>500</v>
      </c>
      <c r="U105" s="238" t="s">
        <v>501</v>
      </c>
      <c r="V105" s="238" t="s">
        <v>254</v>
      </c>
      <c r="Y105" s="239"/>
      <c r="Z105" s="239"/>
      <c r="AA105" s="240" t="s">
        <v>398</v>
      </c>
      <c r="AB105" s="1" t="s">
        <v>382</v>
      </c>
    </row>
    <row r="106" spans="1:28" ht="11.25" customHeight="1">
      <c r="A106" s="233">
        <v>41054</v>
      </c>
      <c r="B106" s="1" t="s">
        <v>504</v>
      </c>
      <c r="C106" s="1" t="s">
        <v>2071</v>
      </c>
      <c r="D106" s="5" t="s">
        <v>2012</v>
      </c>
      <c r="E106" s="1" t="s">
        <v>2089</v>
      </c>
      <c r="F106" s="5">
        <v>50</v>
      </c>
      <c r="G106" s="1" t="s">
        <v>4970</v>
      </c>
      <c r="H106" s="234">
        <v>2.6</v>
      </c>
      <c r="I106" s="236">
        <f t="shared" si="8"/>
        <v>130</v>
      </c>
      <c r="J106" s="351">
        <v>1.62</v>
      </c>
      <c r="K106" s="241">
        <v>81</v>
      </c>
      <c r="L106" s="237">
        <v>41054</v>
      </c>
      <c r="M106" s="236" t="s">
        <v>300</v>
      </c>
      <c r="N106" s="235">
        <f t="shared" si="5"/>
        <v>130</v>
      </c>
      <c r="O106" s="235">
        <f t="shared" si="6"/>
        <v>0</v>
      </c>
      <c r="P106" s="238" t="s">
        <v>505</v>
      </c>
      <c r="Q106" s="1" t="s">
        <v>402</v>
      </c>
      <c r="R106" s="239" t="s">
        <v>499</v>
      </c>
      <c r="S106" s="238" t="s">
        <v>500</v>
      </c>
      <c r="U106" s="238" t="s">
        <v>501</v>
      </c>
      <c r="V106" s="238" t="s">
        <v>254</v>
      </c>
      <c r="Y106" s="239"/>
      <c r="Z106" s="239"/>
      <c r="AA106" s="240" t="s">
        <v>398</v>
      </c>
      <c r="AB106" s="1" t="s">
        <v>382</v>
      </c>
    </row>
    <row r="107" spans="1:28" ht="11.25" customHeight="1">
      <c r="A107" s="233">
        <v>41054</v>
      </c>
      <c r="B107" s="1" t="s">
        <v>506</v>
      </c>
      <c r="C107" s="1" t="s">
        <v>2071</v>
      </c>
      <c r="D107" s="1" t="s">
        <v>490</v>
      </c>
      <c r="E107" s="1">
        <v>6200</v>
      </c>
      <c r="F107" s="1">
        <v>1</v>
      </c>
      <c r="G107" s="1" t="s">
        <v>236</v>
      </c>
      <c r="H107" s="234">
        <v>140</v>
      </c>
      <c r="I107" s="236">
        <f t="shared" si="8"/>
        <v>140</v>
      </c>
      <c r="J107" s="354">
        <v>50</v>
      </c>
      <c r="K107" s="241" t="e">
        <f>#REF!*F107</f>
        <v>#REF!</v>
      </c>
      <c r="L107" s="237">
        <v>41054</v>
      </c>
      <c r="M107" s="236" t="s">
        <v>300</v>
      </c>
      <c r="N107" s="235">
        <f t="shared" si="5"/>
        <v>140</v>
      </c>
      <c r="O107" s="235">
        <f t="shared" si="6"/>
        <v>0</v>
      </c>
      <c r="P107" s="238" t="s">
        <v>507</v>
      </c>
      <c r="Q107" s="1" t="s">
        <v>402</v>
      </c>
      <c r="R107" s="239" t="s">
        <v>499</v>
      </c>
      <c r="S107" s="238" t="s">
        <v>500</v>
      </c>
      <c r="U107" s="238" t="s">
        <v>501</v>
      </c>
      <c r="V107" s="238" t="s">
        <v>254</v>
      </c>
      <c r="Y107" s="239"/>
      <c r="Z107" s="239"/>
      <c r="AA107" s="240" t="s">
        <v>398</v>
      </c>
      <c r="AB107" s="1" t="s">
        <v>382</v>
      </c>
    </row>
    <row r="108" spans="1:28" ht="11.25" customHeight="1">
      <c r="A108" s="233">
        <v>41054</v>
      </c>
      <c r="B108" s="1" t="s">
        <v>506</v>
      </c>
      <c r="C108" s="1" t="s">
        <v>2071</v>
      </c>
      <c r="D108" s="1" t="s">
        <v>353</v>
      </c>
      <c r="E108" s="1" t="s">
        <v>2072</v>
      </c>
      <c r="F108" s="1">
        <v>2</v>
      </c>
      <c r="G108" s="1" t="s">
        <v>229</v>
      </c>
      <c r="H108" s="234">
        <v>30</v>
      </c>
      <c r="I108" s="236">
        <f t="shared" si="8"/>
        <v>60</v>
      </c>
      <c r="J108" s="351">
        <v>19.86</v>
      </c>
      <c r="K108" s="241">
        <v>39.72</v>
      </c>
      <c r="L108" s="237">
        <v>41054</v>
      </c>
      <c r="M108" s="236" t="s">
        <v>300</v>
      </c>
      <c r="N108" s="235">
        <f t="shared" si="5"/>
        <v>60</v>
      </c>
      <c r="O108" s="235">
        <f t="shared" si="6"/>
        <v>0</v>
      </c>
      <c r="P108" s="238" t="s">
        <v>507</v>
      </c>
      <c r="Q108" s="1" t="s">
        <v>402</v>
      </c>
      <c r="R108" s="239" t="s">
        <v>499</v>
      </c>
      <c r="S108" s="238" t="s">
        <v>500</v>
      </c>
      <c r="U108" s="238" t="s">
        <v>501</v>
      </c>
      <c r="V108" s="238" t="s">
        <v>254</v>
      </c>
      <c r="Y108" s="239"/>
      <c r="Z108" s="239"/>
      <c r="AA108" s="240" t="s">
        <v>398</v>
      </c>
      <c r="AB108" s="1" t="s">
        <v>382</v>
      </c>
    </row>
    <row r="109" spans="1:28" ht="11.25" customHeight="1">
      <c r="A109" s="233">
        <v>41054</v>
      </c>
      <c r="B109" s="1" t="s">
        <v>506</v>
      </c>
      <c r="C109" s="1" t="s">
        <v>2071</v>
      </c>
      <c r="D109" s="5" t="s">
        <v>2012</v>
      </c>
      <c r="E109" s="1" t="s">
        <v>2089</v>
      </c>
      <c r="F109" s="5">
        <v>50</v>
      </c>
      <c r="G109" s="1" t="s">
        <v>4970</v>
      </c>
      <c r="H109" s="234">
        <v>2.6</v>
      </c>
      <c r="I109" s="236">
        <f t="shared" si="8"/>
        <v>130</v>
      </c>
      <c r="J109" s="351">
        <v>1.62</v>
      </c>
      <c r="K109" s="241">
        <v>81</v>
      </c>
      <c r="L109" s="237">
        <v>41054</v>
      </c>
      <c r="M109" s="236" t="s">
        <v>300</v>
      </c>
      <c r="N109" s="235">
        <f t="shared" si="5"/>
        <v>130</v>
      </c>
      <c r="O109" s="235">
        <f t="shared" si="6"/>
        <v>0</v>
      </c>
      <c r="P109" s="238" t="s">
        <v>507</v>
      </c>
      <c r="Q109" s="1" t="s">
        <v>402</v>
      </c>
      <c r="R109" s="239" t="s">
        <v>499</v>
      </c>
      <c r="S109" s="238" t="s">
        <v>500</v>
      </c>
      <c r="U109" s="238" t="s">
        <v>501</v>
      </c>
      <c r="V109" s="238" t="s">
        <v>254</v>
      </c>
      <c r="Y109" s="239"/>
      <c r="Z109" s="239"/>
      <c r="AA109" s="240" t="s">
        <v>398</v>
      </c>
      <c r="AB109" s="1" t="s">
        <v>382</v>
      </c>
    </row>
    <row r="110" spans="1:28" ht="11.25" customHeight="1">
      <c r="A110" s="233">
        <v>41054</v>
      </c>
      <c r="B110" s="1" t="s">
        <v>508</v>
      </c>
      <c r="C110" s="1" t="s">
        <v>2071</v>
      </c>
      <c r="D110" s="1" t="s">
        <v>490</v>
      </c>
      <c r="E110" s="1">
        <v>6200</v>
      </c>
      <c r="F110" s="1">
        <v>3</v>
      </c>
      <c r="G110" s="1" t="s">
        <v>236</v>
      </c>
      <c r="H110" s="234">
        <v>140</v>
      </c>
      <c r="I110" s="236">
        <f t="shared" si="8"/>
        <v>420</v>
      </c>
      <c r="J110" s="354">
        <v>50</v>
      </c>
      <c r="K110" s="241" t="e">
        <f>#REF!*F110</f>
        <v>#REF!</v>
      </c>
      <c r="L110" s="237">
        <v>41054</v>
      </c>
      <c r="M110" s="236" t="s">
        <v>300</v>
      </c>
      <c r="N110" s="235">
        <f t="shared" si="5"/>
        <v>420</v>
      </c>
      <c r="O110" s="235">
        <f t="shared" si="6"/>
        <v>0</v>
      </c>
      <c r="P110" s="238" t="s">
        <v>509</v>
      </c>
      <c r="Q110" s="1" t="s">
        <v>402</v>
      </c>
      <c r="R110" s="239" t="s">
        <v>510</v>
      </c>
      <c r="S110" s="238" t="s">
        <v>511</v>
      </c>
      <c r="U110" s="238" t="s">
        <v>512</v>
      </c>
      <c r="V110" s="238" t="s">
        <v>254</v>
      </c>
      <c r="Y110" s="239"/>
      <c r="Z110" s="239"/>
      <c r="AA110" s="240" t="s">
        <v>398</v>
      </c>
      <c r="AB110" s="1" t="s">
        <v>382</v>
      </c>
    </row>
    <row r="111" spans="1:28" ht="11.25" customHeight="1">
      <c r="A111" s="233">
        <v>41054</v>
      </c>
      <c r="B111" s="1" t="s">
        <v>508</v>
      </c>
      <c r="C111" s="1" t="s">
        <v>2071</v>
      </c>
      <c r="D111" s="1" t="s">
        <v>490</v>
      </c>
      <c r="E111" s="1">
        <v>3200</v>
      </c>
      <c r="F111" s="1">
        <v>12</v>
      </c>
      <c r="G111" s="1" t="s">
        <v>229</v>
      </c>
      <c r="H111" s="234">
        <v>65</v>
      </c>
      <c r="I111" s="236">
        <f t="shared" si="8"/>
        <v>780</v>
      </c>
      <c r="J111" s="351">
        <v>11.96</v>
      </c>
      <c r="K111" s="241">
        <f>28.37*F111</f>
        <v>340.44</v>
      </c>
      <c r="L111" s="237">
        <v>41054</v>
      </c>
      <c r="M111" s="236" t="s">
        <v>300</v>
      </c>
      <c r="N111" s="235">
        <f t="shared" si="5"/>
        <v>780</v>
      </c>
      <c r="O111" s="235">
        <f t="shared" si="6"/>
        <v>0</v>
      </c>
      <c r="P111" s="238" t="s">
        <v>509</v>
      </c>
      <c r="Q111" s="1" t="s">
        <v>402</v>
      </c>
      <c r="R111" s="239" t="s">
        <v>510</v>
      </c>
      <c r="S111" s="238" t="s">
        <v>511</v>
      </c>
      <c r="U111" s="238" t="s">
        <v>512</v>
      </c>
      <c r="V111" s="238" t="s">
        <v>254</v>
      </c>
      <c r="Y111" s="239"/>
      <c r="Z111" s="239"/>
      <c r="AA111" s="240" t="s">
        <v>398</v>
      </c>
      <c r="AB111" s="1" t="s">
        <v>382</v>
      </c>
    </row>
    <row r="112" spans="1:28" ht="11.25" customHeight="1">
      <c r="A112" s="233">
        <v>41054</v>
      </c>
      <c r="B112" s="1" t="s">
        <v>508</v>
      </c>
      <c r="C112" s="1" t="s">
        <v>2071</v>
      </c>
      <c r="D112" s="1" t="s">
        <v>2190</v>
      </c>
      <c r="E112" s="1" t="s">
        <v>2191</v>
      </c>
      <c r="F112" s="1">
        <v>50</v>
      </c>
      <c r="G112" s="1" t="s">
        <v>231</v>
      </c>
      <c r="H112" s="234">
        <v>3.5</v>
      </c>
      <c r="I112" s="236">
        <f t="shared" si="8"/>
        <v>175</v>
      </c>
      <c r="J112" s="351"/>
      <c r="K112" s="241">
        <v>123.50000000000001</v>
      </c>
      <c r="L112" s="237">
        <v>41054</v>
      </c>
      <c r="M112" s="236" t="s">
        <v>300</v>
      </c>
      <c r="N112" s="235">
        <f t="shared" si="5"/>
        <v>175</v>
      </c>
      <c r="O112" s="235">
        <f t="shared" si="6"/>
        <v>0</v>
      </c>
      <c r="P112" s="238" t="s">
        <v>509</v>
      </c>
      <c r="Q112" s="1" t="s">
        <v>402</v>
      </c>
      <c r="R112" s="239" t="s">
        <v>510</v>
      </c>
      <c r="S112" s="238" t="s">
        <v>511</v>
      </c>
      <c r="U112" s="238" t="s">
        <v>512</v>
      </c>
      <c r="V112" s="238" t="s">
        <v>254</v>
      </c>
      <c r="Y112" s="239"/>
      <c r="Z112" s="239"/>
      <c r="AA112" s="240" t="s">
        <v>398</v>
      </c>
      <c r="AB112" s="1" t="s">
        <v>382</v>
      </c>
    </row>
    <row r="113" spans="1:28" ht="11.25" customHeight="1">
      <c r="A113" s="233">
        <v>41054</v>
      </c>
      <c r="B113" s="1" t="s">
        <v>508</v>
      </c>
      <c r="C113" s="1" t="s">
        <v>2071</v>
      </c>
      <c r="D113" s="1" t="s">
        <v>6623</v>
      </c>
      <c r="E113" s="1" t="s">
        <v>2093</v>
      </c>
      <c r="F113" s="1">
        <v>10</v>
      </c>
      <c r="G113" s="1" t="s">
        <v>239</v>
      </c>
      <c r="H113" s="234">
        <v>23</v>
      </c>
      <c r="I113" s="236">
        <f t="shared" si="8"/>
        <v>230</v>
      </c>
      <c r="J113" s="351"/>
      <c r="K113" s="241">
        <f>15.41*F113</f>
        <v>154.1</v>
      </c>
      <c r="L113" s="237">
        <v>41054</v>
      </c>
      <c r="M113" s="236" t="s">
        <v>300</v>
      </c>
      <c r="N113" s="235">
        <f t="shared" si="5"/>
        <v>230</v>
      </c>
      <c r="O113" s="235">
        <f t="shared" si="6"/>
        <v>0</v>
      </c>
      <c r="P113" s="238" t="s">
        <v>509</v>
      </c>
      <c r="Q113" s="1" t="s">
        <v>402</v>
      </c>
      <c r="R113" s="239" t="s">
        <v>510</v>
      </c>
      <c r="S113" s="238" t="s">
        <v>511</v>
      </c>
      <c r="U113" s="238" t="s">
        <v>512</v>
      </c>
      <c r="V113" s="238" t="s">
        <v>254</v>
      </c>
      <c r="Y113" s="239"/>
      <c r="Z113" s="239"/>
      <c r="AA113" s="240" t="s">
        <v>398</v>
      </c>
      <c r="AB113" s="1" t="s">
        <v>382</v>
      </c>
    </row>
    <row r="114" spans="1:28" ht="11.25" customHeight="1">
      <c r="A114" s="233">
        <v>41054</v>
      </c>
      <c r="B114" s="1" t="s">
        <v>508</v>
      </c>
      <c r="C114" s="1" t="s">
        <v>2071</v>
      </c>
      <c r="D114" s="1" t="s">
        <v>681</v>
      </c>
      <c r="E114" s="1" t="s">
        <v>2192</v>
      </c>
      <c r="F114" s="1">
        <v>15</v>
      </c>
      <c r="G114" s="1" t="s">
        <v>239</v>
      </c>
      <c r="H114" s="234">
        <v>4.9000000000000004</v>
      </c>
      <c r="I114" s="236">
        <f t="shared" si="8"/>
        <v>73.5</v>
      </c>
      <c r="J114" s="351">
        <v>3.31</v>
      </c>
      <c r="K114" s="241">
        <f>3.31*F114</f>
        <v>49.65</v>
      </c>
      <c r="L114" s="237">
        <v>41054</v>
      </c>
      <c r="M114" s="236" t="s">
        <v>300</v>
      </c>
      <c r="N114" s="235">
        <f t="shared" si="5"/>
        <v>73.5</v>
      </c>
      <c r="O114" s="235">
        <f t="shared" si="6"/>
        <v>0</v>
      </c>
      <c r="P114" s="238" t="s">
        <v>509</v>
      </c>
      <c r="Q114" s="1" t="s">
        <v>402</v>
      </c>
      <c r="R114" s="239" t="s">
        <v>510</v>
      </c>
      <c r="S114" s="238" t="s">
        <v>511</v>
      </c>
      <c r="U114" s="238" t="s">
        <v>512</v>
      </c>
      <c r="V114" s="238" t="s">
        <v>254</v>
      </c>
      <c r="Y114" s="239"/>
      <c r="Z114" s="239"/>
      <c r="AA114" s="240" t="s">
        <v>398</v>
      </c>
      <c r="AB114" s="1" t="s">
        <v>382</v>
      </c>
    </row>
    <row r="115" spans="1:28" ht="11.25" customHeight="1">
      <c r="A115" s="233">
        <v>41057</v>
      </c>
      <c r="B115" s="1" t="s">
        <v>378</v>
      </c>
      <c r="C115" s="1" t="s">
        <v>2071</v>
      </c>
      <c r="D115" s="1" t="s">
        <v>825</v>
      </c>
      <c r="E115" s="1" t="s">
        <v>2193</v>
      </c>
      <c r="F115" s="1">
        <v>200</v>
      </c>
      <c r="G115" s="1" t="s">
        <v>2194</v>
      </c>
      <c r="H115" s="234">
        <v>5.835</v>
      </c>
      <c r="I115" s="236">
        <f t="shared" si="8"/>
        <v>1167</v>
      </c>
      <c r="J115" s="351"/>
      <c r="K115" s="241">
        <v>1032</v>
      </c>
      <c r="L115" s="237">
        <v>41085</v>
      </c>
      <c r="M115" s="1" t="s">
        <v>2100</v>
      </c>
      <c r="N115" s="235">
        <f t="shared" si="5"/>
        <v>1167</v>
      </c>
      <c r="O115" s="235">
        <f t="shared" si="6"/>
        <v>0</v>
      </c>
      <c r="P115" s="238" t="s">
        <v>513</v>
      </c>
      <c r="Q115" s="1" t="s">
        <v>391</v>
      </c>
      <c r="R115" s="239" t="s">
        <v>403</v>
      </c>
      <c r="S115" s="238" t="s">
        <v>404</v>
      </c>
      <c r="V115" s="238" t="s">
        <v>254</v>
      </c>
      <c r="Y115" s="239"/>
      <c r="Z115" s="239"/>
      <c r="AA115" s="240" t="s">
        <v>398</v>
      </c>
      <c r="AB115" s="1" t="s">
        <v>2195</v>
      </c>
    </row>
    <row r="116" spans="1:28" ht="11.25" customHeight="1">
      <c r="A116" s="233">
        <v>41057</v>
      </c>
      <c r="B116" s="1" t="s">
        <v>514</v>
      </c>
      <c r="C116" s="1" t="s">
        <v>2071</v>
      </c>
      <c r="D116" s="1" t="s">
        <v>490</v>
      </c>
      <c r="E116" s="1">
        <v>3200</v>
      </c>
      <c r="F116" s="1">
        <v>4</v>
      </c>
      <c r="G116" s="1" t="s">
        <v>229</v>
      </c>
      <c r="H116" s="234">
        <v>70</v>
      </c>
      <c r="I116" s="236">
        <f t="shared" si="8"/>
        <v>280</v>
      </c>
      <c r="J116" s="351">
        <v>28.73</v>
      </c>
      <c r="K116" s="241">
        <f>45.14*F116</f>
        <v>180.56</v>
      </c>
      <c r="L116" s="237">
        <v>41057</v>
      </c>
      <c r="M116" s="1" t="s">
        <v>343</v>
      </c>
      <c r="N116" s="235">
        <f t="shared" si="5"/>
        <v>280</v>
      </c>
      <c r="O116" s="235">
        <f t="shared" si="6"/>
        <v>0</v>
      </c>
      <c r="P116" s="238" t="s">
        <v>515</v>
      </c>
      <c r="Q116" s="1" t="s">
        <v>402</v>
      </c>
      <c r="R116" s="239" t="s">
        <v>516</v>
      </c>
      <c r="S116" s="238" t="s">
        <v>517</v>
      </c>
      <c r="U116" s="238" t="s">
        <v>518</v>
      </c>
      <c r="V116" s="238" t="s">
        <v>254</v>
      </c>
      <c r="Y116" s="239"/>
      <c r="Z116" s="239"/>
      <c r="AA116" s="240" t="s">
        <v>398</v>
      </c>
      <c r="AB116" s="1" t="s">
        <v>382</v>
      </c>
    </row>
    <row r="117" spans="1:28" ht="11.25" customHeight="1">
      <c r="A117" s="233">
        <v>41057</v>
      </c>
      <c r="B117" s="1" t="s">
        <v>514</v>
      </c>
      <c r="C117" s="1" t="s">
        <v>2071</v>
      </c>
      <c r="D117" s="1" t="s">
        <v>353</v>
      </c>
      <c r="E117" s="1" t="s">
        <v>2102</v>
      </c>
      <c r="F117" s="1">
        <v>20</v>
      </c>
      <c r="G117" s="1" t="s">
        <v>229</v>
      </c>
      <c r="H117" s="234">
        <v>20</v>
      </c>
      <c r="I117" s="236">
        <f t="shared" si="8"/>
        <v>400</v>
      </c>
      <c r="J117" s="352" t="s">
        <v>6040</v>
      </c>
      <c r="K117" s="241">
        <f>13.33*3+12.93*17</f>
        <v>259.8</v>
      </c>
      <c r="L117" s="237">
        <v>41057</v>
      </c>
      <c r="M117" s="1" t="s">
        <v>343</v>
      </c>
      <c r="N117" s="235">
        <f t="shared" si="5"/>
        <v>400</v>
      </c>
      <c r="O117" s="235">
        <f t="shared" si="6"/>
        <v>0</v>
      </c>
      <c r="P117" s="238" t="s">
        <v>515</v>
      </c>
      <c r="Q117" s="1" t="s">
        <v>402</v>
      </c>
      <c r="R117" s="239" t="s">
        <v>516</v>
      </c>
      <c r="S117" s="238" t="s">
        <v>517</v>
      </c>
      <c r="U117" s="238" t="s">
        <v>518</v>
      </c>
      <c r="V117" s="238" t="s">
        <v>254</v>
      </c>
      <c r="Y117" s="239"/>
      <c r="Z117" s="239"/>
      <c r="AA117" s="240" t="s">
        <v>398</v>
      </c>
      <c r="AB117" s="1" t="s">
        <v>382</v>
      </c>
    </row>
    <row r="118" spans="1:28" ht="11.25" customHeight="1">
      <c r="A118" s="233">
        <v>41057</v>
      </c>
      <c r="B118" s="1" t="s">
        <v>514</v>
      </c>
      <c r="C118" s="1" t="s">
        <v>2071</v>
      </c>
      <c r="D118" s="1" t="s">
        <v>268</v>
      </c>
      <c r="E118" s="1" t="s">
        <v>2106</v>
      </c>
      <c r="F118" s="1">
        <v>40</v>
      </c>
      <c r="G118" s="1" t="s">
        <v>231</v>
      </c>
      <c r="H118" s="234">
        <v>2.1</v>
      </c>
      <c r="I118" s="236">
        <f t="shared" si="8"/>
        <v>84</v>
      </c>
      <c r="J118" s="352">
        <v>1.48</v>
      </c>
      <c r="K118" s="241">
        <f>1.48*F118</f>
        <v>59.2</v>
      </c>
      <c r="L118" s="237">
        <v>41057</v>
      </c>
      <c r="M118" s="1" t="s">
        <v>343</v>
      </c>
      <c r="N118" s="235">
        <f t="shared" si="5"/>
        <v>84</v>
      </c>
      <c r="O118" s="235">
        <f t="shared" si="6"/>
        <v>0</v>
      </c>
      <c r="P118" s="238" t="s">
        <v>515</v>
      </c>
      <c r="Q118" s="1" t="s">
        <v>402</v>
      </c>
      <c r="R118" s="239" t="s">
        <v>516</v>
      </c>
      <c r="S118" s="238" t="s">
        <v>517</v>
      </c>
      <c r="U118" s="238" t="s">
        <v>518</v>
      </c>
      <c r="V118" s="238" t="s">
        <v>254</v>
      </c>
      <c r="Y118" s="239"/>
      <c r="Z118" s="239"/>
      <c r="AA118" s="240" t="s">
        <v>398</v>
      </c>
      <c r="AB118" s="1" t="s">
        <v>382</v>
      </c>
    </row>
    <row r="119" spans="1:28" ht="11.25" customHeight="1">
      <c r="A119" s="233">
        <v>41057</v>
      </c>
      <c r="B119" s="1" t="s">
        <v>514</v>
      </c>
      <c r="C119" s="1" t="s">
        <v>2071</v>
      </c>
      <c r="D119" s="5" t="s">
        <v>2012</v>
      </c>
      <c r="E119" s="1" t="s">
        <v>2089</v>
      </c>
      <c r="F119" s="5">
        <v>500</v>
      </c>
      <c r="G119" s="1" t="s">
        <v>4970</v>
      </c>
      <c r="H119" s="234">
        <v>2.6</v>
      </c>
      <c r="I119" s="236">
        <f t="shared" si="8"/>
        <v>1300</v>
      </c>
      <c r="J119" s="351">
        <v>1.66</v>
      </c>
      <c r="K119" s="241">
        <f>1.66*F119</f>
        <v>830</v>
      </c>
      <c r="L119" s="237">
        <v>41057</v>
      </c>
      <c r="M119" s="1" t="s">
        <v>343</v>
      </c>
      <c r="N119" s="235">
        <f t="shared" si="5"/>
        <v>1300</v>
      </c>
      <c r="O119" s="235">
        <f t="shared" si="6"/>
        <v>0</v>
      </c>
      <c r="P119" s="238" t="s">
        <v>515</v>
      </c>
      <c r="Q119" s="1" t="s">
        <v>402</v>
      </c>
      <c r="R119" s="239" t="s">
        <v>516</v>
      </c>
      <c r="S119" s="238" t="s">
        <v>517</v>
      </c>
      <c r="U119" s="238" t="s">
        <v>518</v>
      </c>
      <c r="V119" s="238" t="s">
        <v>254</v>
      </c>
      <c r="Y119" s="239"/>
      <c r="Z119" s="239"/>
      <c r="AA119" s="240" t="s">
        <v>398</v>
      </c>
      <c r="AB119" s="1" t="s">
        <v>382</v>
      </c>
    </row>
    <row r="120" spans="1:28" ht="11.25" customHeight="1">
      <c r="A120" s="233">
        <v>41057</v>
      </c>
      <c r="B120" s="1" t="s">
        <v>514</v>
      </c>
      <c r="C120" s="1" t="s">
        <v>2071</v>
      </c>
      <c r="D120" s="1" t="s">
        <v>246</v>
      </c>
      <c r="E120" s="1">
        <v>4620</v>
      </c>
      <c r="F120" s="1">
        <v>5</v>
      </c>
      <c r="G120" s="1" t="s">
        <v>243</v>
      </c>
      <c r="H120" s="234">
        <v>26.4</v>
      </c>
      <c r="I120" s="236">
        <f t="shared" si="8"/>
        <v>132</v>
      </c>
      <c r="J120" s="351"/>
      <c r="K120" s="241">
        <f>17.79*F120</f>
        <v>88.949999999999989</v>
      </c>
      <c r="L120" s="237">
        <v>41057</v>
      </c>
      <c r="M120" s="1" t="s">
        <v>343</v>
      </c>
      <c r="N120" s="235">
        <f t="shared" si="5"/>
        <v>132</v>
      </c>
      <c r="O120" s="235">
        <f t="shared" si="6"/>
        <v>0</v>
      </c>
      <c r="P120" s="238" t="s">
        <v>515</v>
      </c>
      <c r="Q120" s="1" t="s">
        <v>402</v>
      </c>
      <c r="R120" s="239" t="s">
        <v>516</v>
      </c>
      <c r="S120" s="238" t="s">
        <v>517</v>
      </c>
      <c r="U120" s="238" t="s">
        <v>518</v>
      </c>
      <c r="V120" s="238" t="s">
        <v>254</v>
      </c>
      <c r="Y120" s="239"/>
      <c r="Z120" s="239"/>
      <c r="AA120" s="240" t="s">
        <v>398</v>
      </c>
      <c r="AB120" s="1" t="s">
        <v>382</v>
      </c>
    </row>
    <row r="121" spans="1:28" ht="11.25" customHeight="1">
      <c r="A121" s="233">
        <v>41057</v>
      </c>
      <c r="B121" s="1" t="s">
        <v>519</v>
      </c>
      <c r="C121" s="1" t="s">
        <v>2071</v>
      </c>
      <c r="D121" s="1" t="s">
        <v>490</v>
      </c>
      <c r="E121" s="1">
        <v>6200</v>
      </c>
      <c r="F121" s="1">
        <v>8</v>
      </c>
      <c r="G121" s="1" t="s">
        <v>236</v>
      </c>
      <c r="H121" s="234">
        <v>145</v>
      </c>
      <c r="I121" s="236">
        <f t="shared" si="8"/>
        <v>1160</v>
      </c>
      <c r="J121" s="354">
        <v>50</v>
      </c>
      <c r="K121" s="241" t="e">
        <f>#REF!*F121</f>
        <v>#REF!</v>
      </c>
      <c r="L121" s="237">
        <v>41057</v>
      </c>
      <c r="M121" s="1" t="s">
        <v>330</v>
      </c>
      <c r="N121" s="235">
        <f t="shared" si="5"/>
        <v>1160</v>
      </c>
      <c r="O121" s="235">
        <f t="shared" si="6"/>
        <v>0</v>
      </c>
      <c r="P121" s="238" t="s">
        <v>520</v>
      </c>
      <c r="Q121" s="1" t="s">
        <v>521</v>
      </c>
      <c r="R121" s="239" t="s">
        <v>522</v>
      </c>
      <c r="S121" s="238" t="s">
        <v>523</v>
      </c>
      <c r="U121" s="238" t="s">
        <v>524</v>
      </c>
      <c r="V121" s="238" t="s">
        <v>2196</v>
      </c>
      <c r="Y121" s="239"/>
      <c r="Z121" s="239"/>
      <c r="AA121" s="240" t="s">
        <v>398</v>
      </c>
      <c r="AB121" s="1" t="s">
        <v>382</v>
      </c>
    </row>
    <row r="122" spans="1:28" ht="11.25" customHeight="1">
      <c r="A122" s="233">
        <v>41057</v>
      </c>
      <c r="B122" s="1" t="s">
        <v>519</v>
      </c>
      <c r="C122" s="1" t="s">
        <v>2197</v>
      </c>
      <c r="D122" s="1" t="s">
        <v>353</v>
      </c>
      <c r="E122" s="1" t="s">
        <v>2198</v>
      </c>
      <c r="F122" s="1">
        <v>16</v>
      </c>
      <c r="G122" s="1" t="s">
        <v>229</v>
      </c>
      <c r="H122" s="234">
        <v>30</v>
      </c>
      <c r="I122" s="236">
        <f t="shared" si="8"/>
        <v>480</v>
      </c>
      <c r="J122" s="351">
        <v>19.559999999999999</v>
      </c>
      <c r="K122" s="241">
        <v>312.95999999999998</v>
      </c>
      <c r="L122" s="237">
        <v>41057</v>
      </c>
      <c r="M122" s="1" t="s">
        <v>330</v>
      </c>
      <c r="N122" s="235">
        <f t="shared" si="5"/>
        <v>480</v>
      </c>
      <c r="O122" s="235">
        <f t="shared" si="6"/>
        <v>0</v>
      </c>
      <c r="P122" s="238" t="s">
        <v>520</v>
      </c>
      <c r="Q122" s="1" t="s">
        <v>521</v>
      </c>
      <c r="R122" s="239" t="s">
        <v>522</v>
      </c>
      <c r="S122" s="238" t="s">
        <v>523</v>
      </c>
      <c r="U122" s="238" t="s">
        <v>524</v>
      </c>
      <c r="V122" s="238" t="s">
        <v>2196</v>
      </c>
      <c r="Y122" s="239"/>
      <c r="Z122" s="239"/>
      <c r="AA122" s="240" t="s">
        <v>398</v>
      </c>
      <c r="AB122" s="1" t="s">
        <v>382</v>
      </c>
    </row>
    <row r="123" spans="1:28" ht="11.25" customHeight="1">
      <c r="A123" s="233">
        <v>41057</v>
      </c>
      <c r="B123" s="1" t="s">
        <v>519</v>
      </c>
      <c r="C123" s="1" t="s">
        <v>2197</v>
      </c>
      <c r="D123" s="1" t="s">
        <v>232</v>
      </c>
      <c r="E123" s="1" t="s">
        <v>2199</v>
      </c>
      <c r="F123" s="1">
        <v>16</v>
      </c>
      <c r="G123" s="1" t="s">
        <v>231</v>
      </c>
      <c r="H123" s="234">
        <v>7.5</v>
      </c>
      <c r="I123" s="236">
        <v>120</v>
      </c>
      <c r="J123" s="351">
        <v>5.0999999999999996</v>
      </c>
      <c r="K123" s="241">
        <v>81.599999999999994</v>
      </c>
      <c r="L123" s="237">
        <v>41057</v>
      </c>
      <c r="M123" s="1" t="s">
        <v>330</v>
      </c>
      <c r="N123" s="235">
        <f t="shared" si="5"/>
        <v>120</v>
      </c>
      <c r="O123" s="235">
        <f t="shared" si="6"/>
        <v>0</v>
      </c>
      <c r="P123" s="238" t="s">
        <v>520</v>
      </c>
      <c r="Q123" s="1" t="s">
        <v>521</v>
      </c>
      <c r="R123" s="239" t="s">
        <v>522</v>
      </c>
      <c r="S123" s="238" t="s">
        <v>523</v>
      </c>
      <c r="U123" s="238" t="s">
        <v>524</v>
      </c>
      <c r="V123" s="238" t="s">
        <v>2196</v>
      </c>
      <c r="Y123" s="239"/>
      <c r="Z123" s="239"/>
      <c r="AA123" s="240" t="s">
        <v>398</v>
      </c>
      <c r="AB123" s="1" t="s">
        <v>382</v>
      </c>
    </row>
    <row r="124" spans="1:28" ht="11.25" customHeight="1">
      <c r="A124" s="233">
        <v>41057</v>
      </c>
      <c r="B124" s="1" t="s">
        <v>519</v>
      </c>
      <c r="C124" s="1" t="s">
        <v>2197</v>
      </c>
      <c r="D124" s="5" t="s">
        <v>2012</v>
      </c>
      <c r="E124" s="1" t="s">
        <v>2200</v>
      </c>
      <c r="F124" s="5">
        <v>500</v>
      </c>
      <c r="G124" s="1" t="s">
        <v>4970</v>
      </c>
      <c r="H124" s="234">
        <v>2.6</v>
      </c>
      <c r="I124" s="236">
        <f t="shared" si="8"/>
        <v>1300</v>
      </c>
      <c r="J124" s="351">
        <v>1.66</v>
      </c>
      <c r="K124" s="241">
        <f>1.66*F124</f>
        <v>830</v>
      </c>
      <c r="L124" s="237">
        <v>41057</v>
      </c>
      <c r="M124" s="1" t="s">
        <v>330</v>
      </c>
      <c r="N124" s="235">
        <f t="shared" si="5"/>
        <v>1300</v>
      </c>
      <c r="O124" s="235">
        <f t="shared" si="6"/>
        <v>0</v>
      </c>
      <c r="P124" s="238" t="s">
        <v>520</v>
      </c>
      <c r="Q124" s="1" t="s">
        <v>521</v>
      </c>
      <c r="R124" s="239" t="s">
        <v>522</v>
      </c>
      <c r="S124" s="238" t="s">
        <v>523</v>
      </c>
      <c r="U124" s="238" t="s">
        <v>524</v>
      </c>
      <c r="V124" s="238" t="s">
        <v>2196</v>
      </c>
      <c r="Y124" s="239"/>
      <c r="Z124" s="239"/>
      <c r="AA124" s="240" t="s">
        <v>398</v>
      </c>
      <c r="AB124" s="1" t="s">
        <v>382</v>
      </c>
    </row>
    <row r="125" spans="1:28" ht="11.25" customHeight="1">
      <c r="A125" s="233">
        <v>41057</v>
      </c>
      <c r="B125" s="1" t="s">
        <v>525</v>
      </c>
      <c r="C125" s="1" t="s">
        <v>2197</v>
      </c>
      <c r="D125" s="1" t="s">
        <v>490</v>
      </c>
      <c r="E125" s="1">
        <v>3200</v>
      </c>
      <c r="F125" s="1">
        <v>2</v>
      </c>
      <c r="G125" s="1" t="s">
        <v>229</v>
      </c>
      <c r="H125" s="234">
        <v>70</v>
      </c>
      <c r="I125" s="236">
        <f t="shared" si="8"/>
        <v>140</v>
      </c>
      <c r="J125" s="351">
        <v>11.96</v>
      </c>
      <c r="K125" s="241">
        <f>28.76*F125</f>
        <v>57.52</v>
      </c>
      <c r="L125" s="237">
        <v>41061</v>
      </c>
      <c r="M125" s="1" t="s">
        <v>330</v>
      </c>
      <c r="N125" s="235">
        <f t="shared" si="5"/>
        <v>140</v>
      </c>
      <c r="O125" s="235">
        <f t="shared" si="6"/>
        <v>0</v>
      </c>
      <c r="P125" s="238" t="s">
        <v>526</v>
      </c>
      <c r="Q125" s="1" t="s">
        <v>402</v>
      </c>
      <c r="R125" s="239" t="s">
        <v>527</v>
      </c>
      <c r="S125" s="238" t="s">
        <v>528</v>
      </c>
      <c r="U125" s="238" t="s">
        <v>529</v>
      </c>
      <c r="V125" s="238" t="s">
        <v>254</v>
      </c>
      <c r="Y125" s="239"/>
      <c r="Z125" s="239"/>
      <c r="AA125" s="240" t="s">
        <v>398</v>
      </c>
      <c r="AB125" s="1" t="s">
        <v>382</v>
      </c>
    </row>
    <row r="126" spans="1:28" ht="11.25" customHeight="1">
      <c r="A126" s="233">
        <v>41057</v>
      </c>
      <c r="B126" s="1" t="s">
        <v>525</v>
      </c>
      <c r="C126" s="1" t="s">
        <v>2071</v>
      </c>
      <c r="D126" s="5" t="s">
        <v>2012</v>
      </c>
      <c r="E126" s="1" t="s">
        <v>2089</v>
      </c>
      <c r="F126" s="5">
        <v>500</v>
      </c>
      <c r="G126" s="1" t="s">
        <v>4970</v>
      </c>
      <c r="H126" s="234">
        <v>2.6</v>
      </c>
      <c r="I126" s="236">
        <f t="shared" si="8"/>
        <v>1300</v>
      </c>
      <c r="J126" s="351" t="s">
        <v>6037</v>
      </c>
      <c r="K126" s="241">
        <f>1.66*400+1.62*100</f>
        <v>826</v>
      </c>
      <c r="L126" s="237">
        <v>41061</v>
      </c>
      <c r="M126" s="1" t="s">
        <v>330</v>
      </c>
      <c r="N126" s="235">
        <f t="shared" si="5"/>
        <v>1300</v>
      </c>
      <c r="O126" s="235">
        <f t="shared" si="6"/>
        <v>0</v>
      </c>
      <c r="P126" s="238" t="s">
        <v>526</v>
      </c>
      <c r="Q126" s="1" t="s">
        <v>402</v>
      </c>
      <c r="R126" s="239" t="s">
        <v>527</v>
      </c>
      <c r="S126" s="238" t="s">
        <v>528</v>
      </c>
      <c r="U126" s="238" t="s">
        <v>529</v>
      </c>
      <c r="V126" s="238" t="s">
        <v>254</v>
      </c>
      <c r="Y126" s="239"/>
      <c r="Z126" s="239"/>
      <c r="AA126" s="240" t="s">
        <v>398</v>
      </c>
      <c r="AB126" s="1" t="s">
        <v>382</v>
      </c>
    </row>
    <row r="127" spans="1:28" ht="11.25" customHeight="1">
      <c r="A127" s="233">
        <v>41057</v>
      </c>
      <c r="B127" s="1" t="s">
        <v>525</v>
      </c>
      <c r="C127" s="1" t="s">
        <v>2071</v>
      </c>
      <c r="D127" s="1" t="s">
        <v>681</v>
      </c>
      <c r="E127" s="1" t="s">
        <v>2192</v>
      </c>
      <c r="F127" s="1">
        <v>10</v>
      </c>
      <c r="G127" s="1" t="s">
        <v>239</v>
      </c>
      <c r="H127" s="234">
        <v>4.9000000000000004</v>
      </c>
      <c r="I127" s="236">
        <f t="shared" si="8"/>
        <v>49</v>
      </c>
      <c r="J127" s="351">
        <v>3.31</v>
      </c>
      <c r="K127" s="241">
        <f>3.31*F127</f>
        <v>33.1</v>
      </c>
      <c r="L127" s="237">
        <v>41061</v>
      </c>
      <c r="M127" s="1" t="s">
        <v>330</v>
      </c>
      <c r="N127" s="235">
        <f t="shared" si="5"/>
        <v>49</v>
      </c>
      <c r="O127" s="235">
        <f t="shared" si="6"/>
        <v>0</v>
      </c>
      <c r="P127" s="238" t="s">
        <v>526</v>
      </c>
      <c r="Q127" s="1" t="s">
        <v>402</v>
      </c>
      <c r="R127" s="239" t="s">
        <v>527</v>
      </c>
      <c r="S127" s="238" t="s">
        <v>528</v>
      </c>
      <c r="U127" s="238" t="s">
        <v>529</v>
      </c>
      <c r="V127" s="238" t="s">
        <v>254</v>
      </c>
      <c r="Y127" s="239"/>
      <c r="Z127" s="239"/>
      <c r="AA127" s="240" t="s">
        <v>398</v>
      </c>
      <c r="AB127" s="1" t="s">
        <v>382</v>
      </c>
    </row>
    <row r="128" spans="1:28" ht="11.25" customHeight="1">
      <c r="A128" s="233">
        <v>41057</v>
      </c>
      <c r="B128" s="1" t="s">
        <v>525</v>
      </c>
      <c r="C128" s="1" t="s">
        <v>2071</v>
      </c>
      <c r="D128" s="1" t="s">
        <v>2201</v>
      </c>
      <c r="E128" s="1">
        <v>4620</v>
      </c>
      <c r="F128" s="1">
        <v>6</v>
      </c>
      <c r="G128" s="1" t="s">
        <v>243</v>
      </c>
      <c r="H128" s="234">
        <v>27.5</v>
      </c>
      <c r="I128" s="236">
        <f t="shared" si="8"/>
        <v>165</v>
      </c>
      <c r="J128" s="351"/>
      <c r="K128" s="241">
        <f>17.79*F128</f>
        <v>106.74</v>
      </c>
      <c r="L128" s="237">
        <v>41061</v>
      </c>
      <c r="M128" s="1" t="s">
        <v>330</v>
      </c>
      <c r="N128" s="235">
        <f t="shared" si="5"/>
        <v>165</v>
      </c>
      <c r="O128" s="235">
        <f t="shared" si="6"/>
        <v>0</v>
      </c>
      <c r="P128" s="238" t="s">
        <v>526</v>
      </c>
      <c r="Q128" s="1" t="s">
        <v>402</v>
      </c>
      <c r="R128" s="239" t="s">
        <v>527</v>
      </c>
      <c r="S128" s="238" t="s">
        <v>528</v>
      </c>
      <c r="U128" s="238" t="s">
        <v>529</v>
      </c>
      <c r="V128" s="238" t="s">
        <v>254</v>
      </c>
      <c r="Y128" s="239"/>
      <c r="Z128" s="239"/>
      <c r="AA128" s="240" t="s">
        <v>398</v>
      </c>
      <c r="AB128" s="1" t="s">
        <v>382</v>
      </c>
    </row>
    <row r="129" spans="1:28" ht="11.25" customHeight="1">
      <c r="A129" s="233">
        <v>41057</v>
      </c>
      <c r="B129" s="1" t="s">
        <v>525</v>
      </c>
      <c r="C129" s="1" t="s">
        <v>2071</v>
      </c>
      <c r="D129" s="1" t="s">
        <v>266</v>
      </c>
      <c r="E129" s="1">
        <v>12308</v>
      </c>
      <c r="F129" s="1">
        <v>10</v>
      </c>
      <c r="G129" s="1" t="s">
        <v>239</v>
      </c>
      <c r="H129" s="234">
        <v>29</v>
      </c>
      <c r="I129" s="236">
        <f t="shared" si="8"/>
        <v>290</v>
      </c>
      <c r="J129" s="351"/>
      <c r="K129" s="241">
        <f>19.43*F129</f>
        <v>194.3</v>
      </c>
      <c r="L129" s="237">
        <v>41061</v>
      </c>
      <c r="M129" s="1" t="s">
        <v>330</v>
      </c>
      <c r="N129" s="235">
        <f t="shared" si="5"/>
        <v>290</v>
      </c>
      <c r="O129" s="235">
        <f t="shared" si="6"/>
        <v>0</v>
      </c>
      <c r="P129" s="238" t="s">
        <v>526</v>
      </c>
      <c r="Q129" s="1" t="s">
        <v>402</v>
      </c>
      <c r="R129" s="239" t="s">
        <v>527</v>
      </c>
      <c r="S129" s="238" t="s">
        <v>528</v>
      </c>
      <c r="U129" s="238" t="s">
        <v>529</v>
      </c>
      <c r="V129" s="238" t="s">
        <v>254</v>
      </c>
      <c r="Y129" s="239"/>
      <c r="Z129" s="239"/>
      <c r="AA129" s="240" t="s">
        <v>398</v>
      </c>
      <c r="AB129" s="1" t="s">
        <v>382</v>
      </c>
    </row>
    <row r="130" spans="1:28" ht="11.25" customHeight="1">
      <c r="A130" s="233">
        <v>41057</v>
      </c>
      <c r="B130" s="1" t="s">
        <v>525</v>
      </c>
      <c r="C130" s="1" t="s">
        <v>2071</v>
      </c>
      <c r="D130" s="1" t="s">
        <v>2202</v>
      </c>
      <c r="E130" s="1" t="s">
        <v>2203</v>
      </c>
      <c r="F130" s="1">
        <v>2</v>
      </c>
      <c r="G130" s="1" t="s">
        <v>239</v>
      </c>
      <c r="H130" s="234">
        <v>45</v>
      </c>
      <c r="I130" s="236">
        <f t="shared" si="8"/>
        <v>90</v>
      </c>
      <c r="J130" s="351"/>
      <c r="K130" s="241">
        <v>0</v>
      </c>
      <c r="L130" s="237">
        <v>41061</v>
      </c>
      <c r="M130" s="1" t="s">
        <v>330</v>
      </c>
      <c r="N130" s="235">
        <f t="shared" si="5"/>
        <v>90</v>
      </c>
      <c r="O130" s="235">
        <f t="shared" si="6"/>
        <v>0</v>
      </c>
      <c r="P130" s="238" t="s">
        <v>526</v>
      </c>
      <c r="Q130" s="1" t="s">
        <v>402</v>
      </c>
      <c r="R130" s="239" t="s">
        <v>527</v>
      </c>
      <c r="S130" s="238" t="s">
        <v>528</v>
      </c>
      <c r="U130" s="238" t="s">
        <v>529</v>
      </c>
      <c r="V130" s="238" t="s">
        <v>254</v>
      </c>
      <c r="Y130" s="239"/>
      <c r="Z130" s="239"/>
      <c r="AA130" s="240" t="s">
        <v>398</v>
      </c>
      <c r="AB130" s="1" t="s">
        <v>382</v>
      </c>
    </row>
    <row r="131" spans="1:28" ht="11.25" customHeight="1">
      <c r="A131" s="233">
        <v>41057</v>
      </c>
      <c r="B131" s="1" t="s">
        <v>530</v>
      </c>
      <c r="C131" s="1" t="s">
        <v>2071</v>
      </c>
      <c r="D131" s="1" t="s">
        <v>490</v>
      </c>
      <c r="E131" s="1">
        <v>3200</v>
      </c>
      <c r="F131" s="1">
        <v>2</v>
      </c>
      <c r="G131" s="1" t="s">
        <v>229</v>
      </c>
      <c r="H131" s="234">
        <v>75</v>
      </c>
      <c r="I131" s="236">
        <f t="shared" si="8"/>
        <v>150</v>
      </c>
      <c r="J131" s="351">
        <v>28.73</v>
      </c>
      <c r="K131" s="241">
        <f>43.54+45.26</f>
        <v>88.8</v>
      </c>
      <c r="L131" s="237">
        <v>41057</v>
      </c>
      <c r="M131" s="1" t="s">
        <v>343</v>
      </c>
      <c r="N131" s="235">
        <f t="shared" ref="N131:N194" si="9">I131</f>
        <v>150</v>
      </c>
      <c r="O131" s="235">
        <f t="shared" ref="O131:O194" si="10">I131-N131</f>
        <v>0</v>
      </c>
      <c r="P131" s="238" t="s">
        <v>531</v>
      </c>
      <c r="Q131" s="1" t="s">
        <v>521</v>
      </c>
      <c r="R131" s="239" t="s">
        <v>532</v>
      </c>
      <c r="S131" s="238" t="s">
        <v>533</v>
      </c>
      <c r="U131" s="238" t="s">
        <v>534</v>
      </c>
      <c r="V131" s="238" t="s">
        <v>254</v>
      </c>
      <c r="Y131" s="239"/>
      <c r="Z131" s="239"/>
      <c r="AA131" s="240" t="s">
        <v>398</v>
      </c>
      <c r="AB131" s="1" t="s">
        <v>382</v>
      </c>
    </row>
    <row r="132" spans="1:28" ht="11.25" customHeight="1">
      <c r="A132" s="233">
        <v>41057</v>
      </c>
      <c r="B132" s="1" t="s">
        <v>530</v>
      </c>
      <c r="C132" s="1" t="s">
        <v>2071</v>
      </c>
      <c r="D132" s="1" t="s">
        <v>353</v>
      </c>
      <c r="E132" s="1" t="s">
        <v>2102</v>
      </c>
      <c r="F132" s="1">
        <v>2</v>
      </c>
      <c r="G132" s="1" t="s">
        <v>229</v>
      </c>
      <c r="H132" s="234">
        <v>18</v>
      </c>
      <c r="I132" s="236">
        <f t="shared" si="8"/>
        <v>36</v>
      </c>
      <c r="J132" s="352">
        <v>13.33</v>
      </c>
      <c r="K132" s="241">
        <f>13.33*F132</f>
        <v>26.66</v>
      </c>
      <c r="L132" s="237">
        <v>41057</v>
      </c>
      <c r="M132" s="1" t="s">
        <v>343</v>
      </c>
      <c r="N132" s="235">
        <f t="shared" si="9"/>
        <v>36</v>
      </c>
      <c r="O132" s="235">
        <f t="shared" si="10"/>
        <v>0</v>
      </c>
      <c r="P132" s="238" t="s">
        <v>531</v>
      </c>
      <c r="Q132" s="1" t="s">
        <v>521</v>
      </c>
      <c r="R132" s="239" t="s">
        <v>532</v>
      </c>
      <c r="S132" s="238" t="s">
        <v>533</v>
      </c>
      <c r="U132" s="238" t="s">
        <v>534</v>
      </c>
      <c r="V132" s="238" t="s">
        <v>254</v>
      </c>
      <c r="Y132" s="239"/>
      <c r="Z132" s="239"/>
      <c r="AA132" s="240" t="s">
        <v>398</v>
      </c>
      <c r="AB132" s="1" t="s">
        <v>382</v>
      </c>
    </row>
    <row r="133" spans="1:28" ht="11.25" customHeight="1">
      <c r="A133" s="233">
        <v>41057</v>
      </c>
      <c r="B133" s="1" t="s">
        <v>530</v>
      </c>
      <c r="C133" s="1" t="s">
        <v>2071</v>
      </c>
      <c r="D133" s="1" t="s">
        <v>268</v>
      </c>
      <c r="E133" s="1" t="s">
        <v>2106</v>
      </c>
      <c r="F133" s="1">
        <v>2</v>
      </c>
      <c r="G133" s="1" t="s">
        <v>231</v>
      </c>
      <c r="H133" s="234">
        <v>2</v>
      </c>
      <c r="I133" s="236">
        <f t="shared" si="8"/>
        <v>4</v>
      </c>
      <c r="J133" s="352">
        <v>1.48</v>
      </c>
      <c r="K133" s="241">
        <f>1.48*F133</f>
        <v>2.96</v>
      </c>
      <c r="L133" s="237">
        <v>41057</v>
      </c>
      <c r="M133" s="1" t="s">
        <v>343</v>
      </c>
      <c r="N133" s="235">
        <f t="shared" si="9"/>
        <v>4</v>
      </c>
      <c r="O133" s="235">
        <f t="shared" si="10"/>
        <v>0</v>
      </c>
      <c r="P133" s="238" t="s">
        <v>531</v>
      </c>
      <c r="Q133" s="1" t="s">
        <v>521</v>
      </c>
      <c r="R133" s="239" t="s">
        <v>532</v>
      </c>
      <c r="S133" s="238" t="s">
        <v>533</v>
      </c>
      <c r="U133" s="238" t="s">
        <v>534</v>
      </c>
      <c r="V133" s="238" t="s">
        <v>254</v>
      </c>
      <c r="Y133" s="239"/>
      <c r="Z133" s="239"/>
      <c r="AA133" s="240" t="s">
        <v>398</v>
      </c>
      <c r="AB133" s="1" t="s">
        <v>382</v>
      </c>
    </row>
    <row r="134" spans="1:28" ht="11.25" customHeight="1">
      <c r="A134" s="233">
        <v>41057</v>
      </c>
      <c r="B134" s="1" t="s">
        <v>530</v>
      </c>
      <c r="C134" s="1" t="s">
        <v>2071</v>
      </c>
      <c r="D134" s="5" t="s">
        <v>2012</v>
      </c>
      <c r="E134" s="1" t="s">
        <v>2089</v>
      </c>
      <c r="F134" s="5">
        <v>50</v>
      </c>
      <c r="G134" s="1" t="s">
        <v>4970</v>
      </c>
      <c r="H134" s="234">
        <v>2.6</v>
      </c>
      <c r="I134" s="236">
        <f>F134*H134</f>
        <v>130</v>
      </c>
      <c r="J134" s="351">
        <v>1.62</v>
      </c>
      <c r="K134" s="241">
        <f>1.62*F134</f>
        <v>81</v>
      </c>
      <c r="L134" s="237">
        <v>41057</v>
      </c>
      <c r="M134" s="1" t="s">
        <v>343</v>
      </c>
      <c r="N134" s="235">
        <f t="shared" si="9"/>
        <v>130</v>
      </c>
      <c r="O134" s="235">
        <f t="shared" si="10"/>
        <v>0</v>
      </c>
      <c r="P134" s="238" t="s">
        <v>531</v>
      </c>
      <c r="Q134" s="1" t="s">
        <v>521</v>
      </c>
      <c r="R134" s="239" t="s">
        <v>532</v>
      </c>
      <c r="S134" s="238" t="s">
        <v>533</v>
      </c>
      <c r="U134" s="238" t="s">
        <v>534</v>
      </c>
      <c r="V134" s="238" t="s">
        <v>254</v>
      </c>
      <c r="Y134" s="239"/>
      <c r="Z134" s="239"/>
      <c r="AA134" s="240" t="s">
        <v>398</v>
      </c>
      <c r="AB134" s="1" t="s">
        <v>382</v>
      </c>
    </row>
    <row r="135" spans="1:28" ht="11.25" customHeight="1">
      <c r="A135" s="233">
        <v>41057</v>
      </c>
      <c r="B135" s="1" t="s">
        <v>535</v>
      </c>
      <c r="C135" s="1" t="s">
        <v>2071</v>
      </c>
      <c r="D135" s="1" t="s">
        <v>490</v>
      </c>
      <c r="E135" s="1">
        <v>6200</v>
      </c>
      <c r="F135" s="1">
        <v>1</v>
      </c>
      <c r="G135" s="1" t="s">
        <v>236</v>
      </c>
      <c r="H135" s="234">
        <v>145</v>
      </c>
      <c r="I135" s="236">
        <f t="shared" si="8"/>
        <v>145</v>
      </c>
      <c r="J135" s="354">
        <v>50</v>
      </c>
      <c r="K135" s="241" t="e">
        <f>#REF!*F135</f>
        <v>#REF!</v>
      </c>
      <c r="L135" s="237">
        <v>41057</v>
      </c>
      <c r="M135" s="1" t="s">
        <v>327</v>
      </c>
      <c r="N135" s="235">
        <f t="shared" si="9"/>
        <v>145</v>
      </c>
      <c r="O135" s="235">
        <f t="shared" si="10"/>
        <v>0</v>
      </c>
      <c r="P135" s="238" t="s">
        <v>536</v>
      </c>
      <c r="Q135" s="1" t="s">
        <v>402</v>
      </c>
      <c r="R135" s="239" t="s">
        <v>2204</v>
      </c>
      <c r="S135" s="238" t="s">
        <v>537</v>
      </c>
      <c r="U135" s="238" t="s">
        <v>538</v>
      </c>
      <c r="V135" s="238" t="s">
        <v>254</v>
      </c>
      <c r="Y135" s="239"/>
      <c r="Z135" s="239"/>
      <c r="AA135" s="240" t="s">
        <v>398</v>
      </c>
      <c r="AB135" s="1" t="s">
        <v>382</v>
      </c>
    </row>
    <row r="136" spans="1:28" ht="11.25" customHeight="1">
      <c r="A136" s="233">
        <v>41057</v>
      </c>
      <c r="B136" s="1" t="s">
        <v>535</v>
      </c>
      <c r="C136" s="1" t="s">
        <v>2071</v>
      </c>
      <c r="D136" s="1" t="s">
        <v>353</v>
      </c>
      <c r="E136" s="1" t="s">
        <v>2072</v>
      </c>
      <c r="F136" s="1">
        <v>2</v>
      </c>
      <c r="G136" s="1" t="s">
        <v>229</v>
      </c>
      <c r="H136" s="234">
        <v>30</v>
      </c>
      <c r="I136" s="236">
        <f t="shared" si="8"/>
        <v>60</v>
      </c>
      <c r="J136" s="351">
        <v>19.86</v>
      </c>
      <c r="K136" s="241">
        <v>39.72</v>
      </c>
      <c r="L136" s="237">
        <v>41057</v>
      </c>
      <c r="M136" s="1" t="s">
        <v>327</v>
      </c>
      <c r="N136" s="235">
        <f t="shared" si="9"/>
        <v>60</v>
      </c>
      <c r="O136" s="235">
        <f t="shared" si="10"/>
        <v>0</v>
      </c>
      <c r="P136" s="238" t="s">
        <v>536</v>
      </c>
      <c r="Q136" s="1" t="s">
        <v>402</v>
      </c>
      <c r="R136" s="239" t="s">
        <v>2204</v>
      </c>
      <c r="S136" s="238" t="s">
        <v>537</v>
      </c>
      <c r="U136" s="238" t="s">
        <v>538</v>
      </c>
      <c r="V136" s="238" t="s">
        <v>254</v>
      </c>
      <c r="Y136" s="239"/>
      <c r="Z136" s="239"/>
      <c r="AA136" s="240" t="s">
        <v>398</v>
      </c>
      <c r="AB136" s="1" t="s">
        <v>382</v>
      </c>
    </row>
    <row r="137" spans="1:28" ht="11.25" customHeight="1">
      <c r="A137" s="233">
        <v>41057</v>
      </c>
      <c r="B137" s="1" t="s">
        <v>535</v>
      </c>
      <c r="C137" s="1" t="s">
        <v>2071</v>
      </c>
      <c r="D137" s="1" t="s">
        <v>232</v>
      </c>
      <c r="E137" s="1" t="s">
        <v>2076</v>
      </c>
      <c r="F137" s="1">
        <v>2</v>
      </c>
      <c r="G137" s="1" t="s">
        <v>231</v>
      </c>
      <c r="H137" s="234">
        <v>7.5</v>
      </c>
      <c r="I137" s="236">
        <f t="shared" si="8"/>
        <v>15</v>
      </c>
      <c r="J137" s="351">
        <v>5.0999999999999996</v>
      </c>
      <c r="K137" s="241">
        <v>10.199999999999999</v>
      </c>
      <c r="L137" s="237">
        <v>41057</v>
      </c>
      <c r="M137" s="1" t="s">
        <v>327</v>
      </c>
      <c r="N137" s="235">
        <f t="shared" si="9"/>
        <v>15</v>
      </c>
      <c r="O137" s="235">
        <f t="shared" si="10"/>
        <v>0</v>
      </c>
      <c r="P137" s="238" t="s">
        <v>536</v>
      </c>
      <c r="Q137" s="1" t="s">
        <v>402</v>
      </c>
      <c r="R137" s="239" t="s">
        <v>2204</v>
      </c>
      <c r="S137" s="238" t="s">
        <v>537</v>
      </c>
      <c r="U137" s="238" t="s">
        <v>538</v>
      </c>
      <c r="V137" s="238" t="s">
        <v>254</v>
      </c>
      <c r="Y137" s="239"/>
      <c r="Z137" s="239"/>
      <c r="AA137" s="240" t="s">
        <v>398</v>
      </c>
      <c r="AB137" s="1" t="s">
        <v>382</v>
      </c>
    </row>
    <row r="138" spans="1:28" ht="11.25" customHeight="1">
      <c r="A138" s="233">
        <v>41057</v>
      </c>
      <c r="B138" s="1" t="s">
        <v>535</v>
      </c>
      <c r="C138" s="1" t="s">
        <v>2071</v>
      </c>
      <c r="D138" s="5" t="s">
        <v>2012</v>
      </c>
      <c r="E138" s="1" t="s">
        <v>2089</v>
      </c>
      <c r="F138" s="5">
        <v>100</v>
      </c>
      <c r="G138" s="1" t="s">
        <v>4970</v>
      </c>
      <c r="H138" s="234">
        <v>2.6</v>
      </c>
      <c r="I138" s="236">
        <f t="shared" si="8"/>
        <v>260</v>
      </c>
      <c r="J138" s="351">
        <v>1.62</v>
      </c>
      <c r="K138" s="241">
        <f>1.62*F138</f>
        <v>162</v>
      </c>
      <c r="L138" s="237">
        <v>41057</v>
      </c>
      <c r="M138" s="1" t="s">
        <v>327</v>
      </c>
      <c r="N138" s="235">
        <f t="shared" si="9"/>
        <v>260</v>
      </c>
      <c r="O138" s="235">
        <f t="shared" si="10"/>
        <v>0</v>
      </c>
      <c r="P138" s="238" t="s">
        <v>536</v>
      </c>
      <c r="Q138" s="1" t="s">
        <v>402</v>
      </c>
      <c r="R138" s="239" t="s">
        <v>2204</v>
      </c>
      <c r="S138" s="238" t="s">
        <v>537</v>
      </c>
      <c r="U138" s="238" t="s">
        <v>538</v>
      </c>
      <c r="V138" s="238" t="s">
        <v>254</v>
      </c>
      <c r="Y138" s="239"/>
      <c r="Z138" s="239"/>
      <c r="AA138" s="240" t="s">
        <v>398</v>
      </c>
      <c r="AB138" s="1" t="s">
        <v>382</v>
      </c>
    </row>
    <row r="139" spans="1:28" ht="11.25" customHeight="1">
      <c r="A139" s="233">
        <v>41057</v>
      </c>
      <c r="B139" s="1" t="s">
        <v>535</v>
      </c>
      <c r="C139" s="1" t="s">
        <v>2071</v>
      </c>
      <c r="D139" s="1" t="s">
        <v>681</v>
      </c>
      <c r="E139" s="1" t="s">
        <v>2192</v>
      </c>
      <c r="F139" s="1">
        <v>10</v>
      </c>
      <c r="G139" s="1" t="s">
        <v>239</v>
      </c>
      <c r="H139" s="234">
        <v>4.9000000000000004</v>
      </c>
      <c r="I139" s="236">
        <f t="shared" si="8"/>
        <v>49</v>
      </c>
      <c r="J139" s="351">
        <v>3.31</v>
      </c>
      <c r="K139" s="241">
        <f>3.31*H139</f>
        <v>16.219000000000001</v>
      </c>
      <c r="L139" s="237">
        <v>41057</v>
      </c>
      <c r="M139" s="1" t="s">
        <v>327</v>
      </c>
      <c r="N139" s="235">
        <f t="shared" si="9"/>
        <v>49</v>
      </c>
      <c r="O139" s="235">
        <f t="shared" si="10"/>
        <v>0</v>
      </c>
      <c r="P139" s="238" t="s">
        <v>536</v>
      </c>
      <c r="Q139" s="1" t="s">
        <v>402</v>
      </c>
      <c r="R139" s="239" t="s">
        <v>2204</v>
      </c>
      <c r="S139" s="238" t="s">
        <v>537</v>
      </c>
      <c r="U139" s="238" t="s">
        <v>538</v>
      </c>
      <c r="V139" s="238" t="s">
        <v>254</v>
      </c>
      <c r="Y139" s="239"/>
      <c r="Z139" s="239"/>
      <c r="AA139" s="240" t="s">
        <v>398</v>
      </c>
      <c r="AB139" s="1" t="s">
        <v>382</v>
      </c>
    </row>
    <row r="140" spans="1:28" ht="11.25" customHeight="1">
      <c r="A140" s="233">
        <v>41057</v>
      </c>
      <c r="B140" s="1" t="s">
        <v>535</v>
      </c>
      <c r="C140" s="1" t="s">
        <v>2071</v>
      </c>
      <c r="D140" s="1" t="s">
        <v>6623</v>
      </c>
      <c r="E140" s="1" t="s">
        <v>2093</v>
      </c>
      <c r="F140" s="1">
        <v>5</v>
      </c>
      <c r="G140" s="1" t="s">
        <v>239</v>
      </c>
      <c r="H140" s="234">
        <v>23</v>
      </c>
      <c r="I140" s="236">
        <f t="shared" si="8"/>
        <v>115</v>
      </c>
      <c r="J140" s="351"/>
      <c r="K140" s="241">
        <f>15.41*F140</f>
        <v>77.05</v>
      </c>
      <c r="L140" s="237">
        <v>41057</v>
      </c>
      <c r="M140" s="1" t="s">
        <v>327</v>
      </c>
      <c r="N140" s="235">
        <f t="shared" si="9"/>
        <v>115</v>
      </c>
      <c r="O140" s="235">
        <f t="shared" si="10"/>
        <v>0</v>
      </c>
      <c r="P140" s="238" t="s">
        <v>536</v>
      </c>
      <c r="Q140" s="1" t="s">
        <v>402</v>
      </c>
      <c r="R140" s="239" t="s">
        <v>2204</v>
      </c>
      <c r="S140" s="238" t="s">
        <v>537</v>
      </c>
      <c r="U140" s="238" t="s">
        <v>538</v>
      </c>
      <c r="V140" s="238" t="s">
        <v>254</v>
      </c>
      <c r="Y140" s="239"/>
      <c r="Z140" s="239"/>
      <c r="AA140" s="240" t="s">
        <v>398</v>
      </c>
      <c r="AB140" s="1" t="s">
        <v>382</v>
      </c>
    </row>
    <row r="141" spans="1:28" ht="11.25" customHeight="1">
      <c r="A141" s="233">
        <v>41059</v>
      </c>
      <c r="B141" s="1" t="s">
        <v>381</v>
      </c>
      <c r="C141" s="1" t="s">
        <v>2071</v>
      </c>
      <c r="D141" s="5" t="s">
        <v>2012</v>
      </c>
      <c r="E141" s="1" t="s">
        <v>2089</v>
      </c>
      <c r="F141" s="5">
        <v>300</v>
      </c>
      <c r="G141" s="1" t="s">
        <v>4970</v>
      </c>
      <c r="H141" s="234">
        <v>2.68</v>
      </c>
      <c r="I141" s="236">
        <f t="shared" si="8"/>
        <v>804</v>
      </c>
      <c r="J141" s="351">
        <v>1.66</v>
      </c>
      <c r="K141" s="241">
        <f>1.66*F141</f>
        <v>498</v>
      </c>
      <c r="L141" s="237">
        <v>41059</v>
      </c>
      <c r="M141" s="1" t="s">
        <v>300</v>
      </c>
      <c r="N141" s="235">
        <f t="shared" si="9"/>
        <v>804</v>
      </c>
      <c r="O141" s="235">
        <f t="shared" si="10"/>
        <v>0</v>
      </c>
      <c r="P141" s="238" t="s">
        <v>539</v>
      </c>
      <c r="Q141" s="1" t="s">
        <v>427</v>
      </c>
      <c r="R141" s="239" t="s">
        <v>2205</v>
      </c>
      <c r="S141" s="238" t="s">
        <v>448</v>
      </c>
      <c r="T141" s="238" t="s">
        <v>2206</v>
      </c>
      <c r="V141" s="238" t="s">
        <v>2207</v>
      </c>
      <c r="W141" s="236">
        <v>1072</v>
      </c>
      <c r="X141" s="233">
        <v>41120</v>
      </c>
      <c r="Y141" s="238" t="s">
        <v>2208</v>
      </c>
      <c r="Z141" s="238"/>
      <c r="AA141" s="240" t="s">
        <v>2209</v>
      </c>
      <c r="AB141" s="1" t="s">
        <v>382</v>
      </c>
    </row>
    <row r="142" spans="1:28" ht="11.25" customHeight="1">
      <c r="A142" s="233">
        <v>41060</v>
      </c>
      <c r="B142" s="1" t="s">
        <v>540</v>
      </c>
      <c r="C142" s="1" t="s">
        <v>2071</v>
      </c>
      <c r="D142" s="5" t="s">
        <v>2012</v>
      </c>
      <c r="E142" s="1" t="s">
        <v>2089</v>
      </c>
      <c r="F142" s="5">
        <v>100</v>
      </c>
      <c r="G142" s="1" t="s">
        <v>4970</v>
      </c>
      <c r="H142" s="234">
        <v>2.6</v>
      </c>
      <c r="I142" s="236">
        <f t="shared" si="8"/>
        <v>260</v>
      </c>
      <c r="J142" s="351">
        <v>1.6</v>
      </c>
      <c r="K142" s="241">
        <f>1.6*F142</f>
        <v>160</v>
      </c>
      <c r="L142" s="237">
        <v>41060</v>
      </c>
      <c r="M142" s="1" t="s">
        <v>300</v>
      </c>
      <c r="N142" s="235">
        <f t="shared" si="9"/>
        <v>260</v>
      </c>
      <c r="O142" s="235">
        <f t="shared" si="10"/>
        <v>0</v>
      </c>
      <c r="P142" s="238" t="s">
        <v>541</v>
      </c>
      <c r="Q142" s="1" t="s">
        <v>2210</v>
      </c>
      <c r="R142" s="239" t="s">
        <v>542</v>
      </c>
      <c r="S142" s="238" t="s">
        <v>543</v>
      </c>
      <c r="V142" s="238" t="s">
        <v>254</v>
      </c>
      <c r="Y142" s="239"/>
      <c r="Z142" s="239"/>
      <c r="AB142" s="1" t="s">
        <v>382</v>
      </c>
    </row>
    <row r="143" spans="1:28" ht="11.25" customHeight="1">
      <c r="A143" s="233">
        <v>41060</v>
      </c>
      <c r="B143" s="1" t="s">
        <v>540</v>
      </c>
      <c r="C143" s="1" t="s">
        <v>2071</v>
      </c>
      <c r="D143" s="5" t="s">
        <v>2211</v>
      </c>
      <c r="E143" s="1">
        <v>7502</v>
      </c>
      <c r="F143" s="5">
        <v>2</v>
      </c>
      <c r="G143" s="1" t="s">
        <v>229</v>
      </c>
      <c r="H143" s="234">
        <v>179</v>
      </c>
      <c r="I143" s="236">
        <f t="shared" si="8"/>
        <v>358</v>
      </c>
      <c r="J143" s="351"/>
      <c r="K143" s="241">
        <v>0</v>
      </c>
      <c r="L143" s="237">
        <v>41060</v>
      </c>
      <c r="M143" s="1" t="s">
        <v>300</v>
      </c>
      <c r="N143" s="235">
        <f t="shared" si="9"/>
        <v>358</v>
      </c>
      <c r="O143" s="235">
        <f t="shared" si="10"/>
        <v>0</v>
      </c>
      <c r="P143" s="238" t="s">
        <v>541</v>
      </c>
      <c r="Q143" s="1" t="s">
        <v>2210</v>
      </c>
      <c r="R143" s="239" t="s">
        <v>542</v>
      </c>
      <c r="S143" s="238" t="s">
        <v>543</v>
      </c>
      <c r="V143" s="238" t="s">
        <v>254</v>
      </c>
      <c r="Y143" s="239"/>
      <c r="Z143" s="239"/>
      <c r="AB143" s="1" t="s">
        <v>382</v>
      </c>
    </row>
    <row r="144" spans="1:28" ht="11.25" customHeight="1">
      <c r="A144" s="233">
        <v>41060</v>
      </c>
      <c r="B144" s="1" t="s">
        <v>540</v>
      </c>
      <c r="C144" s="1" t="s">
        <v>2071</v>
      </c>
      <c r="D144" s="1" t="s">
        <v>353</v>
      </c>
      <c r="E144" s="1" t="s">
        <v>2072</v>
      </c>
      <c r="F144" s="5">
        <v>4</v>
      </c>
      <c r="G144" s="1" t="s">
        <v>229</v>
      </c>
      <c r="H144" s="234">
        <v>30</v>
      </c>
      <c r="I144" s="236">
        <f t="shared" si="8"/>
        <v>120</v>
      </c>
      <c r="J144" s="351">
        <v>19</v>
      </c>
      <c r="K144" s="241">
        <f>19*F144</f>
        <v>76</v>
      </c>
      <c r="L144" s="237">
        <v>41060</v>
      </c>
      <c r="M144" s="1" t="s">
        <v>300</v>
      </c>
      <c r="N144" s="235">
        <f t="shared" si="9"/>
        <v>120</v>
      </c>
      <c r="O144" s="235">
        <f t="shared" si="10"/>
        <v>0</v>
      </c>
      <c r="P144" s="238" t="s">
        <v>541</v>
      </c>
      <c r="Q144" s="1" t="s">
        <v>2210</v>
      </c>
      <c r="R144" s="239" t="s">
        <v>542</v>
      </c>
      <c r="S144" s="238" t="s">
        <v>543</v>
      </c>
      <c r="V144" s="238" t="s">
        <v>254</v>
      </c>
      <c r="Y144" s="239"/>
      <c r="Z144" s="239"/>
      <c r="AB144" s="1" t="s">
        <v>382</v>
      </c>
    </row>
    <row r="145" spans="1:28" ht="11.25" customHeight="1">
      <c r="A145" s="233">
        <v>41060</v>
      </c>
      <c r="B145" s="1" t="s">
        <v>540</v>
      </c>
      <c r="C145" s="1" t="s">
        <v>2071</v>
      </c>
      <c r="D145" s="1" t="s">
        <v>232</v>
      </c>
      <c r="E145" s="1" t="s">
        <v>2076</v>
      </c>
      <c r="F145" s="5">
        <v>10</v>
      </c>
      <c r="G145" s="1" t="s">
        <v>231</v>
      </c>
      <c r="H145" s="234">
        <v>8</v>
      </c>
      <c r="I145" s="236">
        <f t="shared" si="8"/>
        <v>80</v>
      </c>
      <c r="J145" s="351">
        <v>5.0999999999999996</v>
      </c>
      <c r="K145" s="241">
        <f>5.1*F145</f>
        <v>51</v>
      </c>
      <c r="L145" s="237">
        <v>41060</v>
      </c>
      <c r="M145" s="1" t="s">
        <v>300</v>
      </c>
      <c r="N145" s="235">
        <f t="shared" si="9"/>
        <v>80</v>
      </c>
      <c r="O145" s="235">
        <f t="shared" si="10"/>
        <v>0</v>
      </c>
      <c r="P145" s="238" t="s">
        <v>541</v>
      </c>
      <c r="Q145" s="1" t="s">
        <v>2210</v>
      </c>
      <c r="R145" s="239" t="s">
        <v>542</v>
      </c>
      <c r="S145" s="238" t="s">
        <v>543</v>
      </c>
      <c r="V145" s="238" t="s">
        <v>254</v>
      </c>
      <c r="Y145" s="239"/>
      <c r="Z145" s="239"/>
      <c r="AB145" s="1" t="s">
        <v>382</v>
      </c>
    </row>
    <row r="146" spans="1:28" ht="11.25" customHeight="1">
      <c r="A146" s="233">
        <v>41060</v>
      </c>
      <c r="B146" s="1" t="s">
        <v>540</v>
      </c>
      <c r="C146" s="1" t="s">
        <v>2071</v>
      </c>
      <c r="D146" s="1" t="s">
        <v>263</v>
      </c>
      <c r="E146" s="1">
        <v>501</v>
      </c>
      <c r="F146" s="5">
        <v>4</v>
      </c>
      <c r="G146" s="1" t="s">
        <v>229</v>
      </c>
      <c r="H146" s="234">
        <v>2</v>
      </c>
      <c r="I146" s="236">
        <f t="shared" si="8"/>
        <v>8</v>
      </c>
      <c r="J146" s="351">
        <v>1.4</v>
      </c>
      <c r="K146" s="241">
        <f>1.4*F146</f>
        <v>5.6</v>
      </c>
      <c r="L146" s="237">
        <v>41060</v>
      </c>
      <c r="M146" s="1" t="s">
        <v>300</v>
      </c>
      <c r="N146" s="235">
        <f t="shared" si="9"/>
        <v>8</v>
      </c>
      <c r="O146" s="235">
        <f t="shared" si="10"/>
        <v>0</v>
      </c>
      <c r="P146" s="238" t="s">
        <v>541</v>
      </c>
      <c r="Q146" s="1" t="s">
        <v>2212</v>
      </c>
      <c r="R146" s="239" t="s">
        <v>542</v>
      </c>
      <c r="S146" s="238" t="s">
        <v>543</v>
      </c>
      <c r="V146" s="238" t="s">
        <v>254</v>
      </c>
      <c r="Y146" s="239"/>
      <c r="Z146" s="239"/>
      <c r="AB146" s="1" t="s">
        <v>382</v>
      </c>
    </row>
    <row r="147" spans="1:28" ht="11.25" customHeight="1">
      <c r="A147" s="233">
        <v>41060</v>
      </c>
      <c r="B147" s="1" t="s">
        <v>540</v>
      </c>
      <c r="C147" s="1" t="s">
        <v>2071</v>
      </c>
      <c r="D147" s="1" t="s">
        <v>2202</v>
      </c>
      <c r="E147" s="1" t="s">
        <v>2203</v>
      </c>
      <c r="F147" s="5">
        <v>1</v>
      </c>
      <c r="G147" s="1" t="s">
        <v>239</v>
      </c>
      <c r="H147" s="234">
        <v>49</v>
      </c>
      <c r="I147" s="236">
        <f t="shared" si="8"/>
        <v>49</v>
      </c>
      <c r="J147" s="351">
        <v>30.15</v>
      </c>
      <c r="K147" s="241">
        <v>30.15</v>
      </c>
      <c r="L147" s="237">
        <v>41060</v>
      </c>
      <c r="M147" s="1" t="s">
        <v>300</v>
      </c>
      <c r="N147" s="235">
        <f t="shared" si="9"/>
        <v>49</v>
      </c>
      <c r="O147" s="235">
        <f t="shared" si="10"/>
        <v>0</v>
      </c>
      <c r="P147" s="238" t="s">
        <v>541</v>
      </c>
      <c r="Q147" s="1" t="s">
        <v>2210</v>
      </c>
      <c r="R147" s="239" t="s">
        <v>542</v>
      </c>
      <c r="S147" s="238" t="s">
        <v>543</v>
      </c>
      <c r="V147" s="238" t="s">
        <v>254</v>
      </c>
      <c r="Y147" s="239"/>
      <c r="Z147" s="239"/>
      <c r="AB147" s="1" t="s">
        <v>382</v>
      </c>
    </row>
    <row r="148" spans="1:28" ht="11.25" customHeight="1">
      <c r="A148" s="233">
        <v>41060</v>
      </c>
      <c r="B148" s="1" t="s">
        <v>545</v>
      </c>
      <c r="C148" s="1" t="s">
        <v>2071</v>
      </c>
      <c r="D148" s="5" t="s">
        <v>2012</v>
      </c>
      <c r="E148" s="1" t="s">
        <v>2089</v>
      </c>
      <c r="F148" s="5">
        <v>100</v>
      </c>
      <c r="G148" s="1" t="s">
        <v>4970</v>
      </c>
      <c r="H148" s="234">
        <v>2.6</v>
      </c>
      <c r="I148" s="236">
        <f t="shared" si="8"/>
        <v>260</v>
      </c>
      <c r="J148" s="351">
        <v>1.6</v>
      </c>
      <c r="K148" s="241">
        <v>160</v>
      </c>
      <c r="L148" s="237">
        <v>41060</v>
      </c>
      <c r="M148" s="1" t="s">
        <v>300</v>
      </c>
      <c r="N148" s="235">
        <f t="shared" si="9"/>
        <v>260</v>
      </c>
      <c r="O148" s="235">
        <f t="shared" si="10"/>
        <v>0</v>
      </c>
      <c r="P148" s="238" t="s">
        <v>546</v>
      </c>
      <c r="Q148" s="1" t="s">
        <v>2210</v>
      </c>
      <c r="R148" s="239" t="s">
        <v>547</v>
      </c>
      <c r="S148" s="238" t="s">
        <v>548</v>
      </c>
      <c r="V148" s="238" t="s">
        <v>254</v>
      </c>
      <c r="Y148" s="239"/>
      <c r="Z148" s="239"/>
      <c r="AB148" s="1" t="s">
        <v>382</v>
      </c>
    </row>
    <row r="149" spans="1:28" ht="11.25" customHeight="1">
      <c r="A149" s="233">
        <v>41060</v>
      </c>
      <c r="B149" s="1" t="s">
        <v>549</v>
      </c>
      <c r="C149" s="1" t="s">
        <v>2071</v>
      </c>
      <c r="D149" s="1" t="s">
        <v>240</v>
      </c>
      <c r="E149" s="1">
        <v>6200</v>
      </c>
      <c r="F149" s="5">
        <v>2</v>
      </c>
      <c r="G149" s="1" t="s">
        <v>229</v>
      </c>
      <c r="H149" s="234">
        <v>86</v>
      </c>
      <c r="I149" s="236">
        <f t="shared" si="8"/>
        <v>172</v>
      </c>
      <c r="J149" s="354">
        <v>45.8</v>
      </c>
      <c r="K149" s="241" t="e">
        <f>#REF!*F149</f>
        <v>#REF!</v>
      </c>
      <c r="L149" s="237">
        <v>41060</v>
      </c>
      <c r="M149" s="1" t="s">
        <v>300</v>
      </c>
      <c r="N149" s="235">
        <f t="shared" si="9"/>
        <v>172</v>
      </c>
      <c r="O149" s="235">
        <f t="shared" si="10"/>
        <v>0</v>
      </c>
      <c r="P149" s="238" t="s">
        <v>550</v>
      </c>
      <c r="Q149" s="1" t="s">
        <v>2210</v>
      </c>
      <c r="R149" s="239" t="s">
        <v>551</v>
      </c>
      <c r="S149" s="238" t="s">
        <v>552</v>
      </c>
      <c r="V149" s="238" t="s">
        <v>254</v>
      </c>
      <c r="Y149" s="239"/>
      <c r="Z149" s="239"/>
      <c r="AB149" s="1" t="s">
        <v>382</v>
      </c>
    </row>
    <row r="150" spans="1:28" ht="11.25" customHeight="1">
      <c r="A150" s="233">
        <v>41060</v>
      </c>
      <c r="B150" s="1" t="s">
        <v>549</v>
      </c>
      <c r="C150" s="1" t="s">
        <v>2071</v>
      </c>
      <c r="D150" s="1" t="s">
        <v>353</v>
      </c>
      <c r="E150" s="1" t="s">
        <v>2072</v>
      </c>
      <c r="F150" s="5">
        <v>4</v>
      </c>
      <c r="G150" s="1" t="s">
        <v>229</v>
      </c>
      <c r="H150" s="234">
        <v>30</v>
      </c>
      <c r="I150" s="236">
        <f t="shared" si="8"/>
        <v>120</v>
      </c>
      <c r="J150" s="351">
        <v>19</v>
      </c>
      <c r="K150" s="241">
        <f>19*F150</f>
        <v>76</v>
      </c>
      <c r="L150" s="237">
        <v>41060</v>
      </c>
      <c r="M150" s="1" t="s">
        <v>300</v>
      </c>
      <c r="N150" s="235">
        <f t="shared" si="9"/>
        <v>120</v>
      </c>
      <c r="O150" s="235">
        <f t="shared" si="10"/>
        <v>0</v>
      </c>
      <c r="P150" s="238" t="s">
        <v>550</v>
      </c>
      <c r="Q150" s="1" t="s">
        <v>2210</v>
      </c>
      <c r="R150" s="239" t="s">
        <v>551</v>
      </c>
      <c r="S150" s="238" t="s">
        <v>552</v>
      </c>
      <c r="V150" s="238" t="s">
        <v>254</v>
      </c>
      <c r="Y150" s="239"/>
      <c r="Z150" s="239"/>
      <c r="AB150" s="1" t="s">
        <v>382</v>
      </c>
    </row>
    <row r="151" spans="1:28" ht="11.25" customHeight="1">
      <c r="A151" s="233">
        <v>41060</v>
      </c>
      <c r="B151" s="1" t="s">
        <v>549</v>
      </c>
      <c r="C151" s="1" t="s">
        <v>2071</v>
      </c>
      <c r="D151" s="1" t="s">
        <v>232</v>
      </c>
      <c r="E151" s="1" t="s">
        <v>2076</v>
      </c>
      <c r="F151" s="5">
        <v>10</v>
      </c>
      <c r="G151" s="1" t="s">
        <v>231</v>
      </c>
      <c r="H151" s="234">
        <v>8</v>
      </c>
      <c r="I151" s="236">
        <f t="shared" si="8"/>
        <v>80</v>
      </c>
      <c r="J151" s="351">
        <v>5.0999999999999996</v>
      </c>
      <c r="K151" s="241">
        <f>5.1*F151</f>
        <v>51</v>
      </c>
      <c r="L151" s="237">
        <v>41060</v>
      </c>
      <c r="M151" s="1" t="s">
        <v>300</v>
      </c>
      <c r="N151" s="235">
        <f t="shared" si="9"/>
        <v>80</v>
      </c>
      <c r="O151" s="235">
        <f t="shared" si="10"/>
        <v>0</v>
      </c>
      <c r="P151" s="238" t="s">
        <v>550</v>
      </c>
      <c r="Q151" s="1" t="s">
        <v>2210</v>
      </c>
      <c r="R151" s="239" t="s">
        <v>551</v>
      </c>
      <c r="S151" s="238" t="s">
        <v>552</v>
      </c>
      <c r="V151" s="238" t="s">
        <v>254</v>
      </c>
      <c r="Y151" s="239"/>
      <c r="Z151" s="239"/>
      <c r="AB151" s="1" t="s">
        <v>382</v>
      </c>
    </row>
    <row r="152" spans="1:28" ht="11.25" customHeight="1">
      <c r="A152" s="233">
        <v>41060</v>
      </c>
      <c r="B152" s="1" t="s">
        <v>549</v>
      </c>
      <c r="C152" s="1" t="s">
        <v>2071</v>
      </c>
      <c r="D152" s="1" t="s">
        <v>263</v>
      </c>
      <c r="E152" s="1">
        <v>501</v>
      </c>
      <c r="F152" s="5">
        <v>4</v>
      </c>
      <c r="G152" s="1" t="s">
        <v>229</v>
      </c>
      <c r="H152" s="234">
        <v>2</v>
      </c>
      <c r="I152" s="236">
        <f t="shared" si="8"/>
        <v>8</v>
      </c>
      <c r="J152" s="351">
        <v>1.4</v>
      </c>
      <c r="K152" s="241">
        <f>1.4*F152</f>
        <v>5.6</v>
      </c>
      <c r="L152" s="237">
        <v>41060</v>
      </c>
      <c r="M152" s="1" t="s">
        <v>300</v>
      </c>
      <c r="N152" s="235">
        <f t="shared" si="9"/>
        <v>8</v>
      </c>
      <c r="O152" s="235">
        <f t="shared" si="10"/>
        <v>0</v>
      </c>
      <c r="P152" s="238" t="s">
        <v>550</v>
      </c>
      <c r="Q152" s="1" t="s">
        <v>2212</v>
      </c>
      <c r="R152" s="239" t="s">
        <v>551</v>
      </c>
      <c r="S152" s="238" t="s">
        <v>552</v>
      </c>
      <c r="V152" s="238" t="s">
        <v>254</v>
      </c>
      <c r="Y152" s="239"/>
      <c r="Z152" s="239"/>
      <c r="AB152" s="1" t="s">
        <v>382</v>
      </c>
    </row>
    <row r="153" spans="1:28" ht="11.25" customHeight="1">
      <c r="A153" s="233">
        <v>41060</v>
      </c>
      <c r="B153" s="1" t="s">
        <v>549</v>
      </c>
      <c r="C153" s="1" t="s">
        <v>2071</v>
      </c>
      <c r="D153" s="5" t="s">
        <v>2012</v>
      </c>
      <c r="E153" s="1" t="s">
        <v>2089</v>
      </c>
      <c r="F153" s="5">
        <v>100</v>
      </c>
      <c r="G153" s="1" t="s">
        <v>4970</v>
      </c>
      <c r="H153" s="234">
        <v>2.6</v>
      </c>
      <c r="I153" s="236">
        <f t="shared" si="8"/>
        <v>260</v>
      </c>
      <c r="J153" s="351">
        <v>1.6</v>
      </c>
      <c r="K153" s="241">
        <v>160</v>
      </c>
      <c r="L153" s="237">
        <v>41060</v>
      </c>
      <c r="M153" s="1" t="s">
        <v>300</v>
      </c>
      <c r="N153" s="235">
        <f t="shared" si="9"/>
        <v>260</v>
      </c>
      <c r="O153" s="235">
        <f t="shared" si="10"/>
        <v>0</v>
      </c>
      <c r="P153" s="238" t="s">
        <v>550</v>
      </c>
      <c r="Q153" s="1" t="s">
        <v>2210</v>
      </c>
      <c r="R153" s="239" t="s">
        <v>551</v>
      </c>
      <c r="S153" s="238" t="s">
        <v>552</v>
      </c>
      <c r="V153" s="238" t="s">
        <v>254</v>
      </c>
      <c r="Y153" s="239"/>
      <c r="Z153" s="239"/>
      <c r="AB153" s="1" t="s">
        <v>382</v>
      </c>
    </row>
    <row r="154" spans="1:28" ht="11.25" customHeight="1">
      <c r="A154" s="233">
        <v>41060</v>
      </c>
      <c r="B154" s="1" t="s">
        <v>553</v>
      </c>
      <c r="C154" s="1" t="s">
        <v>2071</v>
      </c>
      <c r="D154" s="1" t="s">
        <v>240</v>
      </c>
      <c r="E154" s="1">
        <v>6200</v>
      </c>
      <c r="F154" s="5">
        <v>2</v>
      </c>
      <c r="G154" s="1" t="s">
        <v>229</v>
      </c>
      <c r="H154" s="234">
        <v>86</v>
      </c>
      <c r="I154" s="236">
        <f t="shared" si="8"/>
        <v>172</v>
      </c>
      <c r="J154" s="354">
        <v>45.8</v>
      </c>
      <c r="K154" s="241" t="e">
        <f>#REF!*F154</f>
        <v>#REF!</v>
      </c>
      <c r="L154" s="237">
        <v>41060</v>
      </c>
      <c r="M154" s="1" t="s">
        <v>300</v>
      </c>
      <c r="N154" s="235">
        <f t="shared" si="9"/>
        <v>172</v>
      </c>
      <c r="O154" s="235">
        <f t="shared" si="10"/>
        <v>0</v>
      </c>
      <c r="P154" s="238" t="s">
        <v>554</v>
      </c>
      <c r="Q154" s="1" t="s">
        <v>2210</v>
      </c>
      <c r="R154" s="239" t="s">
        <v>555</v>
      </c>
      <c r="S154" s="238" t="s">
        <v>556</v>
      </c>
      <c r="V154" s="238" t="s">
        <v>2196</v>
      </c>
      <c r="Y154" s="239"/>
      <c r="Z154" s="239"/>
      <c r="AB154" s="1" t="s">
        <v>382</v>
      </c>
    </row>
    <row r="155" spans="1:28" ht="11.25" customHeight="1">
      <c r="A155" s="233">
        <v>41060</v>
      </c>
      <c r="B155" s="1" t="s">
        <v>553</v>
      </c>
      <c r="C155" s="1" t="s">
        <v>2197</v>
      </c>
      <c r="D155" s="1" t="s">
        <v>353</v>
      </c>
      <c r="E155" s="1" t="s">
        <v>2198</v>
      </c>
      <c r="F155" s="5">
        <v>14</v>
      </c>
      <c r="G155" s="1" t="s">
        <v>229</v>
      </c>
      <c r="H155" s="234">
        <v>30</v>
      </c>
      <c r="I155" s="236">
        <f t="shared" si="8"/>
        <v>420</v>
      </c>
      <c r="J155" s="351">
        <v>19</v>
      </c>
      <c r="K155" s="241">
        <f>19*F155</f>
        <v>266</v>
      </c>
      <c r="L155" s="237">
        <v>41060</v>
      </c>
      <c r="M155" s="1" t="s">
        <v>300</v>
      </c>
      <c r="N155" s="235">
        <f t="shared" si="9"/>
        <v>420</v>
      </c>
      <c r="O155" s="235">
        <f t="shared" si="10"/>
        <v>0</v>
      </c>
      <c r="P155" s="238" t="s">
        <v>554</v>
      </c>
      <c r="Q155" s="1" t="s">
        <v>2213</v>
      </c>
      <c r="R155" s="239" t="s">
        <v>555</v>
      </c>
      <c r="S155" s="238" t="s">
        <v>556</v>
      </c>
      <c r="V155" s="238" t="s">
        <v>2196</v>
      </c>
      <c r="Y155" s="239"/>
      <c r="Z155" s="239"/>
      <c r="AB155" s="1" t="s">
        <v>382</v>
      </c>
    </row>
    <row r="156" spans="1:28" ht="11.25" customHeight="1">
      <c r="A156" s="233">
        <v>41060</v>
      </c>
      <c r="B156" s="1" t="s">
        <v>553</v>
      </c>
      <c r="C156" s="1" t="s">
        <v>2197</v>
      </c>
      <c r="D156" s="1" t="s">
        <v>232</v>
      </c>
      <c r="E156" s="1" t="s">
        <v>2199</v>
      </c>
      <c r="F156" s="5">
        <v>50</v>
      </c>
      <c r="G156" s="1" t="s">
        <v>231</v>
      </c>
      <c r="H156" s="234">
        <v>8</v>
      </c>
      <c r="I156" s="236">
        <f t="shared" si="8"/>
        <v>400</v>
      </c>
      <c r="J156" s="351">
        <v>5.0999999999999996</v>
      </c>
      <c r="K156" s="241">
        <f>5.1*F156</f>
        <v>254.99999999999997</v>
      </c>
      <c r="L156" s="237">
        <v>41060</v>
      </c>
      <c r="M156" s="1" t="s">
        <v>300</v>
      </c>
      <c r="N156" s="235">
        <f t="shared" si="9"/>
        <v>400</v>
      </c>
      <c r="O156" s="235">
        <f t="shared" si="10"/>
        <v>0</v>
      </c>
      <c r="P156" s="238" t="s">
        <v>554</v>
      </c>
      <c r="Q156" s="1" t="s">
        <v>2213</v>
      </c>
      <c r="R156" s="239" t="s">
        <v>555</v>
      </c>
      <c r="S156" s="238" t="s">
        <v>556</v>
      </c>
      <c r="V156" s="238" t="s">
        <v>2196</v>
      </c>
      <c r="Y156" s="239"/>
      <c r="Z156" s="239"/>
      <c r="AB156" s="1" t="s">
        <v>382</v>
      </c>
    </row>
    <row r="157" spans="1:28" ht="11.25" customHeight="1">
      <c r="A157" s="233">
        <v>41060</v>
      </c>
      <c r="B157" s="1" t="s">
        <v>553</v>
      </c>
      <c r="C157" s="1" t="s">
        <v>2197</v>
      </c>
      <c r="D157" s="1" t="s">
        <v>263</v>
      </c>
      <c r="E157" s="1">
        <v>501</v>
      </c>
      <c r="F157" s="5">
        <v>4</v>
      </c>
      <c r="G157" s="1" t="s">
        <v>229</v>
      </c>
      <c r="H157" s="234">
        <v>2</v>
      </c>
      <c r="I157" s="236">
        <f t="shared" si="8"/>
        <v>8</v>
      </c>
      <c r="J157" s="351">
        <v>1.4</v>
      </c>
      <c r="K157" s="241">
        <f>1.4*F157</f>
        <v>5.6</v>
      </c>
      <c r="L157" s="237">
        <v>41060</v>
      </c>
      <c r="M157" s="1" t="s">
        <v>300</v>
      </c>
      <c r="N157" s="235">
        <f t="shared" si="9"/>
        <v>8</v>
      </c>
      <c r="O157" s="235">
        <f t="shared" si="10"/>
        <v>0</v>
      </c>
      <c r="P157" s="238" t="s">
        <v>554</v>
      </c>
      <c r="Q157" s="1" t="s">
        <v>2212</v>
      </c>
      <c r="R157" s="239" t="s">
        <v>555</v>
      </c>
      <c r="S157" s="238" t="s">
        <v>556</v>
      </c>
      <c r="V157" s="238" t="s">
        <v>2196</v>
      </c>
      <c r="Y157" s="239"/>
      <c r="Z157" s="239"/>
      <c r="AB157" s="1" t="s">
        <v>382</v>
      </c>
    </row>
    <row r="158" spans="1:28" ht="11.25" customHeight="1">
      <c r="A158" s="233">
        <v>41060</v>
      </c>
      <c r="B158" s="1" t="s">
        <v>553</v>
      </c>
      <c r="C158" s="1" t="s">
        <v>2197</v>
      </c>
      <c r="D158" s="5" t="s">
        <v>2012</v>
      </c>
      <c r="E158" s="1" t="s">
        <v>2200</v>
      </c>
      <c r="F158" s="5">
        <v>500</v>
      </c>
      <c r="G158" s="1" t="s">
        <v>4970</v>
      </c>
      <c r="H158" s="234">
        <v>2.6</v>
      </c>
      <c r="I158" s="236">
        <f t="shared" si="8"/>
        <v>1300</v>
      </c>
      <c r="J158" s="351">
        <v>1.6</v>
      </c>
      <c r="K158" s="241">
        <f>1.6*F158</f>
        <v>800</v>
      </c>
      <c r="L158" s="237">
        <v>41060</v>
      </c>
      <c r="M158" s="1" t="s">
        <v>300</v>
      </c>
      <c r="N158" s="235">
        <f t="shared" si="9"/>
        <v>1300</v>
      </c>
      <c r="O158" s="235">
        <f t="shared" si="10"/>
        <v>0</v>
      </c>
      <c r="P158" s="238" t="s">
        <v>554</v>
      </c>
      <c r="Q158" s="1" t="s">
        <v>2213</v>
      </c>
      <c r="R158" s="239" t="s">
        <v>555</v>
      </c>
      <c r="S158" s="238" t="s">
        <v>556</v>
      </c>
      <c r="V158" s="238" t="s">
        <v>2196</v>
      </c>
      <c r="Y158" s="239"/>
      <c r="Z158" s="239"/>
      <c r="AB158" s="1" t="s">
        <v>382</v>
      </c>
    </row>
    <row r="159" spans="1:28" ht="11.25" customHeight="1">
      <c r="A159" s="233">
        <v>41060</v>
      </c>
      <c r="B159" s="1" t="s">
        <v>553</v>
      </c>
      <c r="C159" s="1" t="s">
        <v>2197</v>
      </c>
      <c r="D159" s="1" t="s">
        <v>2214</v>
      </c>
      <c r="E159" s="1">
        <v>10434</v>
      </c>
      <c r="F159" s="5">
        <v>10</v>
      </c>
      <c r="G159" s="1" t="s">
        <v>239</v>
      </c>
      <c r="H159" s="234">
        <v>24</v>
      </c>
      <c r="I159" s="236">
        <f t="shared" si="8"/>
        <v>240</v>
      </c>
      <c r="J159" s="351"/>
      <c r="K159" s="241">
        <v>0</v>
      </c>
      <c r="L159" s="237">
        <v>41060</v>
      </c>
      <c r="M159" s="1" t="s">
        <v>300</v>
      </c>
      <c r="N159" s="235">
        <f t="shared" si="9"/>
        <v>240</v>
      </c>
      <c r="O159" s="235">
        <f t="shared" si="10"/>
        <v>0</v>
      </c>
      <c r="P159" s="238" t="s">
        <v>554</v>
      </c>
      <c r="Q159" s="1" t="s">
        <v>2213</v>
      </c>
      <c r="R159" s="239" t="s">
        <v>555</v>
      </c>
      <c r="S159" s="238" t="s">
        <v>556</v>
      </c>
      <c r="V159" s="238" t="s">
        <v>2196</v>
      </c>
      <c r="Y159" s="239"/>
      <c r="Z159" s="239"/>
      <c r="AB159" s="1" t="s">
        <v>382</v>
      </c>
    </row>
    <row r="160" spans="1:28" ht="11.25" customHeight="1">
      <c r="A160" s="233">
        <v>41060</v>
      </c>
      <c r="B160" s="1" t="s">
        <v>557</v>
      </c>
      <c r="C160" s="1" t="s">
        <v>2197</v>
      </c>
      <c r="D160" s="1" t="s">
        <v>240</v>
      </c>
      <c r="E160" s="1">
        <v>6200</v>
      </c>
      <c r="F160" s="5">
        <v>1</v>
      </c>
      <c r="G160" s="1" t="s">
        <v>229</v>
      </c>
      <c r="H160" s="234">
        <v>86</v>
      </c>
      <c r="I160" s="236">
        <f t="shared" si="8"/>
        <v>86</v>
      </c>
      <c r="J160" s="354">
        <v>45.8</v>
      </c>
      <c r="K160" s="241" t="e">
        <f>#REF!*F160</f>
        <v>#REF!</v>
      </c>
      <c r="L160" s="237">
        <v>41060</v>
      </c>
      <c r="M160" s="1" t="s">
        <v>300</v>
      </c>
      <c r="N160" s="235">
        <f t="shared" si="9"/>
        <v>86</v>
      </c>
      <c r="O160" s="235">
        <f t="shared" si="10"/>
        <v>0</v>
      </c>
      <c r="P160" s="238" t="s">
        <v>558</v>
      </c>
      <c r="Q160" s="1" t="s">
        <v>2213</v>
      </c>
      <c r="R160" s="239" t="s">
        <v>559</v>
      </c>
      <c r="S160" s="238" t="s">
        <v>560</v>
      </c>
      <c r="V160" s="238" t="s">
        <v>254</v>
      </c>
      <c r="Y160" s="239"/>
      <c r="Z160" s="239"/>
      <c r="AB160" s="1" t="s">
        <v>382</v>
      </c>
    </row>
    <row r="161" spans="1:44" ht="11.25" customHeight="1">
      <c r="A161" s="233">
        <v>41060</v>
      </c>
      <c r="B161" s="1" t="s">
        <v>557</v>
      </c>
      <c r="C161" s="1" t="s">
        <v>2071</v>
      </c>
      <c r="D161" s="1" t="s">
        <v>353</v>
      </c>
      <c r="E161" s="1" t="s">
        <v>2072</v>
      </c>
      <c r="F161" s="5">
        <v>4</v>
      </c>
      <c r="G161" s="1" t="s">
        <v>229</v>
      </c>
      <c r="H161" s="234">
        <v>30</v>
      </c>
      <c r="I161" s="236">
        <f t="shared" si="8"/>
        <v>120</v>
      </c>
      <c r="J161" s="351">
        <v>19</v>
      </c>
      <c r="K161" s="241">
        <f>19.56*F161</f>
        <v>78.239999999999995</v>
      </c>
      <c r="L161" s="237">
        <v>41060</v>
      </c>
      <c r="M161" s="1" t="s">
        <v>300</v>
      </c>
      <c r="N161" s="235">
        <f t="shared" si="9"/>
        <v>120</v>
      </c>
      <c r="O161" s="235">
        <f t="shared" si="10"/>
        <v>0</v>
      </c>
      <c r="P161" s="238" t="s">
        <v>558</v>
      </c>
      <c r="Q161" s="1" t="s">
        <v>2210</v>
      </c>
      <c r="R161" s="239" t="s">
        <v>559</v>
      </c>
      <c r="S161" s="238" t="s">
        <v>560</v>
      </c>
      <c r="V161" s="238" t="s">
        <v>254</v>
      </c>
      <c r="Y161" s="239"/>
      <c r="Z161" s="239"/>
      <c r="AB161" s="1" t="s">
        <v>382</v>
      </c>
    </row>
    <row r="162" spans="1:44" ht="11.25" customHeight="1">
      <c r="A162" s="233">
        <v>41060</v>
      </c>
      <c r="B162" s="1" t="s">
        <v>557</v>
      </c>
      <c r="C162" s="1" t="s">
        <v>2071</v>
      </c>
      <c r="D162" s="1" t="s">
        <v>232</v>
      </c>
      <c r="E162" s="1" t="s">
        <v>2076</v>
      </c>
      <c r="F162" s="5">
        <v>10</v>
      </c>
      <c r="G162" s="1" t="s">
        <v>231</v>
      </c>
      <c r="H162" s="234">
        <v>8</v>
      </c>
      <c r="I162" s="236">
        <f t="shared" si="8"/>
        <v>80</v>
      </c>
      <c r="J162" s="351">
        <v>5.0999999999999996</v>
      </c>
      <c r="K162" s="241">
        <f>5.1*F162</f>
        <v>51</v>
      </c>
      <c r="L162" s="237">
        <v>41060</v>
      </c>
      <c r="M162" s="1" t="s">
        <v>300</v>
      </c>
      <c r="N162" s="235">
        <f t="shared" si="9"/>
        <v>80</v>
      </c>
      <c r="O162" s="235">
        <f t="shared" si="10"/>
        <v>0</v>
      </c>
      <c r="P162" s="238" t="s">
        <v>558</v>
      </c>
      <c r="Q162" s="1" t="s">
        <v>2210</v>
      </c>
      <c r="R162" s="239" t="s">
        <v>559</v>
      </c>
      <c r="S162" s="238" t="s">
        <v>560</v>
      </c>
      <c r="V162" s="238" t="s">
        <v>254</v>
      </c>
      <c r="Y162" s="239"/>
      <c r="Z162" s="239"/>
      <c r="AB162" s="1" t="s">
        <v>382</v>
      </c>
    </row>
    <row r="163" spans="1:44" ht="11.25" customHeight="1">
      <c r="A163" s="233">
        <v>41060</v>
      </c>
      <c r="B163" s="1" t="s">
        <v>557</v>
      </c>
      <c r="C163" s="1" t="s">
        <v>2071</v>
      </c>
      <c r="D163" s="1" t="s">
        <v>263</v>
      </c>
      <c r="E163" s="1">
        <v>501</v>
      </c>
      <c r="F163" s="5">
        <v>2</v>
      </c>
      <c r="G163" s="1" t="s">
        <v>229</v>
      </c>
      <c r="H163" s="234">
        <v>2</v>
      </c>
      <c r="I163" s="236">
        <f t="shared" si="8"/>
        <v>4</v>
      </c>
      <c r="J163" s="351">
        <v>1.4</v>
      </c>
      <c r="K163" s="241">
        <f>1.4*F163</f>
        <v>2.8</v>
      </c>
      <c r="L163" s="237">
        <v>41060</v>
      </c>
      <c r="M163" s="1" t="s">
        <v>300</v>
      </c>
      <c r="N163" s="235">
        <f t="shared" si="9"/>
        <v>4</v>
      </c>
      <c r="O163" s="235">
        <f t="shared" si="10"/>
        <v>0</v>
      </c>
      <c r="P163" s="238" t="s">
        <v>558</v>
      </c>
      <c r="Q163" s="1" t="s">
        <v>2212</v>
      </c>
      <c r="R163" s="239" t="s">
        <v>559</v>
      </c>
      <c r="S163" s="238" t="s">
        <v>560</v>
      </c>
      <c r="V163" s="238" t="s">
        <v>254</v>
      </c>
      <c r="Y163" s="239"/>
      <c r="Z163" s="239"/>
      <c r="AB163" s="1" t="s">
        <v>382</v>
      </c>
    </row>
    <row r="164" spans="1:44" ht="11.25" customHeight="1">
      <c r="A164" s="233">
        <v>41060</v>
      </c>
      <c r="B164" s="1" t="s">
        <v>557</v>
      </c>
      <c r="C164" s="1" t="s">
        <v>2071</v>
      </c>
      <c r="D164" s="5" t="s">
        <v>2012</v>
      </c>
      <c r="E164" s="1" t="s">
        <v>2089</v>
      </c>
      <c r="F164" s="5">
        <v>100</v>
      </c>
      <c r="G164" s="1" t="s">
        <v>4970</v>
      </c>
      <c r="H164" s="234">
        <v>2.6</v>
      </c>
      <c r="I164" s="236">
        <f t="shared" si="8"/>
        <v>260</v>
      </c>
      <c r="J164" s="351">
        <v>1.6</v>
      </c>
      <c r="K164" s="241">
        <v>160</v>
      </c>
      <c r="L164" s="237">
        <v>41060</v>
      </c>
      <c r="M164" s="1" t="s">
        <v>300</v>
      </c>
      <c r="N164" s="235">
        <f t="shared" si="9"/>
        <v>260</v>
      </c>
      <c r="O164" s="235">
        <f t="shared" si="10"/>
        <v>0</v>
      </c>
      <c r="P164" s="238" t="s">
        <v>558</v>
      </c>
      <c r="Q164" s="1" t="s">
        <v>2210</v>
      </c>
      <c r="R164" s="239" t="s">
        <v>559</v>
      </c>
      <c r="S164" s="238" t="s">
        <v>560</v>
      </c>
      <c r="V164" s="238" t="s">
        <v>254</v>
      </c>
      <c r="Y164" s="239"/>
      <c r="Z164" s="239"/>
      <c r="AB164" s="1" t="s">
        <v>382</v>
      </c>
    </row>
    <row r="165" spans="1:44" ht="11.25" customHeight="1">
      <c r="A165" s="233">
        <v>41060</v>
      </c>
      <c r="B165" s="1" t="s">
        <v>557</v>
      </c>
      <c r="C165" s="1" t="s">
        <v>2071</v>
      </c>
      <c r="D165" s="1" t="s">
        <v>1213</v>
      </c>
      <c r="E165" s="1" t="s">
        <v>2161</v>
      </c>
      <c r="F165" s="5">
        <v>2</v>
      </c>
      <c r="G165" s="1" t="s">
        <v>239</v>
      </c>
      <c r="H165" s="234">
        <v>29</v>
      </c>
      <c r="I165" s="236">
        <f t="shared" si="8"/>
        <v>58</v>
      </c>
      <c r="J165" s="351">
        <v>13.4</v>
      </c>
      <c r="K165" s="250">
        <f>13.4*F165</f>
        <v>26.8</v>
      </c>
      <c r="L165" s="237">
        <v>41060</v>
      </c>
      <c r="M165" s="1" t="s">
        <v>300</v>
      </c>
      <c r="N165" s="235">
        <f t="shared" si="9"/>
        <v>58</v>
      </c>
      <c r="O165" s="235">
        <f t="shared" si="10"/>
        <v>0</v>
      </c>
      <c r="P165" s="238" t="s">
        <v>558</v>
      </c>
      <c r="Q165" s="1" t="s">
        <v>2210</v>
      </c>
      <c r="R165" s="239" t="s">
        <v>559</v>
      </c>
      <c r="S165" s="238" t="s">
        <v>560</v>
      </c>
      <c r="V165" s="238" t="s">
        <v>254</v>
      </c>
      <c r="Y165" s="239"/>
      <c r="Z165" s="239"/>
      <c r="AB165" s="1" t="s">
        <v>382</v>
      </c>
    </row>
    <row r="166" spans="1:44" ht="11.25" customHeight="1">
      <c r="A166" s="233">
        <v>41060</v>
      </c>
      <c r="B166" s="1" t="s">
        <v>421</v>
      </c>
      <c r="C166" s="1" t="s">
        <v>2071</v>
      </c>
      <c r="D166" s="1" t="s">
        <v>2215</v>
      </c>
      <c r="E166" s="1">
        <v>8247</v>
      </c>
      <c r="F166" s="5">
        <v>3000</v>
      </c>
      <c r="G166" s="1" t="s">
        <v>231</v>
      </c>
      <c r="H166" s="234">
        <v>12.75</v>
      </c>
      <c r="I166" s="236">
        <f t="shared" si="8"/>
        <v>38250</v>
      </c>
      <c r="J166" s="351"/>
      <c r="K166" s="241">
        <f>12.6*3000</f>
        <v>37800</v>
      </c>
      <c r="L166" s="237">
        <v>41060</v>
      </c>
      <c r="M166" s="1" t="s">
        <v>330</v>
      </c>
      <c r="N166" s="235">
        <f t="shared" si="9"/>
        <v>38250</v>
      </c>
      <c r="O166" s="235">
        <f t="shared" si="10"/>
        <v>0</v>
      </c>
      <c r="P166" s="238" t="s">
        <v>4886</v>
      </c>
      <c r="Q166" s="1" t="s">
        <v>1863</v>
      </c>
      <c r="V166" s="238" t="s">
        <v>2216</v>
      </c>
      <c r="W166" s="236" t="s">
        <v>2217</v>
      </c>
      <c r="X166" s="233">
        <v>41088</v>
      </c>
      <c r="Y166" s="239"/>
      <c r="Z166" s="239"/>
      <c r="AB166" s="1" t="s">
        <v>377</v>
      </c>
    </row>
    <row r="167" spans="1:44" ht="11.25" customHeight="1">
      <c r="A167" s="233">
        <v>41061</v>
      </c>
      <c r="B167" s="1" t="s">
        <v>2218</v>
      </c>
      <c r="C167" s="1" t="s">
        <v>2071</v>
      </c>
      <c r="D167" s="1" t="s">
        <v>2219</v>
      </c>
      <c r="E167" s="1" t="s">
        <v>2113</v>
      </c>
      <c r="F167" s="5">
        <v>5000</v>
      </c>
      <c r="G167" s="1" t="s">
        <v>231</v>
      </c>
      <c r="H167" s="234">
        <v>1.85</v>
      </c>
      <c r="I167" s="236">
        <f>H167*F167</f>
        <v>9250</v>
      </c>
      <c r="J167" s="352">
        <v>1.8</v>
      </c>
      <c r="K167" s="241">
        <v>9000</v>
      </c>
      <c r="L167" s="237">
        <v>41061</v>
      </c>
      <c r="M167" s="1" t="s">
        <v>330</v>
      </c>
      <c r="N167" s="235">
        <f t="shared" si="9"/>
        <v>9250</v>
      </c>
      <c r="O167" s="235">
        <f t="shared" si="10"/>
        <v>0</v>
      </c>
      <c r="P167" s="238" t="s">
        <v>4886</v>
      </c>
      <c r="Q167" s="1" t="s">
        <v>1863</v>
      </c>
      <c r="R167" s="239" t="s">
        <v>469</v>
      </c>
      <c r="S167" s="238" t="s">
        <v>470</v>
      </c>
      <c r="U167" s="238" t="s">
        <v>471</v>
      </c>
      <c r="V167" s="238" t="s">
        <v>476</v>
      </c>
      <c r="W167" s="236">
        <v>10265</v>
      </c>
      <c r="X167" s="233">
        <v>41072</v>
      </c>
      <c r="Y167" s="238" t="s">
        <v>2171</v>
      </c>
      <c r="Z167" s="238"/>
      <c r="AB167" s="1" t="s">
        <v>377</v>
      </c>
    </row>
    <row r="168" spans="1:44" ht="11.25" customHeight="1">
      <c r="A168" s="233">
        <v>41062</v>
      </c>
      <c r="B168" s="1" t="s">
        <v>561</v>
      </c>
      <c r="C168" s="1" t="s">
        <v>2172</v>
      </c>
      <c r="D168" s="5" t="s">
        <v>2012</v>
      </c>
      <c r="E168" s="1" t="s">
        <v>2220</v>
      </c>
      <c r="F168" s="5">
        <v>200</v>
      </c>
      <c r="G168" s="1" t="s">
        <v>4970</v>
      </c>
      <c r="H168" s="234">
        <v>2.6</v>
      </c>
      <c r="I168" s="236">
        <f t="shared" ref="I168:I232" si="11">H168*F168</f>
        <v>520</v>
      </c>
      <c r="J168" s="351">
        <v>1.6</v>
      </c>
      <c r="K168" s="241">
        <f>1.6*200</f>
        <v>320</v>
      </c>
      <c r="L168" s="237">
        <v>41062</v>
      </c>
      <c r="M168" s="1" t="s">
        <v>300</v>
      </c>
      <c r="N168" s="235">
        <f t="shared" si="9"/>
        <v>520</v>
      </c>
      <c r="O168" s="235">
        <f t="shared" si="10"/>
        <v>0</v>
      </c>
      <c r="P168" s="238" t="s">
        <v>562</v>
      </c>
      <c r="Q168" s="1" t="s">
        <v>391</v>
      </c>
      <c r="R168" s="239" t="s">
        <v>563</v>
      </c>
      <c r="S168" s="238" t="s">
        <v>564</v>
      </c>
      <c r="T168" s="240" t="s">
        <v>2221</v>
      </c>
      <c r="V168" s="238" t="s">
        <v>254</v>
      </c>
      <c r="Y168" s="239"/>
      <c r="Z168" s="239"/>
      <c r="AB168" s="1" t="s">
        <v>382</v>
      </c>
    </row>
    <row r="169" spans="1:44" ht="11.25" customHeight="1">
      <c r="A169" s="233">
        <v>41064</v>
      </c>
      <c r="B169" s="1" t="s">
        <v>565</v>
      </c>
      <c r="C169" s="1" t="s">
        <v>2071</v>
      </c>
      <c r="D169" s="5" t="s">
        <v>2012</v>
      </c>
      <c r="E169" s="1" t="s">
        <v>2089</v>
      </c>
      <c r="F169" s="5">
        <v>200</v>
      </c>
      <c r="G169" s="1" t="s">
        <v>4970</v>
      </c>
      <c r="H169" s="234">
        <v>2.6</v>
      </c>
      <c r="I169" s="236">
        <f t="shared" si="11"/>
        <v>520</v>
      </c>
      <c r="J169" s="351">
        <v>1.6</v>
      </c>
      <c r="K169" s="241">
        <f>1.6*200</f>
        <v>320</v>
      </c>
      <c r="L169" s="237">
        <v>41064</v>
      </c>
      <c r="M169" s="1" t="s">
        <v>300</v>
      </c>
      <c r="N169" s="235">
        <f t="shared" si="9"/>
        <v>520</v>
      </c>
      <c r="O169" s="235">
        <f t="shared" si="10"/>
        <v>0</v>
      </c>
      <c r="P169" s="238" t="s">
        <v>566</v>
      </c>
      <c r="Q169" s="1" t="s">
        <v>391</v>
      </c>
      <c r="R169" s="239" t="s">
        <v>2115</v>
      </c>
      <c r="S169" s="238" t="s">
        <v>567</v>
      </c>
      <c r="T169" s="238" t="s">
        <v>2222</v>
      </c>
      <c r="V169" s="238" t="s">
        <v>254</v>
      </c>
      <c r="Y169" s="239"/>
      <c r="Z169" s="239"/>
      <c r="AB169" s="1" t="s">
        <v>382</v>
      </c>
    </row>
    <row r="170" spans="1:44" ht="11.25" customHeight="1">
      <c r="A170" s="233">
        <v>41064</v>
      </c>
      <c r="B170" s="1" t="s">
        <v>565</v>
      </c>
      <c r="C170" s="1" t="s">
        <v>2071</v>
      </c>
      <c r="D170" s="1" t="s">
        <v>240</v>
      </c>
      <c r="E170" s="1">
        <v>6200</v>
      </c>
      <c r="F170" s="5">
        <v>3</v>
      </c>
      <c r="G170" s="1" t="s">
        <v>229</v>
      </c>
      <c r="H170" s="234">
        <v>80</v>
      </c>
      <c r="I170" s="236">
        <f t="shared" si="11"/>
        <v>240</v>
      </c>
      <c r="J170" s="354">
        <v>45.8</v>
      </c>
      <c r="K170" s="241" t="e">
        <f>#REF!*F170</f>
        <v>#REF!</v>
      </c>
      <c r="L170" s="237">
        <v>41064</v>
      </c>
      <c r="M170" s="1" t="s">
        <v>300</v>
      </c>
      <c r="N170" s="235">
        <f t="shared" si="9"/>
        <v>240</v>
      </c>
      <c r="O170" s="235">
        <f t="shared" si="10"/>
        <v>0</v>
      </c>
      <c r="P170" s="238" t="s">
        <v>566</v>
      </c>
      <c r="Q170" s="1" t="s">
        <v>391</v>
      </c>
      <c r="R170" s="239" t="s">
        <v>2115</v>
      </c>
      <c r="S170" s="238" t="s">
        <v>567</v>
      </c>
      <c r="T170" s="238" t="s">
        <v>2222</v>
      </c>
      <c r="V170" s="238" t="s">
        <v>254</v>
      </c>
      <c r="Y170" s="239"/>
      <c r="Z170" s="239"/>
      <c r="AB170" s="1" t="s">
        <v>382</v>
      </c>
    </row>
    <row r="171" spans="1:44" ht="11.25" customHeight="1">
      <c r="A171" s="233">
        <v>41064</v>
      </c>
      <c r="B171" s="1" t="s">
        <v>565</v>
      </c>
      <c r="C171" s="1" t="s">
        <v>2071</v>
      </c>
      <c r="D171" s="1" t="s">
        <v>2101</v>
      </c>
      <c r="E171" s="1" t="s">
        <v>2072</v>
      </c>
      <c r="F171" s="5">
        <v>26</v>
      </c>
      <c r="G171" s="1" t="s">
        <v>229</v>
      </c>
      <c r="H171" s="234">
        <v>30</v>
      </c>
      <c r="I171" s="236">
        <f t="shared" si="11"/>
        <v>780</v>
      </c>
      <c r="J171" s="351">
        <v>19</v>
      </c>
      <c r="K171" s="241">
        <f>19*26</f>
        <v>494</v>
      </c>
      <c r="L171" s="237">
        <v>41064</v>
      </c>
      <c r="M171" s="1" t="s">
        <v>300</v>
      </c>
      <c r="N171" s="235">
        <f t="shared" si="9"/>
        <v>780</v>
      </c>
      <c r="O171" s="235">
        <f t="shared" si="10"/>
        <v>0</v>
      </c>
      <c r="P171" s="238" t="s">
        <v>566</v>
      </c>
      <c r="Q171" s="1" t="s">
        <v>391</v>
      </c>
      <c r="R171" s="239" t="s">
        <v>2115</v>
      </c>
      <c r="S171" s="238" t="s">
        <v>567</v>
      </c>
      <c r="T171" s="238" t="s">
        <v>2222</v>
      </c>
      <c r="V171" s="238" t="s">
        <v>254</v>
      </c>
      <c r="Y171" s="239"/>
      <c r="Z171" s="239"/>
      <c r="AB171" s="1" t="s">
        <v>382</v>
      </c>
    </row>
    <row r="172" spans="1:44" ht="11.25" customHeight="1">
      <c r="A172" s="233">
        <v>41064</v>
      </c>
      <c r="B172" s="1" t="s">
        <v>565</v>
      </c>
      <c r="C172" s="1" t="s">
        <v>2071</v>
      </c>
      <c r="D172" s="1" t="s">
        <v>232</v>
      </c>
      <c r="E172" s="1" t="s">
        <v>2076</v>
      </c>
      <c r="F172" s="5">
        <v>50</v>
      </c>
      <c r="G172" s="1" t="s">
        <v>231</v>
      </c>
      <c r="H172" s="234">
        <v>7</v>
      </c>
      <c r="I172" s="236">
        <f t="shared" si="11"/>
        <v>350</v>
      </c>
      <c r="J172" s="351">
        <v>5.0999999999999996</v>
      </c>
      <c r="K172" s="241">
        <f>5.1*50</f>
        <v>254.99999999999997</v>
      </c>
      <c r="L172" s="237">
        <v>41064</v>
      </c>
      <c r="M172" s="1" t="s">
        <v>300</v>
      </c>
      <c r="N172" s="235">
        <f t="shared" si="9"/>
        <v>350</v>
      </c>
      <c r="O172" s="235">
        <f t="shared" si="10"/>
        <v>0</v>
      </c>
      <c r="P172" s="238" t="s">
        <v>566</v>
      </c>
      <c r="Q172" s="1" t="s">
        <v>391</v>
      </c>
      <c r="R172" s="239" t="s">
        <v>2115</v>
      </c>
      <c r="S172" s="238" t="s">
        <v>567</v>
      </c>
      <c r="T172" s="238" t="s">
        <v>2222</v>
      </c>
      <c r="V172" s="238" t="s">
        <v>254</v>
      </c>
      <c r="Y172" s="239"/>
      <c r="Z172" s="239"/>
      <c r="AB172" s="1" t="s">
        <v>382</v>
      </c>
    </row>
    <row r="173" spans="1:44" ht="11.25" customHeight="1">
      <c r="A173" s="233">
        <v>41064</v>
      </c>
      <c r="B173" s="1" t="s">
        <v>565</v>
      </c>
      <c r="C173" s="1" t="s">
        <v>2071</v>
      </c>
      <c r="D173" s="1" t="s">
        <v>2223</v>
      </c>
      <c r="E173" s="1">
        <v>501</v>
      </c>
      <c r="F173" s="5">
        <v>6</v>
      </c>
      <c r="G173" s="1" t="s">
        <v>229</v>
      </c>
      <c r="H173" s="234">
        <v>1.66</v>
      </c>
      <c r="I173" s="236">
        <f t="shared" si="11"/>
        <v>9.9599999999999991</v>
      </c>
      <c r="J173" s="351">
        <v>1.81</v>
      </c>
      <c r="K173" s="241">
        <f>1.81*6</f>
        <v>10.86</v>
      </c>
      <c r="L173" s="237">
        <v>41064</v>
      </c>
      <c r="M173" s="1" t="s">
        <v>300</v>
      </c>
      <c r="N173" s="235">
        <f t="shared" si="9"/>
        <v>9.9599999999999991</v>
      </c>
      <c r="O173" s="235">
        <f t="shared" si="10"/>
        <v>0</v>
      </c>
      <c r="P173" s="238" t="s">
        <v>566</v>
      </c>
      <c r="Q173" s="1" t="s">
        <v>391</v>
      </c>
      <c r="R173" s="239" t="s">
        <v>2115</v>
      </c>
      <c r="S173" s="238" t="s">
        <v>567</v>
      </c>
      <c r="T173" s="238" t="s">
        <v>2222</v>
      </c>
      <c r="V173" s="238" t="s">
        <v>254</v>
      </c>
      <c r="Y173" s="239"/>
      <c r="Z173" s="239"/>
      <c r="AB173" s="1" t="s">
        <v>382</v>
      </c>
    </row>
    <row r="174" spans="1:44" s="252" customFormat="1" ht="11.25" customHeight="1">
      <c r="A174" s="233">
        <v>41064</v>
      </c>
      <c r="B174" s="1" t="s">
        <v>568</v>
      </c>
      <c r="C174" s="1" t="s">
        <v>2071</v>
      </c>
      <c r="D174" s="1" t="s">
        <v>240</v>
      </c>
      <c r="E174" s="1">
        <v>6200</v>
      </c>
      <c r="F174" s="5">
        <v>6</v>
      </c>
      <c r="G174" s="1" t="s">
        <v>229</v>
      </c>
      <c r="H174" s="234">
        <v>86</v>
      </c>
      <c r="I174" s="236">
        <f t="shared" si="11"/>
        <v>516</v>
      </c>
      <c r="J174" s="354">
        <v>45.8</v>
      </c>
      <c r="K174" s="241" t="e">
        <f>#REF!*F174</f>
        <v>#REF!</v>
      </c>
      <c r="L174" s="237">
        <v>41064</v>
      </c>
      <c r="M174" s="1" t="s">
        <v>343</v>
      </c>
      <c r="N174" s="235">
        <f t="shared" si="9"/>
        <v>516</v>
      </c>
      <c r="O174" s="235">
        <f t="shared" si="10"/>
        <v>0</v>
      </c>
      <c r="P174" s="238" t="s">
        <v>569</v>
      </c>
      <c r="Q174" s="1" t="s">
        <v>1250</v>
      </c>
      <c r="R174" s="239" t="s">
        <v>570</v>
      </c>
      <c r="S174" s="238" t="s">
        <v>571</v>
      </c>
      <c r="T174" s="238" t="s">
        <v>2224</v>
      </c>
      <c r="U174" s="238" t="s">
        <v>2225</v>
      </c>
      <c r="V174" s="238" t="s">
        <v>254</v>
      </c>
      <c r="W174" s="236"/>
      <c r="X174" s="233"/>
      <c r="Y174" s="239"/>
      <c r="Z174" s="239"/>
      <c r="AA174" s="240"/>
      <c r="AB174" s="1" t="s">
        <v>382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1.25" customHeight="1">
      <c r="A175" s="233">
        <v>41064</v>
      </c>
      <c r="B175" s="1" t="s">
        <v>568</v>
      </c>
      <c r="C175" s="1" t="s">
        <v>2071</v>
      </c>
      <c r="D175" s="1" t="s">
        <v>2101</v>
      </c>
      <c r="E175" s="1" t="s">
        <v>2072</v>
      </c>
      <c r="F175" s="5">
        <v>36</v>
      </c>
      <c r="G175" s="1" t="s">
        <v>229</v>
      </c>
      <c r="H175" s="234">
        <v>30</v>
      </c>
      <c r="I175" s="236">
        <f t="shared" si="11"/>
        <v>1080</v>
      </c>
      <c r="J175" s="351">
        <v>19</v>
      </c>
      <c r="K175" s="241">
        <f>19*36</f>
        <v>684</v>
      </c>
      <c r="L175" s="237">
        <v>41064</v>
      </c>
      <c r="M175" s="1" t="s">
        <v>343</v>
      </c>
      <c r="N175" s="235">
        <f t="shared" si="9"/>
        <v>1080</v>
      </c>
      <c r="O175" s="235">
        <f t="shared" si="10"/>
        <v>0</v>
      </c>
      <c r="P175" s="238" t="s">
        <v>569</v>
      </c>
      <c r="Q175" s="1" t="s">
        <v>2226</v>
      </c>
      <c r="R175" s="239" t="s">
        <v>570</v>
      </c>
      <c r="S175" s="238" t="s">
        <v>571</v>
      </c>
      <c r="T175" s="238" t="s">
        <v>2224</v>
      </c>
      <c r="U175" s="238" t="s">
        <v>572</v>
      </c>
      <c r="V175" s="238" t="s">
        <v>254</v>
      </c>
      <c r="Y175" s="239"/>
      <c r="Z175" s="239"/>
      <c r="AB175" s="1" t="s">
        <v>382</v>
      </c>
    </row>
    <row r="176" spans="1:44" s="252" customFormat="1" ht="11.25" customHeight="1">
      <c r="A176" s="233">
        <v>41064</v>
      </c>
      <c r="B176" s="1" t="s">
        <v>568</v>
      </c>
      <c r="C176" s="1" t="s">
        <v>2071</v>
      </c>
      <c r="D176" s="1" t="s">
        <v>232</v>
      </c>
      <c r="E176" s="1" t="s">
        <v>2076</v>
      </c>
      <c r="F176" s="5">
        <v>100</v>
      </c>
      <c r="G176" s="1" t="s">
        <v>231</v>
      </c>
      <c r="H176" s="234">
        <v>8</v>
      </c>
      <c r="I176" s="236">
        <f t="shared" si="11"/>
        <v>800</v>
      </c>
      <c r="J176" s="351">
        <v>5.0999999999999996</v>
      </c>
      <c r="K176" s="241">
        <v>510</v>
      </c>
      <c r="L176" s="237">
        <v>41064</v>
      </c>
      <c r="M176" s="1" t="s">
        <v>343</v>
      </c>
      <c r="N176" s="235">
        <f t="shared" si="9"/>
        <v>800</v>
      </c>
      <c r="O176" s="235">
        <f t="shared" si="10"/>
        <v>0</v>
      </c>
      <c r="P176" s="238" t="s">
        <v>569</v>
      </c>
      <c r="Q176" s="1" t="s">
        <v>2226</v>
      </c>
      <c r="R176" s="239" t="s">
        <v>570</v>
      </c>
      <c r="S176" s="238" t="s">
        <v>571</v>
      </c>
      <c r="T176" s="238" t="s">
        <v>2224</v>
      </c>
      <c r="U176" s="238" t="s">
        <v>572</v>
      </c>
      <c r="V176" s="238" t="s">
        <v>254</v>
      </c>
      <c r="W176" s="236"/>
      <c r="X176" s="233"/>
      <c r="Y176" s="239"/>
      <c r="Z176" s="239"/>
      <c r="AA176" s="240"/>
      <c r="AB176" s="1" t="s">
        <v>382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1.25" customHeight="1">
      <c r="A177" s="233">
        <v>41064</v>
      </c>
      <c r="B177" s="1" t="s">
        <v>568</v>
      </c>
      <c r="C177" s="1" t="s">
        <v>2071</v>
      </c>
      <c r="D177" s="1" t="s">
        <v>2223</v>
      </c>
      <c r="E177" s="1">
        <v>501</v>
      </c>
      <c r="F177" s="5">
        <v>12</v>
      </c>
      <c r="G177" s="1" t="s">
        <v>229</v>
      </c>
      <c r="H177" s="234">
        <v>2</v>
      </c>
      <c r="I177" s="236">
        <f t="shared" si="11"/>
        <v>24</v>
      </c>
      <c r="J177" s="351">
        <v>1.4</v>
      </c>
      <c r="K177" s="241">
        <f>1.4*12</f>
        <v>16.799999999999997</v>
      </c>
      <c r="L177" s="237">
        <v>41064</v>
      </c>
      <c r="M177" s="1" t="s">
        <v>343</v>
      </c>
      <c r="N177" s="235">
        <f t="shared" si="9"/>
        <v>24</v>
      </c>
      <c r="O177" s="235">
        <f t="shared" si="10"/>
        <v>0</v>
      </c>
      <c r="P177" s="238" t="s">
        <v>569</v>
      </c>
      <c r="Q177" s="1" t="s">
        <v>2226</v>
      </c>
      <c r="R177" s="239" t="s">
        <v>570</v>
      </c>
      <c r="S177" s="238" t="s">
        <v>571</v>
      </c>
      <c r="T177" s="238" t="s">
        <v>2224</v>
      </c>
      <c r="U177" s="238" t="s">
        <v>572</v>
      </c>
      <c r="V177" s="238" t="s">
        <v>254</v>
      </c>
      <c r="Y177" s="239"/>
      <c r="Z177" s="239"/>
      <c r="AB177" s="1" t="s">
        <v>382</v>
      </c>
    </row>
    <row r="178" spans="1:44" s="252" customFormat="1" ht="11.25" customHeight="1">
      <c r="A178" s="233">
        <v>41064</v>
      </c>
      <c r="B178" s="1" t="s">
        <v>568</v>
      </c>
      <c r="C178" s="1" t="s">
        <v>2071</v>
      </c>
      <c r="D178" s="5" t="s">
        <v>2012</v>
      </c>
      <c r="E178" s="1" t="s">
        <v>2089</v>
      </c>
      <c r="F178" s="5">
        <v>500</v>
      </c>
      <c r="G178" s="1" t="s">
        <v>4970</v>
      </c>
      <c r="H178" s="234">
        <v>2.6</v>
      </c>
      <c r="I178" s="236">
        <f t="shared" si="11"/>
        <v>1300</v>
      </c>
      <c r="J178" s="351">
        <v>1.6</v>
      </c>
      <c r="K178" s="241">
        <f>1.6*500</f>
        <v>800</v>
      </c>
      <c r="L178" s="237">
        <v>41064</v>
      </c>
      <c r="M178" s="1" t="s">
        <v>343</v>
      </c>
      <c r="N178" s="235">
        <f t="shared" si="9"/>
        <v>1300</v>
      </c>
      <c r="O178" s="235">
        <f t="shared" si="10"/>
        <v>0</v>
      </c>
      <c r="P178" s="238" t="s">
        <v>569</v>
      </c>
      <c r="Q178" s="1" t="s">
        <v>2226</v>
      </c>
      <c r="R178" s="239" t="s">
        <v>570</v>
      </c>
      <c r="S178" s="238" t="s">
        <v>571</v>
      </c>
      <c r="T178" s="238" t="s">
        <v>2224</v>
      </c>
      <c r="U178" s="238" t="s">
        <v>572</v>
      </c>
      <c r="V178" s="238" t="s">
        <v>254</v>
      </c>
      <c r="W178" s="236"/>
      <c r="X178" s="233"/>
      <c r="Y178" s="239"/>
      <c r="Z178" s="239"/>
      <c r="AA178" s="240"/>
      <c r="AB178" s="1" t="s">
        <v>382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1.25" customHeight="1">
      <c r="A179" s="233">
        <v>41064</v>
      </c>
      <c r="B179" s="1" t="s">
        <v>573</v>
      </c>
      <c r="C179" s="1" t="s">
        <v>2071</v>
      </c>
      <c r="D179" s="1" t="s">
        <v>2104</v>
      </c>
      <c r="E179" s="1">
        <v>6200</v>
      </c>
      <c r="F179" s="5">
        <v>1</v>
      </c>
      <c r="G179" s="1" t="s">
        <v>229</v>
      </c>
      <c r="H179" s="234">
        <v>86</v>
      </c>
      <c r="I179" s="236">
        <f t="shared" si="11"/>
        <v>86</v>
      </c>
      <c r="J179" s="354">
        <v>45.8</v>
      </c>
      <c r="K179" s="241" t="e">
        <f>#REF!*F179</f>
        <v>#REF!</v>
      </c>
      <c r="L179" s="237">
        <v>41064</v>
      </c>
      <c r="M179" s="1" t="s">
        <v>343</v>
      </c>
      <c r="N179" s="235">
        <f t="shared" si="9"/>
        <v>86</v>
      </c>
      <c r="O179" s="235">
        <f t="shared" si="10"/>
        <v>0</v>
      </c>
      <c r="P179" s="238" t="s">
        <v>574</v>
      </c>
      <c r="Q179" s="1" t="s">
        <v>1251</v>
      </c>
      <c r="R179" s="239" t="s">
        <v>575</v>
      </c>
      <c r="T179" s="238" t="s">
        <v>2227</v>
      </c>
      <c r="U179" s="238" t="s">
        <v>576</v>
      </c>
      <c r="V179" s="238" t="s">
        <v>254</v>
      </c>
      <c r="Y179" s="239"/>
      <c r="Z179" s="239"/>
      <c r="AB179" s="1" t="s">
        <v>382</v>
      </c>
    </row>
    <row r="180" spans="1:44" s="252" customFormat="1" ht="11.25" customHeight="1">
      <c r="A180" s="233">
        <v>41064</v>
      </c>
      <c r="B180" s="1" t="s">
        <v>573</v>
      </c>
      <c r="C180" s="1" t="s">
        <v>2071</v>
      </c>
      <c r="D180" s="1" t="s">
        <v>353</v>
      </c>
      <c r="E180" s="1" t="s">
        <v>2072</v>
      </c>
      <c r="F180" s="5">
        <v>6</v>
      </c>
      <c r="G180" s="1" t="s">
        <v>229</v>
      </c>
      <c r="H180" s="234">
        <v>30</v>
      </c>
      <c r="I180" s="236">
        <f t="shared" si="11"/>
        <v>180</v>
      </c>
      <c r="J180" s="351">
        <v>19</v>
      </c>
      <c r="K180" s="241">
        <f>19*6</f>
        <v>114</v>
      </c>
      <c r="L180" s="237">
        <v>41064</v>
      </c>
      <c r="M180" s="1" t="s">
        <v>343</v>
      </c>
      <c r="N180" s="235">
        <f t="shared" si="9"/>
        <v>180</v>
      </c>
      <c r="O180" s="235">
        <f t="shared" si="10"/>
        <v>0</v>
      </c>
      <c r="P180" s="238" t="s">
        <v>574</v>
      </c>
      <c r="Q180" s="1" t="s">
        <v>2228</v>
      </c>
      <c r="R180" s="239" t="s">
        <v>575</v>
      </c>
      <c r="S180" s="238"/>
      <c r="T180" s="238" t="s">
        <v>2227</v>
      </c>
      <c r="U180" s="238" t="s">
        <v>576</v>
      </c>
      <c r="V180" s="238" t="s">
        <v>254</v>
      </c>
      <c r="W180" s="236"/>
      <c r="X180" s="233"/>
      <c r="Y180" s="239"/>
      <c r="Z180" s="239"/>
      <c r="AA180" s="240"/>
      <c r="AB180" s="1" t="s">
        <v>382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1.25" customHeight="1">
      <c r="A181" s="233">
        <v>41064</v>
      </c>
      <c r="B181" s="1" t="s">
        <v>573</v>
      </c>
      <c r="C181" s="1" t="s">
        <v>2071</v>
      </c>
      <c r="D181" s="1" t="s">
        <v>2219</v>
      </c>
      <c r="E181" s="1" t="s">
        <v>2076</v>
      </c>
      <c r="F181" s="5">
        <v>100</v>
      </c>
      <c r="G181" s="1" t="s">
        <v>231</v>
      </c>
      <c r="H181" s="234">
        <v>8</v>
      </c>
      <c r="I181" s="236">
        <f t="shared" si="11"/>
        <v>800</v>
      </c>
      <c r="J181" s="351">
        <v>5.0999999999999996</v>
      </c>
      <c r="K181" s="241">
        <f>5.1*100</f>
        <v>509.99999999999994</v>
      </c>
      <c r="L181" s="237">
        <v>41064</v>
      </c>
      <c r="M181" s="1" t="s">
        <v>343</v>
      </c>
      <c r="N181" s="235">
        <f t="shared" si="9"/>
        <v>800</v>
      </c>
      <c r="O181" s="235">
        <f t="shared" si="10"/>
        <v>0</v>
      </c>
      <c r="P181" s="238" t="s">
        <v>574</v>
      </c>
      <c r="Q181" s="1" t="s">
        <v>2228</v>
      </c>
      <c r="R181" s="239" t="s">
        <v>575</v>
      </c>
      <c r="T181" s="238" t="s">
        <v>2227</v>
      </c>
      <c r="U181" s="238" t="s">
        <v>576</v>
      </c>
      <c r="V181" s="238" t="s">
        <v>254</v>
      </c>
      <c r="Y181" s="239"/>
      <c r="Z181" s="239"/>
      <c r="AB181" s="1" t="s">
        <v>382</v>
      </c>
    </row>
    <row r="182" spans="1:44" s="252" customFormat="1" ht="11.25" customHeight="1">
      <c r="A182" s="233">
        <v>41064</v>
      </c>
      <c r="B182" s="1" t="s">
        <v>573</v>
      </c>
      <c r="C182" s="1" t="s">
        <v>2071</v>
      </c>
      <c r="D182" s="1" t="s">
        <v>263</v>
      </c>
      <c r="E182" s="1">
        <v>501</v>
      </c>
      <c r="F182" s="5">
        <v>12</v>
      </c>
      <c r="G182" s="1" t="s">
        <v>229</v>
      </c>
      <c r="H182" s="234">
        <v>2</v>
      </c>
      <c r="I182" s="236">
        <f t="shared" si="11"/>
        <v>24</v>
      </c>
      <c r="J182" s="351">
        <v>1.4</v>
      </c>
      <c r="K182" s="241">
        <f>1.4*12</f>
        <v>16.799999999999997</v>
      </c>
      <c r="L182" s="237">
        <v>41064</v>
      </c>
      <c r="M182" s="1" t="s">
        <v>343</v>
      </c>
      <c r="N182" s="235">
        <f t="shared" si="9"/>
        <v>24</v>
      </c>
      <c r="O182" s="235">
        <f t="shared" si="10"/>
        <v>0</v>
      </c>
      <c r="P182" s="238" t="s">
        <v>574</v>
      </c>
      <c r="Q182" s="1" t="s">
        <v>2229</v>
      </c>
      <c r="R182" s="239" t="s">
        <v>575</v>
      </c>
      <c r="S182" s="238"/>
      <c r="T182" s="238" t="s">
        <v>2227</v>
      </c>
      <c r="U182" s="238" t="s">
        <v>576</v>
      </c>
      <c r="V182" s="238" t="s">
        <v>254</v>
      </c>
      <c r="W182" s="236"/>
      <c r="X182" s="233"/>
      <c r="Y182" s="239"/>
      <c r="Z182" s="239"/>
      <c r="AA182" s="240"/>
      <c r="AB182" s="1" t="s">
        <v>382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1.25" customHeight="1">
      <c r="A183" s="233">
        <v>41064</v>
      </c>
      <c r="B183" s="1" t="s">
        <v>573</v>
      </c>
      <c r="C183" s="1" t="s">
        <v>2071</v>
      </c>
      <c r="D183" s="5" t="s">
        <v>2012</v>
      </c>
      <c r="E183" s="1" t="s">
        <v>2089</v>
      </c>
      <c r="F183" s="5">
        <v>200</v>
      </c>
      <c r="G183" s="1" t="s">
        <v>4970</v>
      </c>
      <c r="H183" s="234">
        <v>2.6</v>
      </c>
      <c r="I183" s="236">
        <f t="shared" si="11"/>
        <v>520</v>
      </c>
      <c r="J183" s="351">
        <v>1.6</v>
      </c>
      <c r="K183" s="241">
        <f>1.6*200</f>
        <v>320</v>
      </c>
      <c r="L183" s="237">
        <v>41064</v>
      </c>
      <c r="M183" s="1" t="s">
        <v>343</v>
      </c>
      <c r="N183" s="235">
        <f t="shared" si="9"/>
        <v>520</v>
      </c>
      <c r="O183" s="235">
        <f t="shared" si="10"/>
        <v>0</v>
      </c>
      <c r="P183" s="238" t="s">
        <v>574</v>
      </c>
      <c r="Q183" s="1" t="s">
        <v>2228</v>
      </c>
      <c r="R183" s="239" t="s">
        <v>575</v>
      </c>
      <c r="T183" s="238" t="s">
        <v>2227</v>
      </c>
      <c r="U183" s="238" t="s">
        <v>576</v>
      </c>
      <c r="V183" s="238" t="s">
        <v>254</v>
      </c>
      <c r="Y183" s="239"/>
      <c r="Z183" s="239"/>
      <c r="AB183" s="1" t="s">
        <v>382</v>
      </c>
    </row>
    <row r="184" spans="1:44" ht="11.25" customHeight="1">
      <c r="A184" s="233">
        <v>41066</v>
      </c>
      <c r="B184" s="1" t="s">
        <v>378</v>
      </c>
      <c r="C184" s="1" t="s">
        <v>2071</v>
      </c>
      <c r="D184" s="1" t="s">
        <v>2219</v>
      </c>
      <c r="E184" s="1" t="s">
        <v>2113</v>
      </c>
      <c r="F184" s="5">
        <v>200</v>
      </c>
      <c r="G184" s="1" t="s">
        <v>231</v>
      </c>
      <c r="H184" s="234">
        <v>1.85</v>
      </c>
      <c r="I184" s="236">
        <f t="shared" si="11"/>
        <v>370</v>
      </c>
      <c r="J184" s="352">
        <v>1.77</v>
      </c>
      <c r="K184" s="253">
        <f>1.77*200</f>
        <v>354</v>
      </c>
      <c r="L184" s="237">
        <v>41085</v>
      </c>
      <c r="M184" s="1" t="s">
        <v>2100</v>
      </c>
      <c r="N184" s="235">
        <f t="shared" si="9"/>
        <v>370</v>
      </c>
      <c r="O184" s="235">
        <f t="shared" si="10"/>
        <v>0</v>
      </c>
      <c r="P184" s="238" t="s">
        <v>577</v>
      </c>
      <c r="Q184" s="1" t="s">
        <v>2230</v>
      </c>
      <c r="R184" s="239" t="s">
        <v>403</v>
      </c>
      <c r="S184" s="238" t="s">
        <v>404</v>
      </c>
      <c r="T184" s="238" t="s">
        <v>2231</v>
      </c>
      <c r="U184" s="238" t="s">
        <v>578</v>
      </c>
      <c r="V184" s="238" t="s">
        <v>254</v>
      </c>
      <c r="Y184" s="239"/>
      <c r="Z184" s="239"/>
      <c r="AB184" s="1" t="s">
        <v>377</v>
      </c>
    </row>
    <row r="185" spans="1:44" ht="11.25" customHeight="1">
      <c r="A185" s="233">
        <v>41066</v>
      </c>
      <c r="B185" s="1" t="s">
        <v>378</v>
      </c>
      <c r="C185" s="1" t="s">
        <v>2071</v>
      </c>
      <c r="D185" s="1" t="s">
        <v>2232</v>
      </c>
      <c r="E185" s="1">
        <v>3700</v>
      </c>
      <c r="F185" s="5">
        <v>30</v>
      </c>
      <c r="G185" s="1" t="s">
        <v>229</v>
      </c>
      <c r="H185" s="234">
        <v>3.8</v>
      </c>
      <c r="I185" s="236">
        <f t="shared" si="11"/>
        <v>114</v>
      </c>
      <c r="J185" s="351">
        <v>3.7</v>
      </c>
      <c r="K185" s="241">
        <f>3.7*30</f>
        <v>111</v>
      </c>
      <c r="L185" s="237">
        <v>41085</v>
      </c>
      <c r="M185" s="1" t="s">
        <v>2100</v>
      </c>
      <c r="N185" s="235">
        <f t="shared" si="9"/>
        <v>114</v>
      </c>
      <c r="O185" s="235">
        <f t="shared" si="10"/>
        <v>0</v>
      </c>
      <c r="P185" s="238" t="s">
        <v>577</v>
      </c>
      <c r="Q185" s="1" t="s">
        <v>2230</v>
      </c>
      <c r="R185" s="239" t="s">
        <v>403</v>
      </c>
      <c r="S185" s="238" t="s">
        <v>404</v>
      </c>
      <c r="T185" s="238" t="s">
        <v>2231</v>
      </c>
      <c r="U185" s="238" t="s">
        <v>579</v>
      </c>
      <c r="V185" s="238" t="s">
        <v>254</v>
      </c>
      <c r="Y185" s="239"/>
      <c r="Z185" s="239"/>
      <c r="AB185" s="1" t="s">
        <v>377</v>
      </c>
    </row>
    <row r="186" spans="1:44" ht="11.25" customHeight="1">
      <c r="A186" s="233">
        <v>41066</v>
      </c>
      <c r="B186" s="1" t="s">
        <v>378</v>
      </c>
      <c r="C186" s="1" t="s">
        <v>2071</v>
      </c>
      <c r="D186" s="1" t="s">
        <v>268</v>
      </c>
      <c r="E186" s="1" t="s">
        <v>2106</v>
      </c>
      <c r="F186" s="5">
        <v>50</v>
      </c>
      <c r="G186" s="1" t="s">
        <v>231</v>
      </c>
      <c r="H186" s="234">
        <v>1.48</v>
      </c>
      <c r="I186" s="236">
        <f t="shared" si="11"/>
        <v>74</v>
      </c>
      <c r="J186" s="352">
        <v>1.44</v>
      </c>
      <c r="K186" s="241">
        <f>1.44*50</f>
        <v>72</v>
      </c>
      <c r="L186" s="237">
        <v>41085</v>
      </c>
      <c r="M186" s="1" t="s">
        <v>2100</v>
      </c>
      <c r="N186" s="235">
        <f t="shared" si="9"/>
        <v>74</v>
      </c>
      <c r="O186" s="235">
        <f t="shared" si="10"/>
        <v>0</v>
      </c>
      <c r="P186" s="238" t="s">
        <v>577</v>
      </c>
      <c r="Q186" s="1" t="s">
        <v>2230</v>
      </c>
      <c r="R186" s="239" t="s">
        <v>403</v>
      </c>
      <c r="S186" s="238" t="s">
        <v>404</v>
      </c>
      <c r="T186" s="238" t="s">
        <v>2231</v>
      </c>
      <c r="U186" s="238" t="s">
        <v>580</v>
      </c>
      <c r="V186" s="238" t="s">
        <v>254</v>
      </c>
      <c r="Y186" s="239"/>
      <c r="Z186" s="239"/>
      <c r="AB186" s="1" t="s">
        <v>377</v>
      </c>
    </row>
    <row r="187" spans="1:44" ht="11.25" customHeight="1">
      <c r="A187" s="233">
        <v>41066</v>
      </c>
      <c r="B187" s="1" t="s">
        <v>581</v>
      </c>
      <c r="C187" s="1" t="s">
        <v>2071</v>
      </c>
      <c r="D187" s="1" t="s">
        <v>2104</v>
      </c>
      <c r="E187" s="1">
        <v>6200</v>
      </c>
      <c r="F187" s="5">
        <v>1</v>
      </c>
      <c r="G187" s="1" t="s">
        <v>229</v>
      </c>
      <c r="H187" s="234">
        <v>86</v>
      </c>
      <c r="I187" s="236">
        <f t="shared" si="11"/>
        <v>86</v>
      </c>
      <c r="J187" s="354">
        <v>45.8</v>
      </c>
      <c r="K187" s="241" t="e">
        <f>#REF!*F187</f>
        <v>#REF!</v>
      </c>
      <c r="L187" s="237">
        <v>41066</v>
      </c>
      <c r="M187" s="1" t="s">
        <v>343</v>
      </c>
      <c r="N187" s="235">
        <f t="shared" si="9"/>
        <v>86</v>
      </c>
      <c r="O187" s="235">
        <f t="shared" si="10"/>
        <v>0</v>
      </c>
      <c r="P187" s="238" t="s">
        <v>582</v>
      </c>
      <c r="Q187" s="1" t="s">
        <v>1252</v>
      </c>
      <c r="R187" s="239" t="s">
        <v>583</v>
      </c>
      <c r="S187" s="238" t="s">
        <v>584</v>
      </c>
      <c r="T187" s="238" t="s">
        <v>2233</v>
      </c>
      <c r="U187" s="238" t="s">
        <v>585</v>
      </c>
      <c r="V187" s="238" t="s">
        <v>254</v>
      </c>
      <c r="W187" s="236" t="s">
        <v>5324</v>
      </c>
      <c r="X187" s="233" t="s">
        <v>5324</v>
      </c>
      <c r="Y187" s="239" t="s">
        <v>5324</v>
      </c>
      <c r="Z187" s="239"/>
      <c r="AB187" s="1" t="s">
        <v>382</v>
      </c>
    </row>
    <row r="188" spans="1:44" ht="11.25" customHeight="1">
      <c r="A188" s="233">
        <v>41066</v>
      </c>
      <c r="B188" s="1" t="s">
        <v>581</v>
      </c>
      <c r="C188" s="1" t="s">
        <v>2071</v>
      </c>
      <c r="D188" s="1" t="s">
        <v>353</v>
      </c>
      <c r="E188" s="1" t="s">
        <v>2072</v>
      </c>
      <c r="F188" s="5">
        <v>2</v>
      </c>
      <c r="G188" s="1" t="s">
        <v>229</v>
      </c>
      <c r="H188" s="234">
        <v>30</v>
      </c>
      <c r="I188" s="236">
        <f t="shared" si="11"/>
        <v>60</v>
      </c>
      <c r="J188" s="351">
        <v>19</v>
      </c>
      <c r="K188" s="241">
        <f>19*2</f>
        <v>38</v>
      </c>
      <c r="L188" s="237">
        <v>41066</v>
      </c>
      <c r="M188" s="1" t="s">
        <v>343</v>
      </c>
      <c r="N188" s="235">
        <f t="shared" si="9"/>
        <v>60</v>
      </c>
      <c r="O188" s="235">
        <f t="shared" si="10"/>
        <v>0</v>
      </c>
      <c r="P188" s="238" t="s">
        <v>582</v>
      </c>
      <c r="Q188" s="1" t="s">
        <v>2234</v>
      </c>
      <c r="R188" s="239" t="s">
        <v>583</v>
      </c>
      <c r="S188" s="238" t="s">
        <v>584</v>
      </c>
      <c r="T188" s="238" t="s">
        <v>2233</v>
      </c>
      <c r="U188" s="238" t="s">
        <v>585</v>
      </c>
      <c r="V188" s="238" t="s">
        <v>254</v>
      </c>
      <c r="W188" s="236" t="s">
        <v>5324</v>
      </c>
      <c r="X188" s="233" t="s">
        <v>5324</v>
      </c>
      <c r="Y188" s="239" t="s">
        <v>5324</v>
      </c>
      <c r="Z188" s="239"/>
      <c r="AB188" s="1" t="s">
        <v>382</v>
      </c>
    </row>
    <row r="189" spans="1:44" ht="11.25" customHeight="1">
      <c r="A189" s="233">
        <v>41066</v>
      </c>
      <c r="B189" s="1" t="s">
        <v>581</v>
      </c>
      <c r="C189" s="1" t="s">
        <v>2071</v>
      </c>
      <c r="D189" s="1" t="s">
        <v>2219</v>
      </c>
      <c r="E189" s="1" t="s">
        <v>2076</v>
      </c>
      <c r="F189" s="5">
        <v>2</v>
      </c>
      <c r="G189" s="1" t="s">
        <v>231</v>
      </c>
      <c r="H189" s="234">
        <v>8</v>
      </c>
      <c r="I189" s="236">
        <f t="shared" si="11"/>
        <v>16</v>
      </c>
      <c r="J189" s="351">
        <v>5.0999999999999996</v>
      </c>
      <c r="K189" s="241">
        <f>5.1*2</f>
        <v>10.199999999999999</v>
      </c>
      <c r="L189" s="237">
        <v>41066</v>
      </c>
      <c r="M189" s="1" t="s">
        <v>343</v>
      </c>
      <c r="N189" s="235">
        <f t="shared" si="9"/>
        <v>16</v>
      </c>
      <c r="O189" s="235">
        <f t="shared" si="10"/>
        <v>0</v>
      </c>
      <c r="P189" s="238" t="s">
        <v>582</v>
      </c>
      <c r="Q189" s="1" t="s">
        <v>2234</v>
      </c>
      <c r="R189" s="239" t="s">
        <v>583</v>
      </c>
      <c r="S189" s="238" t="s">
        <v>584</v>
      </c>
      <c r="T189" s="238" t="s">
        <v>2233</v>
      </c>
      <c r="U189" s="238" t="s">
        <v>585</v>
      </c>
      <c r="V189" s="238" t="s">
        <v>254</v>
      </c>
      <c r="W189" s="236" t="s">
        <v>5324</v>
      </c>
      <c r="X189" s="233" t="s">
        <v>5324</v>
      </c>
      <c r="Y189" s="239" t="s">
        <v>5324</v>
      </c>
      <c r="Z189" s="239"/>
      <c r="AB189" s="1" t="s">
        <v>382</v>
      </c>
    </row>
    <row r="190" spans="1:44" ht="11.25" customHeight="1">
      <c r="A190" s="233">
        <v>41066</v>
      </c>
      <c r="B190" s="1" t="s">
        <v>581</v>
      </c>
      <c r="C190" s="1" t="s">
        <v>2071</v>
      </c>
      <c r="D190" s="1" t="s">
        <v>263</v>
      </c>
      <c r="E190" s="1">
        <v>501</v>
      </c>
      <c r="F190" s="5">
        <v>2</v>
      </c>
      <c r="G190" s="1" t="s">
        <v>229</v>
      </c>
      <c r="H190" s="234">
        <v>2</v>
      </c>
      <c r="I190" s="236">
        <f t="shared" si="11"/>
        <v>4</v>
      </c>
      <c r="J190" s="351">
        <v>1.4</v>
      </c>
      <c r="K190" s="241">
        <f>1.4*2</f>
        <v>2.8</v>
      </c>
      <c r="L190" s="237">
        <v>41066</v>
      </c>
      <c r="M190" s="1" t="s">
        <v>343</v>
      </c>
      <c r="N190" s="235">
        <f t="shared" si="9"/>
        <v>4</v>
      </c>
      <c r="O190" s="235">
        <f t="shared" si="10"/>
        <v>0</v>
      </c>
      <c r="P190" s="238" t="s">
        <v>582</v>
      </c>
      <c r="Q190" s="1" t="s">
        <v>2235</v>
      </c>
      <c r="R190" s="239" t="s">
        <v>583</v>
      </c>
      <c r="S190" s="238" t="s">
        <v>584</v>
      </c>
      <c r="T190" s="238" t="s">
        <v>2233</v>
      </c>
      <c r="U190" s="238" t="s">
        <v>585</v>
      </c>
      <c r="V190" s="238" t="s">
        <v>254</v>
      </c>
      <c r="W190" s="236" t="s">
        <v>5324</v>
      </c>
      <c r="X190" s="233" t="s">
        <v>5324</v>
      </c>
      <c r="Y190" s="239" t="s">
        <v>5324</v>
      </c>
      <c r="Z190" s="239"/>
      <c r="AB190" s="1" t="s">
        <v>382</v>
      </c>
    </row>
    <row r="191" spans="1:44" ht="11.25" customHeight="1">
      <c r="A191" s="233">
        <v>41066</v>
      </c>
      <c r="B191" s="1" t="s">
        <v>581</v>
      </c>
      <c r="C191" s="1" t="s">
        <v>2071</v>
      </c>
      <c r="D191" s="5" t="s">
        <v>2012</v>
      </c>
      <c r="E191" s="1" t="s">
        <v>2089</v>
      </c>
      <c r="F191" s="5">
        <v>100</v>
      </c>
      <c r="G191" s="1" t="s">
        <v>4970</v>
      </c>
      <c r="H191" s="234">
        <v>2.6</v>
      </c>
      <c r="I191" s="236">
        <f t="shared" si="11"/>
        <v>260</v>
      </c>
      <c r="J191" s="351">
        <v>1.6</v>
      </c>
      <c r="K191" s="241">
        <f>1.6*100</f>
        <v>160</v>
      </c>
      <c r="L191" s="237">
        <v>41066</v>
      </c>
      <c r="M191" s="1" t="s">
        <v>343</v>
      </c>
      <c r="N191" s="235">
        <f t="shared" si="9"/>
        <v>260</v>
      </c>
      <c r="O191" s="235">
        <f t="shared" si="10"/>
        <v>0</v>
      </c>
      <c r="P191" s="238" t="s">
        <v>582</v>
      </c>
      <c r="Q191" s="1" t="s">
        <v>2234</v>
      </c>
      <c r="R191" s="239" t="s">
        <v>583</v>
      </c>
      <c r="S191" s="238" t="s">
        <v>584</v>
      </c>
      <c r="T191" s="238" t="s">
        <v>2233</v>
      </c>
      <c r="U191" s="238" t="s">
        <v>585</v>
      </c>
      <c r="V191" s="238" t="s">
        <v>254</v>
      </c>
      <c r="W191" s="236" t="s">
        <v>5324</v>
      </c>
      <c r="X191" s="233" t="s">
        <v>5324</v>
      </c>
      <c r="Y191" s="239" t="s">
        <v>5324</v>
      </c>
      <c r="Z191" s="239"/>
      <c r="AB191" s="1" t="s">
        <v>382</v>
      </c>
    </row>
    <row r="192" spans="1:44" ht="11.25" customHeight="1">
      <c r="A192" s="233">
        <v>41067</v>
      </c>
      <c r="B192" s="1" t="s">
        <v>2236</v>
      </c>
      <c r="C192" s="1" t="s">
        <v>2071</v>
      </c>
      <c r="D192" s="1" t="s">
        <v>240</v>
      </c>
      <c r="E192" s="1">
        <v>6200</v>
      </c>
      <c r="F192" s="5">
        <v>40</v>
      </c>
      <c r="G192" s="1" t="s">
        <v>229</v>
      </c>
      <c r="H192" s="234">
        <v>79.400000000000006</v>
      </c>
      <c r="I192" s="236">
        <f t="shared" si="11"/>
        <v>3176</v>
      </c>
      <c r="J192" s="354">
        <v>45.8</v>
      </c>
      <c r="K192" s="241">
        <f>45.8*F192</f>
        <v>1832</v>
      </c>
      <c r="L192" s="237">
        <v>41103</v>
      </c>
      <c r="M192" s="1" t="s">
        <v>2073</v>
      </c>
      <c r="N192" s="235">
        <f t="shared" si="9"/>
        <v>3176</v>
      </c>
      <c r="O192" s="235">
        <f t="shared" si="10"/>
        <v>0</v>
      </c>
      <c r="P192" s="238" t="s">
        <v>587</v>
      </c>
      <c r="Q192" s="1" t="s">
        <v>521</v>
      </c>
      <c r="R192" s="239" t="s">
        <v>588</v>
      </c>
      <c r="S192" s="238" t="s">
        <v>589</v>
      </c>
      <c r="T192" s="238" t="s">
        <v>2237</v>
      </c>
      <c r="U192" s="238" t="s">
        <v>590</v>
      </c>
      <c r="V192" s="238" t="s">
        <v>2238</v>
      </c>
      <c r="W192" s="236">
        <v>9200</v>
      </c>
      <c r="X192" s="233">
        <v>41103</v>
      </c>
      <c r="Y192" s="238" t="s">
        <v>2239</v>
      </c>
      <c r="Z192" s="238"/>
      <c r="AA192" s="240" t="s">
        <v>591</v>
      </c>
      <c r="AB192" s="1" t="s">
        <v>382</v>
      </c>
    </row>
    <row r="193" spans="1:28" ht="11.25" customHeight="1">
      <c r="A193" s="233">
        <v>41067</v>
      </c>
      <c r="B193" s="1" t="s">
        <v>586</v>
      </c>
      <c r="C193" s="1" t="s">
        <v>2240</v>
      </c>
      <c r="D193" s="1" t="s">
        <v>2241</v>
      </c>
      <c r="E193" s="1" t="s">
        <v>2242</v>
      </c>
      <c r="F193" s="5">
        <v>160</v>
      </c>
      <c r="G193" s="1" t="s">
        <v>229</v>
      </c>
      <c r="H193" s="234">
        <v>28.6</v>
      </c>
      <c r="I193" s="236">
        <f t="shared" si="11"/>
        <v>4576</v>
      </c>
      <c r="J193" s="351">
        <v>18.37</v>
      </c>
      <c r="K193" s="241">
        <f>18.37*160</f>
        <v>2939.2000000000003</v>
      </c>
      <c r="L193" s="237">
        <v>41103</v>
      </c>
      <c r="M193" s="1" t="s">
        <v>2243</v>
      </c>
      <c r="N193" s="235">
        <f t="shared" si="9"/>
        <v>4576</v>
      </c>
      <c r="O193" s="235">
        <f t="shared" si="10"/>
        <v>0</v>
      </c>
      <c r="P193" s="238" t="s">
        <v>587</v>
      </c>
      <c r="Q193" s="1" t="s">
        <v>521</v>
      </c>
      <c r="R193" s="239" t="s">
        <v>588</v>
      </c>
      <c r="S193" s="238" t="s">
        <v>589</v>
      </c>
      <c r="T193" s="238" t="s">
        <v>2237</v>
      </c>
      <c r="U193" s="238" t="s">
        <v>590</v>
      </c>
      <c r="V193" s="238" t="s">
        <v>2238</v>
      </c>
      <c r="W193" s="236">
        <v>9200</v>
      </c>
      <c r="X193" s="233">
        <v>41103</v>
      </c>
      <c r="Y193" s="238" t="s">
        <v>2239</v>
      </c>
      <c r="Z193" s="238"/>
      <c r="AA193" s="240" t="s">
        <v>591</v>
      </c>
      <c r="AB193" s="1" t="s">
        <v>382</v>
      </c>
    </row>
    <row r="194" spans="1:28" ht="11.25" customHeight="1">
      <c r="A194" s="233">
        <v>41067</v>
      </c>
      <c r="B194" s="1" t="s">
        <v>586</v>
      </c>
      <c r="C194" s="1" t="s">
        <v>2240</v>
      </c>
      <c r="D194" s="1" t="s">
        <v>2244</v>
      </c>
      <c r="E194" s="1" t="s">
        <v>2245</v>
      </c>
      <c r="F194" s="5">
        <v>160</v>
      </c>
      <c r="G194" s="1" t="s">
        <v>231</v>
      </c>
      <c r="H194" s="234">
        <v>7.99</v>
      </c>
      <c r="I194" s="236">
        <f t="shared" si="11"/>
        <v>1278.4000000000001</v>
      </c>
      <c r="J194" s="351">
        <v>5.0999999999999996</v>
      </c>
      <c r="K194" s="241">
        <f>5.1*160</f>
        <v>816</v>
      </c>
      <c r="L194" s="237">
        <v>41103</v>
      </c>
      <c r="M194" s="1" t="s">
        <v>2243</v>
      </c>
      <c r="N194" s="235">
        <f t="shared" si="9"/>
        <v>1278.4000000000001</v>
      </c>
      <c r="O194" s="235">
        <f t="shared" si="10"/>
        <v>0</v>
      </c>
      <c r="P194" s="238" t="s">
        <v>587</v>
      </c>
      <c r="Q194" s="1" t="s">
        <v>521</v>
      </c>
      <c r="R194" s="239" t="s">
        <v>588</v>
      </c>
      <c r="S194" s="238" t="s">
        <v>589</v>
      </c>
      <c r="T194" s="238" t="s">
        <v>2237</v>
      </c>
      <c r="U194" s="238" t="s">
        <v>590</v>
      </c>
      <c r="V194" s="238" t="s">
        <v>2238</v>
      </c>
      <c r="W194" s="236">
        <v>9200</v>
      </c>
      <c r="X194" s="233">
        <v>41103</v>
      </c>
      <c r="Y194" s="238" t="s">
        <v>2239</v>
      </c>
      <c r="Z194" s="238"/>
      <c r="AA194" s="240" t="s">
        <v>591</v>
      </c>
      <c r="AB194" s="1" t="s">
        <v>382</v>
      </c>
    </row>
    <row r="195" spans="1:28" ht="11.25" customHeight="1">
      <c r="A195" s="233">
        <v>41067</v>
      </c>
      <c r="B195" s="1" t="s">
        <v>586</v>
      </c>
      <c r="C195" s="1" t="s">
        <v>2240</v>
      </c>
      <c r="D195" s="1" t="s">
        <v>2246</v>
      </c>
      <c r="E195" s="1">
        <v>501</v>
      </c>
      <c r="F195" s="5">
        <v>80</v>
      </c>
      <c r="G195" s="1" t="s">
        <v>229</v>
      </c>
      <c r="H195" s="234">
        <v>2.12</v>
      </c>
      <c r="I195" s="236">
        <f t="shared" si="11"/>
        <v>169.60000000000002</v>
      </c>
      <c r="J195" s="351">
        <v>1.4</v>
      </c>
      <c r="K195" s="241">
        <f>1.4*80</f>
        <v>112</v>
      </c>
      <c r="L195" s="237">
        <v>41103</v>
      </c>
      <c r="M195" s="1" t="s">
        <v>2243</v>
      </c>
      <c r="N195" s="235">
        <f t="shared" ref="N195:N258" si="12">I195</f>
        <v>169.60000000000002</v>
      </c>
      <c r="O195" s="235">
        <f t="shared" ref="O195:O258" si="13">I195-N195</f>
        <v>0</v>
      </c>
      <c r="P195" s="238" t="s">
        <v>587</v>
      </c>
      <c r="Q195" s="1" t="s">
        <v>521</v>
      </c>
      <c r="R195" s="239" t="s">
        <v>588</v>
      </c>
      <c r="S195" s="238" t="s">
        <v>589</v>
      </c>
      <c r="T195" s="238" t="s">
        <v>2237</v>
      </c>
      <c r="U195" s="238" t="s">
        <v>590</v>
      </c>
      <c r="V195" s="238" t="s">
        <v>2238</v>
      </c>
      <c r="W195" s="236">
        <v>9200</v>
      </c>
      <c r="X195" s="233">
        <v>41103</v>
      </c>
      <c r="Y195" s="238" t="s">
        <v>2239</v>
      </c>
      <c r="Z195" s="238"/>
      <c r="AA195" s="240" t="s">
        <v>591</v>
      </c>
      <c r="AB195" s="1" t="s">
        <v>382</v>
      </c>
    </row>
    <row r="196" spans="1:28" ht="11.25" customHeight="1">
      <c r="A196" s="233">
        <v>41067</v>
      </c>
      <c r="B196" s="1" t="s">
        <v>592</v>
      </c>
      <c r="C196" s="1" t="s">
        <v>2240</v>
      </c>
      <c r="D196" s="1" t="s">
        <v>1210</v>
      </c>
      <c r="E196" s="1">
        <v>3200</v>
      </c>
      <c r="F196" s="5">
        <v>5</v>
      </c>
      <c r="G196" s="1" t="s">
        <v>229</v>
      </c>
      <c r="H196" s="234">
        <v>65</v>
      </c>
      <c r="I196" s="236">
        <f t="shared" si="11"/>
        <v>325</v>
      </c>
      <c r="J196" s="351">
        <v>0</v>
      </c>
      <c r="K196" s="241">
        <v>0</v>
      </c>
      <c r="L196" s="237">
        <v>41067</v>
      </c>
      <c r="M196" s="1" t="s">
        <v>300</v>
      </c>
      <c r="N196" s="235">
        <f t="shared" si="12"/>
        <v>325</v>
      </c>
      <c r="O196" s="235">
        <f t="shared" si="13"/>
        <v>0</v>
      </c>
      <c r="P196" s="238" t="s">
        <v>594</v>
      </c>
      <c r="Q196" s="1" t="s">
        <v>1253</v>
      </c>
      <c r="R196" s="239" t="s">
        <v>595</v>
      </c>
      <c r="S196" s="238" t="s">
        <v>596</v>
      </c>
      <c r="T196" s="238" t="s">
        <v>2247</v>
      </c>
      <c r="U196" s="238" t="s">
        <v>2248</v>
      </c>
      <c r="V196" s="238" t="s">
        <v>254</v>
      </c>
      <c r="Y196" s="239"/>
      <c r="Z196" s="239"/>
      <c r="AB196" s="1" t="s">
        <v>382</v>
      </c>
    </row>
    <row r="197" spans="1:28" ht="11.25" customHeight="1">
      <c r="A197" s="233">
        <v>41067</v>
      </c>
      <c r="B197" s="1" t="s">
        <v>592</v>
      </c>
      <c r="C197" s="1" t="s">
        <v>2071</v>
      </c>
      <c r="D197" s="1" t="s">
        <v>2104</v>
      </c>
      <c r="E197" s="1">
        <v>6200</v>
      </c>
      <c r="F197" s="5">
        <v>1</v>
      </c>
      <c r="G197" s="1" t="s">
        <v>229</v>
      </c>
      <c r="H197" s="234">
        <v>78</v>
      </c>
      <c r="I197" s="236">
        <f t="shared" si="11"/>
        <v>78</v>
      </c>
      <c r="J197" s="354">
        <v>45.8</v>
      </c>
      <c r="K197" s="241" t="e">
        <f>#REF!*F197</f>
        <v>#REF!</v>
      </c>
      <c r="L197" s="237">
        <v>41067</v>
      </c>
      <c r="M197" s="1" t="s">
        <v>300</v>
      </c>
      <c r="N197" s="235">
        <f t="shared" si="12"/>
        <v>78</v>
      </c>
      <c r="O197" s="235">
        <f t="shared" si="13"/>
        <v>0</v>
      </c>
      <c r="P197" s="238" t="s">
        <v>594</v>
      </c>
      <c r="Q197" s="1" t="s">
        <v>1253</v>
      </c>
      <c r="R197" s="239" t="s">
        <v>595</v>
      </c>
      <c r="S197" s="238" t="s">
        <v>596</v>
      </c>
      <c r="T197" s="238" t="s">
        <v>2247</v>
      </c>
      <c r="U197" s="238" t="s">
        <v>2248</v>
      </c>
      <c r="V197" s="238" t="s">
        <v>254</v>
      </c>
      <c r="Y197" s="239"/>
      <c r="Z197" s="239"/>
      <c r="AB197" s="1" t="s">
        <v>382</v>
      </c>
    </row>
    <row r="198" spans="1:28" ht="11.25" customHeight="1">
      <c r="A198" s="233">
        <v>41067</v>
      </c>
      <c r="B198" s="1" t="s">
        <v>592</v>
      </c>
      <c r="C198" s="1" t="s">
        <v>2071</v>
      </c>
      <c r="D198" s="1" t="s">
        <v>353</v>
      </c>
      <c r="E198" s="1" t="s">
        <v>2072</v>
      </c>
      <c r="F198" s="5">
        <v>2</v>
      </c>
      <c r="G198" s="1" t="s">
        <v>229</v>
      </c>
      <c r="H198" s="234">
        <v>29</v>
      </c>
      <c r="I198" s="236">
        <f t="shared" si="11"/>
        <v>58</v>
      </c>
      <c r="J198" s="351">
        <v>19</v>
      </c>
      <c r="K198" s="241">
        <f>19*2</f>
        <v>38</v>
      </c>
      <c r="L198" s="237">
        <v>41067</v>
      </c>
      <c r="M198" s="1" t="s">
        <v>300</v>
      </c>
      <c r="N198" s="235">
        <f t="shared" si="12"/>
        <v>58</v>
      </c>
      <c r="O198" s="235">
        <f t="shared" si="13"/>
        <v>0</v>
      </c>
      <c r="P198" s="238" t="s">
        <v>594</v>
      </c>
      <c r="Q198" s="1" t="s">
        <v>2249</v>
      </c>
      <c r="R198" s="239" t="s">
        <v>595</v>
      </c>
      <c r="S198" s="238" t="s">
        <v>596</v>
      </c>
      <c r="T198" s="238" t="s">
        <v>2247</v>
      </c>
      <c r="U198" s="238" t="s">
        <v>2248</v>
      </c>
      <c r="V198" s="238" t="s">
        <v>254</v>
      </c>
      <c r="Y198" s="239"/>
      <c r="Z198" s="239"/>
      <c r="AB198" s="1" t="s">
        <v>382</v>
      </c>
    </row>
    <row r="199" spans="1:28" ht="11.25" customHeight="1">
      <c r="A199" s="233">
        <v>41067</v>
      </c>
      <c r="B199" s="1" t="s">
        <v>2250</v>
      </c>
      <c r="C199" s="1" t="s">
        <v>2071</v>
      </c>
      <c r="D199" s="1" t="s">
        <v>2219</v>
      </c>
      <c r="E199" s="1" t="s">
        <v>2076</v>
      </c>
      <c r="F199" s="5">
        <v>4</v>
      </c>
      <c r="G199" s="1" t="s">
        <v>231</v>
      </c>
      <c r="H199" s="234">
        <v>7.5</v>
      </c>
      <c r="I199" s="236">
        <f t="shared" si="11"/>
        <v>30</v>
      </c>
      <c r="J199" s="351">
        <v>0</v>
      </c>
      <c r="K199" s="241">
        <v>0</v>
      </c>
      <c r="L199" s="237">
        <v>41067</v>
      </c>
      <c r="M199" s="1" t="s">
        <v>300</v>
      </c>
      <c r="N199" s="235">
        <f t="shared" si="12"/>
        <v>30</v>
      </c>
      <c r="O199" s="235">
        <f t="shared" si="13"/>
        <v>0</v>
      </c>
      <c r="P199" s="238" t="s">
        <v>594</v>
      </c>
      <c r="Q199" s="1" t="s">
        <v>2249</v>
      </c>
      <c r="R199" s="239" t="s">
        <v>595</v>
      </c>
      <c r="S199" s="238" t="s">
        <v>596</v>
      </c>
      <c r="T199" s="238" t="s">
        <v>2247</v>
      </c>
      <c r="U199" s="238" t="s">
        <v>2248</v>
      </c>
      <c r="V199" s="238" t="s">
        <v>254</v>
      </c>
      <c r="Y199" s="239"/>
      <c r="Z199" s="239"/>
      <c r="AB199" s="1" t="s">
        <v>382</v>
      </c>
    </row>
    <row r="200" spans="1:28" ht="11.25" customHeight="1">
      <c r="A200" s="233">
        <v>41067</v>
      </c>
      <c r="B200" s="1" t="s">
        <v>592</v>
      </c>
      <c r="C200" s="1" t="s">
        <v>2071</v>
      </c>
      <c r="D200" s="5" t="s">
        <v>2012</v>
      </c>
      <c r="E200" s="1" t="s">
        <v>2089</v>
      </c>
      <c r="F200" s="5">
        <v>50</v>
      </c>
      <c r="G200" s="1" t="s">
        <v>4970</v>
      </c>
      <c r="H200" s="234">
        <v>2.6</v>
      </c>
      <c r="I200" s="236">
        <f t="shared" si="11"/>
        <v>130</v>
      </c>
      <c r="J200" s="351">
        <v>1.6</v>
      </c>
      <c r="K200" s="241">
        <f>1.6*50</f>
        <v>80</v>
      </c>
      <c r="L200" s="237">
        <v>41067</v>
      </c>
      <c r="M200" s="1" t="s">
        <v>300</v>
      </c>
      <c r="N200" s="235">
        <f t="shared" si="12"/>
        <v>130</v>
      </c>
      <c r="O200" s="235">
        <f t="shared" si="13"/>
        <v>0</v>
      </c>
      <c r="P200" s="238" t="s">
        <v>594</v>
      </c>
      <c r="Q200" s="1" t="s">
        <v>2249</v>
      </c>
      <c r="R200" s="239" t="s">
        <v>595</v>
      </c>
      <c r="S200" s="238" t="s">
        <v>596</v>
      </c>
      <c r="T200" s="238" t="s">
        <v>2247</v>
      </c>
      <c r="U200" s="238" t="s">
        <v>2248</v>
      </c>
      <c r="V200" s="238" t="s">
        <v>254</v>
      </c>
      <c r="Y200" s="239"/>
      <c r="Z200" s="239"/>
      <c r="AB200" s="1" t="s">
        <v>382</v>
      </c>
    </row>
    <row r="201" spans="1:28" ht="11.25" customHeight="1">
      <c r="A201" s="233">
        <v>41067</v>
      </c>
      <c r="B201" s="1" t="s">
        <v>597</v>
      </c>
      <c r="C201" s="1" t="s">
        <v>2071</v>
      </c>
      <c r="D201" s="5" t="s">
        <v>2012</v>
      </c>
      <c r="E201" s="1" t="s">
        <v>2089</v>
      </c>
      <c r="F201" s="5">
        <v>50</v>
      </c>
      <c r="G201" s="1" t="s">
        <v>4970</v>
      </c>
      <c r="H201" s="234">
        <v>2.6</v>
      </c>
      <c r="I201" s="236">
        <f t="shared" si="11"/>
        <v>130</v>
      </c>
      <c r="J201" s="351">
        <v>1.6</v>
      </c>
      <c r="K201" s="241">
        <f>1.6*50</f>
        <v>80</v>
      </c>
      <c r="L201" s="237">
        <v>41067</v>
      </c>
      <c r="M201" s="1" t="s">
        <v>300</v>
      </c>
      <c r="N201" s="235">
        <f t="shared" si="12"/>
        <v>130</v>
      </c>
      <c r="O201" s="235">
        <f t="shared" si="13"/>
        <v>0</v>
      </c>
      <c r="P201" s="238" t="s">
        <v>598</v>
      </c>
      <c r="Q201" s="1" t="s">
        <v>2249</v>
      </c>
      <c r="R201" s="239" t="s">
        <v>599</v>
      </c>
      <c r="S201" s="238" t="s">
        <v>600</v>
      </c>
      <c r="T201" s="238" t="s">
        <v>2251</v>
      </c>
      <c r="U201" s="238" t="s">
        <v>2252</v>
      </c>
      <c r="V201" s="238" t="s">
        <v>254</v>
      </c>
      <c r="Y201" s="239"/>
      <c r="Z201" s="239"/>
      <c r="AB201" s="1" t="s">
        <v>382</v>
      </c>
    </row>
    <row r="202" spans="1:28" ht="11.25" customHeight="1">
      <c r="A202" s="233">
        <v>41068</v>
      </c>
      <c r="B202" s="1" t="s">
        <v>2253</v>
      </c>
      <c r="C202" s="1" t="s">
        <v>2071</v>
      </c>
      <c r="D202" s="1" t="s">
        <v>2254</v>
      </c>
      <c r="E202" s="1" t="s">
        <v>2255</v>
      </c>
      <c r="F202" s="5">
        <v>600</v>
      </c>
      <c r="G202" s="1" t="s">
        <v>2099</v>
      </c>
      <c r="H202" s="234">
        <v>2.5</v>
      </c>
      <c r="I202" s="236">
        <f t="shared" si="11"/>
        <v>1500</v>
      </c>
      <c r="J202" s="351"/>
      <c r="K202" s="241">
        <f>1.72*600</f>
        <v>1032</v>
      </c>
      <c r="L202" s="237">
        <v>41243</v>
      </c>
      <c r="M202" s="1" t="s">
        <v>2073</v>
      </c>
      <c r="N202" s="235">
        <f t="shared" si="12"/>
        <v>1500</v>
      </c>
      <c r="O202" s="235">
        <f t="shared" si="13"/>
        <v>0</v>
      </c>
      <c r="P202" s="238" t="s">
        <v>601</v>
      </c>
      <c r="Q202" s="1" t="s">
        <v>427</v>
      </c>
      <c r="R202" s="239" t="s">
        <v>1389</v>
      </c>
      <c r="S202" s="238" t="s">
        <v>602</v>
      </c>
      <c r="T202" s="238" t="s">
        <v>2256</v>
      </c>
      <c r="U202" s="238" t="s">
        <v>2257</v>
      </c>
      <c r="V202" s="238" t="s">
        <v>2258</v>
      </c>
      <c r="W202" s="236">
        <v>5859</v>
      </c>
      <c r="X202" s="233">
        <v>41201</v>
      </c>
      <c r="Y202" s="239" t="s">
        <v>2259</v>
      </c>
      <c r="Z202" s="239"/>
      <c r="AA202" s="240" t="s">
        <v>603</v>
      </c>
      <c r="AB202" s="1" t="s">
        <v>382</v>
      </c>
    </row>
    <row r="203" spans="1:28" ht="11.25" customHeight="1">
      <c r="A203" s="233">
        <v>41068</v>
      </c>
      <c r="B203" s="1" t="s">
        <v>2260</v>
      </c>
      <c r="C203" s="1" t="s">
        <v>2240</v>
      </c>
      <c r="D203" s="1" t="s">
        <v>2261</v>
      </c>
      <c r="E203" s="1">
        <v>7502</v>
      </c>
      <c r="F203" s="5">
        <v>5</v>
      </c>
      <c r="G203" s="1" t="s">
        <v>229</v>
      </c>
      <c r="H203" s="234">
        <v>158</v>
      </c>
      <c r="I203" s="236">
        <f t="shared" si="11"/>
        <v>790</v>
      </c>
      <c r="J203" s="351">
        <v>122.8</v>
      </c>
      <c r="K203" s="241">
        <f>122.8*5</f>
        <v>614</v>
      </c>
      <c r="L203" s="237">
        <v>41243</v>
      </c>
      <c r="M203" s="1" t="s">
        <v>2243</v>
      </c>
      <c r="N203" s="235">
        <f t="shared" si="12"/>
        <v>790</v>
      </c>
      <c r="O203" s="235">
        <f t="shared" si="13"/>
        <v>0</v>
      </c>
      <c r="P203" s="238" t="s">
        <v>601</v>
      </c>
      <c r="Q203" s="1" t="s">
        <v>427</v>
      </c>
      <c r="R203" s="239" t="s">
        <v>1389</v>
      </c>
      <c r="S203" s="238" t="s">
        <v>602</v>
      </c>
      <c r="T203" s="238" t="s">
        <v>2256</v>
      </c>
      <c r="U203" s="238" t="s">
        <v>2257</v>
      </c>
      <c r="V203" s="238" t="s">
        <v>2258</v>
      </c>
      <c r="W203" s="236">
        <v>5859</v>
      </c>
      <c r="X203" s="233">
        <v>41201</v>
      </c>
      <c r="Y203" s="239" t="s">
        <v>2259</v>
      </c>
      <c r="Z203" s="239"/>
      <c r="AA203" s="240" t="s">
        <v>603</v>
      </c>
      <c r="AB203" s="1" t="s">
        <v>382</v>
      </c>
    </row>
    <row r="204" spans="1:28" ht="11.25" customHeight="1">
      <c r="A204" s="233">
        <v>41068</v>
      </c>
      <c r="B204" s="1" t="s">
        <v>604</v>
      </c>
      <c r="C204" s="1" t="s">
        <v>2240</v>
      </c>
      <c r="D204" s="5" t="s">
        <v>2012</v>
      </c>
      <c r="E204" s="1" t="s">
        <v>2262</v>
      </c>
      <c r="F204" s="5">
        <v>100</v>
      </c>
      <c r="G204" s="1" t="s">
        <v>4970</v>
      </c>
      <c r="H204" s="234">
        <v>2.5</v>
      </c>
      <c r="I204" s="236">
        <f t="shared" si="11"/>
        <v>250</v>
      </c>
      <c r="J204" s="351">
        <v>1.6</v>
      </c>
      <c r="K204" s="241">
        <f>1.6*100</f>
        <v>160</v>
      </c>
      <c r="L204" s="237">
        <v>41068</v>
      </c>
      <c r="M204" s="1" t="s">
        <v>300</v>
      </c>
      <c r="N204" s="235">
        <f t="shared" si="12"/>
        <v>250</v>
      </c>
      <c r="O204" s="235">
        <f t="shared" si="13"/>
        <v>0</v>
      </c>
      <c r="P204" s="238" t="s">
        <v>605</v>
      </c>
      <c r="Q204" s="1" t="s">
        <v>1863</v>
      </c>
      <c r="R204" s="239" t="s">
        <v>2263</v>
      </c>
      <c r="S204" s="238" t="s">
        <v>2264</v>
      </c>
      <c r="T204" s="238" t="s">
        <v>2265</v>
      </c>
      <c r="V204" s="238" t="s">
        <v>2266</v>
      </c>
      <c r="Y204" s="239"/>
      <c r="Z204" s="239"/>
      <c r="AB204" s="1" t="s">
        <v>382</v>
      </c>
    </row>
    <row r="205" spans="1:28" ht="11.25" customHeight="1">
      <c r="A205" s="233">
        <v>41068</v>
      </c>
      <c r="B205" s="1" t="s">
        <v>604</v>
      </c>
      <c r="C205" s="1" t="s">
        <v>2240</v>
      </c>
      <c r="D205" s="1" t="s">
        <v>2267</v>
      </c>
      <c r="E205" s="1" t="s">
        <v>2268</v>
      </c>
      <c r="F205" s="5">
        <v>2</v>
      </c>
      <c r="G205" s="1" t="s">
        <v>239</v>
      </c>
      <c r="H205" s="234">
        <v>19</v>
      </c>
      <c r="I205" s="236">
        <f t="shared" si="11"/>
        <v>38</v>
      </c>
      <c r="J205" s="351">
        <v>0</v>
      </c>
      <c r="K205" s="250">
        <v>0</v>
      </c>
      <c r="L205" s="237">
        <v>41068</v>
      </c>
      <c r="M205" s="1" t="s">
        <v>300</v>
      </c>
      <c r="N205" s="235">
        <f t="shared" si="12"/>
        <v>38</v>
      </c>
      <c r="O205" s="235">
        <f t="shared" si="13"/>
        <v>0</v>
      </c>
      <c r="P205" s="238" t="s">
        <v>605</v>
      </c>
      <c r="Q205" s="1" t="s">
        <v>1863</v>
      </c>
      <c r="R205" s="239" t="s">
        <v>2263</v>
      </c>
      <c r="S205" s="238" t="s">
        <v>2264</v>
      </c>
      <c r="T205" s="238" t="s">
        <v>2265</v>
      </c>
      <c r="V205" s="238" t="s">
        <v>2266</v>
      </c>
      <c r="Y205" s="239"/>
      <c r="Z205" s="239"/>
      <c r="AB205" s="1" t="s">
        <v>382</v>
      </c>
    </row>
    <row r="206" spans="1:28" ht="11.25" customHeight="1">
      <c r="A206" s="233">
        <v>41068</v>
      </c>
      <c r="B206" s="1" t="s">
        <v>604</v>
      </c>
      <c r="C206" s="1" t="s">
        <v>2240</v>
      </c>
      <c r="D206" s="1" t="s">
        <v>1210</v>
      </c>
      <c r="E206" s="1">
        <v>3200</v>
      </c>
      <c r="F206" s="5">
        <v>2</v>
      </c>
      <c r="G206" s="1" t="s">
        <v>229</v>
      </c>
      <c r="H206" s="234">
        <v>38</v>
      </c>
      <c r="I206" s="236">
        <f t="shared" si="11"/>
        <v>76</v>
      </c>
      <c r="J206" s="351">
        <v>28.73</v>
      </c>
      <c r="K206" s="241">
        <f>28.73*2</f>
        <v>57.46</v>
      </c>
      <c r="L206" s="237">
        <v>41068</v>
      </c>
      <c r="M206" s="1" t="s">
        <v>300</v>
      </c>
      <c r="N206" s="235">
        <f t="shared" si="12"/>
        <v>76</v>
      </c>
      <c r="O206" s="235">
        <f t="shared" si="13"/>
        <v>0</v>
      </c>
      <c r="P206" s="238" t="s">
        <v>605</v>
      </c>
      <c r="Q206" s="1" t="s">
        <v>1863</v>
      </c>
      <c r="R206" s="239" t="s">
        <v>2263</v>
      </c>
      <c r="S206" s="238" t="s">
        <v>2264</v>
      </c>
      <c r="T206" s="238" t="s">
        <v>2265</v>
      </c>
      <c r="V206" s="238" t="s">
        <v>2266</v>
      </c>
      <c r="Y206" s="239"/>
      <c r="Z206" s="239"/>
      <c r="AB206" s="1" t="s">
        <v>382</v>
      </c>
    </row>
    <row r="207" spans="1:28" ht="11.25" customHeight="1">
      <c r="A207" s="233">
        <v>41068</v>
      </c>
      <c r="B207" s="1" t="s">
        <v>604</v>
      </c>
      <c r="C207" s="1" t="s">
        <v>2240</v>
      </c>
      <c r="D207" s="1" t="s">
        <v>2269</v>
      </c>
      <c r="E207" s="1">
        <v>3700</v>
      </c>
      <c r="F207" s="5">
        <v>2</v>
      </c>
      <c r="G207" s="1" t="s">
        <v>229</v>
      </c>
      <c r="H207" s="234">
        <v>5</v>
      </c>
      <c r="I207" s="236">
        <f t="shared" si="11"/>
        <v>10</v>
      </c>
      <c r="J207" s="351">
        <v>3.7</v>
      </c>
      <c r="K207" s="241">
        <f>3.7*2</f>
        <v>7.4</v>
      </c>
      <c r="L207" s="237">
        <v>41068</v>
      </c>
      <c r="M207" s="1" t="s">
        <v>300</v>
      </c>
      <c r="N207" s="235">
        <f t="shared" si="12"/>
        <v>10</v>
      </c>
      <c r="O207" s="235">
        <f t="shared" si="13"/>
        <v>0</v>
      </c>
      <c r="P207" s="238" t="s">
        <v>605</v>
      </c>
      <c r="Q207" s="1" t="s">
        <v>1863</v>
      </c>
      <c r="R207" s="239" t="s">
        <v>2263</v>
      </c>
      <c r="S207" s="238" t="s">
        <v>2264</v>
      </c>
      <c r="T207" s="238" t="s">
        <v>2265</v>
      </c>
      <c r="V207" s="238" t="s">
        <v>2266</v>
      </c>
      <c r="Y207" s="239"/>
      <c r="Z207" s="239"/>
      <c r="AB207" s="1" t="s">
        <v>382</v>
      </c>
    </row>
    <row r="208" spans="1:28" ht="11.25" customHeight="1">
      <c r="A208" s="233">
        <v>41068</v>
      </c>
      <c r="B208" s="1" t="s">
        <v>604</v>
      </c>
      <c r="C208" s="1" t="s">
        <v>2240</v>
      </c>
      <c r="D208" s="1" t="s">
        <v>232</v>
      </c>
      <c r="E208" s="1" t="s">
        <v>2270</v>
      </c>
      <c r="F208" s="5">
        <v>22</v>
      </c>
      <c r="G208" s="1" t="s">
        <v>231</v>
      </c>
      <c r="H208" s="234">
        <v>2.7</v>
      </c>
      <c r="I208" s="236">
        <f t="shared" si="11"/>
        <v>59.400000000000006</v>
      </c>
      <c r="J208" s="352">
        <v>0</v>
      </c>
      <c r="K208" s="254">
        <v>0</v>
      </c>
      <c r="L208" s="237">
        <v>41068</v>
      </c>
      <c r="M208" s="1" t="s">
        <v>300</v>
      </c>
      <c r="N208" s="235">
        <f t="shared" si="12"/>
        <v>59.400000000000006</v>
      </c>
      <c r="O208" s="235">
        <f t="shared" si="13"/>
        <v>0</v>
      </c>
      <c r="P208" s="238" t="s">
        <v>605</v>
      </c>
      <c r="Q208" s="1" t="s">
        <v>1863</v>
      </c>
      <c r="R208" s="239" t="s">
        <v>2263</v>
      </c>
      <c r="S208" s="238" t="s">
        <v>2264</v>
      </c>
      <c r="T208" s="238" t="s">
        <v>2265</v>
      </c>
      <c r="V208" s="238" t="s">
        <v>2266</v>
      </c>
      <c r="Y208" s="239"/>
      <c r="Z208" s="239"/>
      <c r="AB208" s="1" t="s">
        <v>382</v>
      </c>
    </row>
    <row r="209" spans="1:28" ht="11.25" customHeight="1">
      <c r="A209" s="233">
        <v>41068</v>
      </c>
      <c r="B209" s="1" t="s">
        <v>606</v>
      </c>
      <c r="C209" s="1" t="s">
        <v>2240</v>
      </c>
      <c r="D209" s="1" t="s">
        <v>6623</v>
      </c>
      <c r="E209" s="1" t="s">
        <v>2271</v>
      </c>
      <c r="F209" s="5">
        <v>100</v>
      </c>
      <c r="G209" s="1" t="s">
        <v>239</v>
      </c>
      <c r="H209" s="234">
        <v>15.41</v>
      </c>
      <c r="I209" s="236">
        <f t="shared" si="11"/>
        <v>1541</v>
      </c>
      <c r="J209" s="351"/>
      <c r="K209" s="241">
        <f>14.49*100</f>
        <v>1449</v>
      </c>
      <c r="L209" s="237">
        <v>41068</v>
      </c>
      <c r="M209" s="1" t="s">
        <v>343</v>
      </c>
      <c r="N209" s="235">
        <f t="shared" si="12"/>
        <v>1541</v>
      </c>
      <c r="O209" s="235">
        <f t="shared" si="13"/>
        <v>0</v>
      </c>
      <c r="P209" s="238" t="s">
        <v>607</v>
      </c>
      <c r="Q209" s="1" t="s">
        <v>2272</v>
      </c>
      <c r="R209" s="239" t="s">
        <v>608</v>
      </c>
      <c r="S209" s="238" t="s">
        <v>609</v>
      </c>
      <c r="T209" s="238" t="s">
        <v>2273</v>
      </c>
      <c r="U209" s="238" t="s">
        <v>2274</v>
      </c>
      <c r="V209" s="238" t="s">
        <v>2275</v>
      </c>
      <c r="W209" s="236">
        <v>5347.5</v>
      </c>
      <c r="X209" s="233">
        <v>41080</v>
      </c>
      <c r="Y209" s="238" t="s">
        <v>2276</v>
      </c>
      <c r="Z209" s="238"/>
      <c r="AB209" s="1" t="s">
        <v>377</v>
      </c>
    </row>
    <row r="210" spans="1:28" ht="11.25" customHeight="1">
      <c r="A210" s="233">
        <v>41068</v>
      </c>
      <c r="B210" s="1" t="s">
        <v>606</v>
      </c>
      <c r="C210" s="1" t="s">
        <v>2277</v>
      </c>
      <c r="D210" s="1" t="s">
        <v>2278</v>
      </c>
      <c r="E210" s="1">
        <v>10434</v>
      </c>
      <c r="F210" s="5">
        <v>100</v>
      </c>
      <c r="G210" s="1" t="s">
        <v>239</v>
      </c>
      <c r="H210" s="234">
        <v>16.079999999999998</v>
      </c>
      <c r="I210" s="236">
        <f t="shared" si="11"/>
        <v>1607.9999999999998</v>
      </c>
      <c r="J210" s="351"/>
      <c r="K210" s="241">
        <f>14.88*100</f>
        <v>1488</v>
      </c>
      <c r="L210" s="237">
        <v>41068</v>
      </c>
      <c r="M210" s="1" t="s">
        <v>343</v>
      </c>
      <c r="N210" s="235">
        <f t="shared" si="12"/>
        <v>1607.9999999999998</v>
      </c>
      <c r="O210" s="235">
        <f t="shared" si="13"/>
        <v>0</v>
      </c>
      <c r="P210" s="238" t="s">
        <v>607</v>
      </c>
      <c r="Q210" s="1" t="s">
        <v>2279</v>
      </c>
      <c r="R210" s="239" t="s">
        <v>608</v>
      </c>
      <c r="S210" s="238" t="s">
        <v>609</v>
      </c>
      <c r="T210" s="238" t="s">
        <v>2273</v>
      </c>
      <c r="U210" s="238" t="s">
        <v>2274</v>
      </c>
      <c r="V210" s="238" t="s">
        <v>2275</v>
      </c>
      <c r="W210" s="236">
        <v>5347.5</v>
      </c>
      <c r="X210" s="233">
        <v>41080</v>
      </c>
      <c r="Y210" s="238" t="s">
        <v>2276</v>
      </c>
      <c r="Z210" s="238"/>
      <c r="AB210" s="1" t="s">
        <v>377</v>
      </c>
    </row>
    <row r="211" spans="1:28" ht="11.25" customHeight="1">
      <c r="A211" s="233">
        <v>41068</v>
      </c>
      <c r="B211" s="1" t="s">
        <v>606</v>
      </c>
      <c r="C211" s="1" t="s">
        <v>2277</v>
      </c>
      <c r="D211" s="1" t="s">
        <v>2280</v>
      </c>
      <c r="E211" s="1" t="s">
        <v>2281</v>
      </c>
      <c r="F211" s="5">
        <v>100</v>
      </c>
      <c r="G211" s="1" t="s">
        <v>231</v>
      </c>
      <c r="H211" s="234">
        <v>1.91</v>
      </c>
      <c r="I211" s="236">
        <f t="shared" si="11"/>
        <v>191</v>
      </c>
      <c r="J211" s="351"/>
      <c r="K211" s="241">
        <f>1.86*100</f>
        <v>186</v>
      </c>
      <c r="L211" s="237">
        <v>41068</v>
      </c>
      <c r="M211" s="1" t="s">
        <v>343</v>
      </c>
      <c r="N211" s="235">
        <f t="shared" si="12"/>
        <v>191</v>
      </c>
      <c r="O211" s="235">
        <f t="shared" si="13"/>
        <v>0</v>
      </c>
      <c r="P211" s="238" t="s">
        <v>607</v>
      </c>
      <c r="Q211" s="1" t="s">
        <v>2279</v>
      </c>
      <c r="R211" s="239" t="s">
        <v>608</v>
      </c>
      <c r="S211" s="238" t="s">
        <v>609</v>
      </c>
      <c r="T211" s="238" t="s">
        <v>2273</v>
      </c>
      <c r="U211" s="238" t="s">
        <v>2274</v>
      </c>
      <c r="V211" s="238" t="s">
        <v>2275</v>
      </c>
      <c r="W211" s="236">
        <v>5347.5</v>
      </c>
      <c r="X211" s="233">
        <v>41080</v>
      </c>
      <c r="Y211" s="238" t="s">
        <v>2276</v>
      </c>
      <c r="Z211" s="238"/>
      <c r="AB211" s="1" t="s">
        <v>377</v>
      </c>
    </row>
    <row r="212" spans="1:28" ht="11.25" customHeight="1">
      <c r="A212" s="233">
        <v>41068</v>
      </c>
      <c r="B212" s="1" t="s">
        <v>606</v>
      </c>
      <c r="C212" s="1" t="s">
        <v>2277</v>
      </c>
      <c r="D212" s="1" t="s">
        <v>232</v>
      </c>
      <c r="E212" s="1" t="s">
        <v>2282</v>
      </c>
      <c r="F212" s="5">
        <v>200</v>
      </c>
      <c r="G212" s="1" t="s">
        <v>231</v>
      </c>
      <c r="H212" s="234">
        <v>1.88</v>
      </c>
      <c r="I212" s="236">
        <f t="shared" si="11"/>
        <v>376</v>
      </c>
      <c r="J212" s="352">
        <v>1.8260000000000001</v>
      </c>
      <c r="K212" s="241">
        <f>1.826*200</f>
        <v>365.2</v>
      </c>
      <c r="L212" s="237">
        <v>41068</v>
      </c>
      <c r="M212" s="1" t="s">
        <v>343</v>
      </c>
      <c r="N212" s="235">
        <f t="shared" si="12"/>
        <v>376</v>
      </c>
      <c r="O212" s="235">
        <f t="shared" si="13"/>
        <v>0</v>
      </c>
      <c r="P212" s="238" t="s">
        <v>607</v>
      </c>
      <c r="Q212" s="1" t="s">
        <v>2279</v>
      </c>
      <c r="R212" s="239" t="s">
        <v>608</v>
      </c>
      <c r="S212" s="238" t="s">
        <v>609</v>
      </c>
      <c r="T212" s="238" t="s">
        <v>2273</v>
      </c>
      <c r="U212" s="238" t="s">
        <v>2274</v>
      </c>
      <c r="V212" s="238" t="s">
        <v>2275</v>
      </c>
      <c r="W212" s="236">
        <v>5347.5</v>
      </c>
      <c r="X212" s="233">
        <v>41080</v>
      </c>
      <c r="Y212" s="238" t="s">
        <v>2276</v>
      </c>
      <c r="Z212" s="238"/>
      <c r="AB212" s="1" t="s">
        <v>377</v>
      </c>
    </row>
    <row r="213" spans="1:28" ht="11.25" customHeight="1">
      <c r="A213" s="233">
        <v>41068</v>
      </c>
      <c r="B213" s="1" t="s">
        <v>610</v>
      </c>
      <c r="C213" s="1" t="s">
        <v>2277</v>
      </c>
      <c r="D213" s="5" t="s">
        <v>2012</v>
      </c>
      <c r="E213" s="1" t="s">
        <v>2283</v>
      </c>
      <c r="F213" s="5">
        <v>500</v>
      </c>
      <c r="G213" s="1" t="s">
        <v>4970</v>
      </c>
      <c r="H213" s="234">
        <v>2.5</v>
      </c>
      <c r="I213" s="236">
        <f t="shared" si="11"/>
        <v>1250</v>
      </c>
      <c r="J213" s="351">
        <v>1.6</v>
      </c>
      <c r="K213" s="241">
        <f>1.6*500</f>
        <v>800</v>
      </c>
      <c r="L213" s="237">
        <v>41068</v>
      </c>
      <c r="M213" s="1" t="s">
        <v>343</v>
      </c>
      <c r="N213" s="235">
        <f t="shared" si="12"/>
        <v>1250</v>
      </c>
      <c r="O213" s="235">
        <f t="shared" si="13"/>
        <v>0</v>
      </c>
      <c r="P213" s="238" t="s">
        <v>611</v>
      </c>
      <c r="Q213" s="1" t="s">
        <v>2284</v>
      </c>
      <c r="R213" s="239" t="s">
        <v>612</v>
      </c>
      <c r="S213" s="238" t="s">
        <v>613</v>
      </c>
      <c r="T213" s="238" t="s">
        <v>2285</v>
      </c>
      <c r="U213" s="238" t="s">
        <v>2286</v>
      </c>
      <c r="V213" s="238" t="s">
        <v>254</v>
      </c>
      <c r="Y213" s="239"/>
      <c r="Z213" s="239"/>
      <c r="AB213" s="1" t="s">
        <v>382</v>
      </c>
    </row>
    <row r="214" spans="1:28" ht="11.25" customHeight="1">
      <c r="A214" s="233">
        <v>41068</v>
      </c>
      <c r="B214" s="1" t="s">
        <v>610</v>
      </c>
      <c r="C214" s="1" t="s">
        <v>2071</v>
      </c>
      <c r="D214" s="1" t="s">
        <v>240</v>
      </c>
      <c r="E214" s="1">
        <v>6200</v>
      </c>
      <c r="F214" s="5">
        <v>2</v>
      </c>
      <c r="G214" s="1" t="s">
        <v>229</v>
      </c>
      <c r="H214" s="234">
        <v>79</v>
      </c>
      <c r="I214" s="236">
        <f t="shared" si="11"/>
        <v>158</v>
      </c>
      <c r="J214" s="354">
        <v>45.8</v>
      </c>
      <c r="K214" s="241" t="e">
        <f>#REF!*F214</f>
        <v>#REF!</v>
      </c>
      <c r="L214" s="237">
        <v>41068</v>
      </c>
      <c r="M214" s="1" t="s">
        <v>343</v>
      </c>
      <c r="N214" s="235">
        <f t="shared" si="12"/>
        <v>158</v>
      </c>
      <c r="O214" s="235">
        <f t="shared" si="13"/>
        <v>0</v>
      </c>
      <c r="P214" s="238" t="s">
        <v>611</v>
      </c>
      <c r="Q214" s="1" t="s">
        <v>1254</v>
      </c>
      <c r="R214" s="239" t="s">
        <v>612</v>
      </c>
      <c r="S214" s="238" t="s">
        <v>613</v>
      </c>
      <c r="T214" s="238" t="s">
        <v>2285</v>
      </c>
      <c r="U214" s="238" t="s">
        <v>2286</v>
      </c>
      <c r="V214" s="238" t="s">
        <v>254</v>
      </c>
      <c r="Y214" s="239"/>
      <c r="Z214" s="239"/>
      <c r="AB214" s="1" t="s">
        <v>382</v>
      </c>
    </row>
    <row r="215" spans="1:28" ht="11.25" customHeight="1">
      <c r="A215" s="233">
        <v>41068</v>
      </c>
      <c r="B215" s="1" t="s">
        <v>610</v>
      </c>
      <c r="C215" s="1" t="s">
        <v>2071</v>
      </c>
      <c r="D215" s="1" t="s">
        <v>2101</v>
      </c>
      <c r="E215" s="1" t="s">
        <v>2072</v>
      </c>
      <c r="F215" s="5">
        <v>4</v>
      </c>
      <c r="G215" s="1" t="s">
        <v>229</v>
      </c>
      <c r="H215" s="234">
        <v>30.5</v>
      </c>
      <c r="I215" s="236">
        <f t="shared" si="11"/>
        <v>122</v>
      </c>
      <c r="J215" s="351">
        <v>19</v>
      </c>
      <c r="K215" s="241">
        <f>19*4</f>
        <v>76</v>
      </c>
      <c r="L215" s="237">
        <v>41068</v>
      </c>
      <c r="M215" s="1" t="s">
        <v>343</v>
      </c>
      <c r="N215" s="235">
        <f t="shared" si="12"/>
        <v>122</v>
      </c>
      <c r="O215" s="235">
        <f t="shared" si="13"/>
        <v>0</v>
      </c>
      <c r="P215" s="238" t="s">
        <v>611</v>
      </c>
      <c r="Q215" s="1" t="s">
        <v>2287</v>
      </c>
      <c r="R215" s="239" t="s">
        <v>612</v>
      </c>
      <c r="S215" s="238" t="s">
        <v>613</v>
      </c>
      <c r="T215" s="238" t="s">
        <v>2285</v>
      </c>
      <c r="U215" s="238" t="s">
        <v>2286</v>
      </c>
      <c r="V215" s="238" t="s">
        <v>254</v>
      </c>
      <c r="Y215" s="239"/>
      <c r="Z215" s="239"/>
      <c r="AB215" s="1" t="s">
        <v>382</v>
      </c>
    </row>
    <row r="216" spans="1:28" ht="11.25" customHeight="1">
      <c r="A216" s="233">
        <v>41068</v>
      </c>
      <c r="B216" s="1" t="s">
        <v>610</v>
      </c>
      <c r="C216" s="1" t="s">
        <v>2071</v>
      </c>
      <c r="D216" s="1" t="s">
        <v>232</v>
      </c>
      <c r="E216" s="1" t="s">
        <v>2076</v>
      </c>
      <c r="F216" s="5">
        <v>4</v>
      </c>
      <c r="G216" s="1" t="s">
        <v>231</v>
      </c>
      <c r="H216" s="234">
        <v>8</v>
      </c>
      <c r="I216" s="236">
        <f t="shared" si="11"/>
        <v>32</v>
      </c>
      <c r="J216" s="351">
        <v>5.0999999999999996</v>
      </c>
      <c r="K216" s="241">
        <f>5.1*4</f>
        <v>20.399999999999999</v>
      </c>
      <c r="L216" s="237">
        <v>41068</v>
      </c>
      <c r="M216" s="1" t="s">
        <v>343</v>
      </c>
      <c r="N216" s="235">
        <f t="shared" si="12"/>
        <v>32</v>
      </c>
      <c r="O216" s="235">
        <f t="shared" si="13"/>
        <v>0</v>
      </c>
      <c r="P216" s="238" t="s">
        <v>611</v>
      </c>
      <c r="Q216" s="1" t="s">
        <v>2287</v>
      </c>
      <c r="R216" s="239" t="s">
        <v>612</v>
      </c>
      <c r="S216" s="238" t="s">
        <v>613</v>
      </c>
      <c r="T216" s="238" t="s">
        <v>2285</v>
      </c>
      <c r="U216" s="238" t="s">
        <v>2286</v>
      </c>
      <c r="V216" s="238" t="s">
        <v>254</v>
      </c>
      <c r="Y216" s="239"/>
      <c r="Z216" s="239"/>
      <c r="AB216" s="1" t="s">
        <v>382</v>
      </c>
    </row>
    <row r="217" spans="1:28" ht="11.25" customHeight="1">
      <c r="A217" s="233">
        <v>41068</v>
      </c>
      <c r="B217" s="1" t="s">
        <v>610</v>
      </c>
      <c r="C217" s="1" t="s">
        <v>2071</v>
      </c>
      <c r="D217" s="1" t="s">
        <v>2223</v>
      </c>
      <c r="E217" s="1">
        <v>501</v>
      </c>
      <c r="F217" s="5">
        <v>4</v>
      </c>
      <c r="G217" s="1" t="s">
        <v>229</v>
      </c>
      <c r="H217" s="234">
        <v>2</v>
      </c>
      <c r="I217" s="236">
        <f t="shared" si="11"/>
        <v>8</v>
      </c>
      <c r="J217" s="351">
        <v>1.4</v>
      </c>
      <c r="K217" s="241">
        <f>1.4*4</f>
        <v>5.6</v>
      </c>
      <c r="L217" s="237">
        <v>41068</v>
      </c>
      <c r="M217" s="1" t="s">
        <v>343</v>
      </c>
      <c r="N217" s="235">
        <f t="shared" si="12"/>
        <v>8</v>
      </c>
      <c r="O217" s="235">
        <f t="shared" si="13"/>
        <v>0</v>
      </c>
      <c r="P217" s="238" t="s">
        <v>611</v>
      </c>
      <c r="Q217" s="1" t="s">
        <v>2287</v>
      </c>
      <c r="R217" s="239" t="s">
        <v>612</v>
      </c>
      <c r="S217" s="238" t="s">
        <v>613</v>
      </c>
      <c r="T217" s="238" t="s">
        <v>2285</v>
      </c>
      <c r="U217" s="238" t="s">
        <v>2286</v>
      </c>
      <c r="V217" s="238" t="s">
        <v>254</v>
      </c>
      <c r="Y217" s="239"/>
      <c r="Z217" s="239"/>
      <c r="AB217" s="1" t="s">
        <v>382</v>
      </c>
    </row>
    <row r="218" spans="1:28" ht="11.25" customHeight="1">
      <c r="A218" s="233">
        <v>41068</v>
      </c>
      <c r="B218" s="1" t="s">
        <v>610</v>
      </c>
      <c r="C218" s="1" t="s">
        <v>2071</v>
      </c>
      <c r="D218" s="1" t="s">
        <v>1213</v>
      </c>
      <c r="E218" s="1" t="s">
        <v>2161</v>
      </c>
      <c r="F218" s="5">
        <v>10</v>
      </c>
      <c r="G218" s="1" t="s">
        <v>239</v>
      </c>
      <c r="H218" s="234">
        <v>20</v>
      </c>
      <c r="I218" s="236">
        <f t="shared" si="11"/>
        <v>200</v>
      </c>
      <c r="J218" s="351">
        <v>13.4</v>
      </c>
      <c r="K218" s="250">
        <f>13.4*10</f>
        <v>134</v>
      </c>
      <c r="L218" s="237">
        <v>41068</v>
      </c>
      <c r="M218" s="1" t="s">
        <v>343</v>
      </c>
      <c r="N218" s="235">
        <f t="shared" si="12"/>
        <v>200</v>
      </c>
      <c r="O218" s="235">
        <f t="shared" si="13"/>
        <v>0</v>
      </c>
      <c r="P218" s="238" t="s">
        <v>611</v>
      </c>
      <c r="Q218" s="1" t="s">
        <v>2287</v>
      </c>
      <c r="R218" s="239" t="s">
        <v>612</v>
      </c>
      <c r="S218" s="238" t="s">
        <v>613</v>
      </c>
      <c r="T218" s="238" t="s">
        <v>2285</v>
      </c>
      <c r="U218" s="238" t="s">
        <v>2286</v>
      </c>
      <c r="V218" s="238" t="s">
        <v>254</v>
      </c>
      <c r="Y218" s="239"/>
      <c r="Z218" s="239"/>
      <c r="AB218" s="1" t="s">
        <v>382</v>
      </c>
    </row>
    <row r="219" spans="1:28" ht="11.25" customHeight="1">
      <c r="A219" s="233">
        <v>41071</v>
      </c>
      <c r="B219" s="1" t="s">
        <v>614</v>
      </c>
      <c r="C219" s="1" t="s">
        <v>2071</v>
      </c>
      <c r="D219" s="1" t="s">
        <v>2104</v>
      </c>
      <c r="E219" s="1">
        <v>6200</v>
      </c>
      <c r="F219" s="5">
        <v>3</v>
      </c>
      <c r="G219" s="1" t="s">
        <v>229</v>
      </c>
      <c r="H219" s="234">
        <v>80</v>
      </c>
      <c r="I219" s="236">
        <f t="shared" si="11"/>
        <v>240</v>
      </c>
      <c r="J219" s="354">
        <v>45.8</v>
      </c>
      <c r="K219" s="241" t="e">
        <f>#REF!*F219</f>
        <v>#REF!</v>
      </c>
      <c r="L219" s="237">
        <v>41071</v>
      </c>
      <c r="M219" s="1" t="s">
        <v>300</v>
      </c>
      <c r="N219" s="235">
        <f t="shared" si="12"/>
        <v>240</v>
      </c>
      <c r="O219" s="235">
        <f t="shared" si="13"/>
        <v>0</v>
      </c>
      <c r="P219" s="238" t="s">
        <v>615</v>
      </c>
      <c r="Q219" s="1" t="s">
        <v>391</v>
      </c>
      <c r="R219" s="239" t="s">
        <v>616</v>
      </c>
      <c r="S219" s="238" t="s">
        <v>617</v>
      </c>
      <c r="T219" s="238" t="s">
        <v>2288</v>
      </c>
      <c r="V219" s="238" t="s">
        <v>254</v>
      </c>
      <c r="Y219" s="239"/>
      <c r="Z219" s="239"/>
      <c r="AB219" s="1" t="s">
        <v>382</v>
      </c>
    </row>
    <row r="220" spans="1:28" ht="11.25" customHeight="1">
      <c r="A220" s="233">
        <v>41071</v>
      </c>
      <c r="B220" s="1" t="s">
        <v>614</v>
      </c>
      <c r="C220" s="1" t="s">
        <v>2071</v>
      </c>
      <c r="D220" s="1" t="s">
        <v>353</v>
      </c>
      <c r="E220" s="1" t="s">
        <v>2072</v>
      </c>
      <c r="F220" s="5">
        <v>6</v>
      </c>
      <c r="G220" s="1" t="s">
        <v>229</v>
      </c>
      <c r="H220" s="234">
        <v>29</v>
      </c>
      <c r="I220" s="236">
        <f t="shared" si="11"/>
        <v>174</v>
      </c>
      <c r="J220" s="351">
        <v>19</v>
      </c>
      <c r="K220" s="241">
        <f>19*6</f>
        <v>114</v>
      </c>
      <c r="L220" s="237">
        <v>41071</v>
      </c>
      <c r="M220" s="1" t="s">
        <v>300</v>
      </c>
      <c r="N220" s="235">
        <f t="shared" si="12"/>
        <v>174</v>
      </c>
      <c r="O220" s="235">
        <f t="shared" si="13"/>
        <v>0</v>
      </c>
      <c r="P220" s="238" t="s">
        <v>615</v>
      </c>
      <c r="Q220" s="1" t="s">
        <v>391</v>
      </c>
      <c r="R220" s="239" t="s">
        <v>616</v>
      </c>
      <c r="S220" s="238" t="s">
        <v>617</v>
      </c>
      <c r="T220" s="238" t="s">
        <v>2288</v>
      </c>
      <c r="V220" s="238" t="s">
        <v>254</v>
      </c>
      <c r="Y220" s="239"/>
      <c r="Z220" s="239"/>
      <c r="AB220" s="1" t="s">
        <v>382</v>
      </c>
    </row>
    <row r="221" spans="1:28" ht="11.25" customHeight="1">
      <c r="A221" s="233">
        <v>41071</v>
      </c>
      <c r="B221" s="1" t="s">
        <v>614</v>
      </c>
      <c r="C221" s="1" t="s">
        <v>2071</v>
      </c>
      <c r="D221" s="1" t="s">
        <v>2219</v>
      </c>
      <c r="E221" s="1" t="s">
        <v>2076</v>
      </c>
      <c r="F221" s="5">
        <v>12</v>
      </c>
      <c r="G221" s="1" t="s">
        <v>231</v>
      </c>
      <c r="H221" s="234">
        <v>8</v>
      </c>
      <c r="I221" s="236">
        <f t="shared" si="11"/>
        <v>96</v>
      </c>
      <c r="J221" s="351">
        <v>5.0999999999999996</v>
      </c>
      <c r="K221" s="241">
        <f>5.1*12</f>
        <v>61.199999999999996</v>
      </c>
      <c r="L221" s="237">
        <v>41071</v>
      </c>
      <c r="M221" s="1" t="s">
        <v>300</v>
      </c>
      <c r="N221" s="235">
        <f t="shared" si="12"/>
        <v>96</v>
      </c>
      <c r="O221" s="235">
        <f t="shared" si="13"/>
        <v>0</v>
      </c>
      <c r="P221" s="238" t="s">
        <v>615</v>
      </c>
      <c r="Q221" s="1" t="s">
        <v>391</v>
      </c>
      <c r="R221" s="239" t="s">
        <v>616</v>
      </c>
      <c r="S221" s="238" t="s">
        <v>617</v>
      </c>
      <c r="T221" s="238" t="s">
        <v>2288</v>
      </c>
      <c r="V221" s="238" t="s">
        <v>254</v>
      </c>
      <c r="Y221" s="239"/>
      <c r="Z221" s="239"/>
      <c r="AB221" s="1" t="s">
        <v>382</v>
      </c>
    </row>
    <row r="222" spans="1:28" ht="11.25" customHeight="1">
      <c r="A222" s="233">
        <v>41071</v>
      </c>
      <c r="B222" s="1" t="s">
        <v>614</v>
      </c>
      <c r="C222" s="1" t="s">
        <v>2071</v>
      </c>
      <c r="D222" s="1" t="s">
        <v>263</v>
      </c>
      <c r="E222" s="1">
        <v>501</v>
      </c>
      <c r="F222" s="5">
        <v>6</v>
      </c>
      <c r="G222" s="1" t="s">
        <v>229</v>
      </c>
      <c r="H222" s="234">
        <v>2</v>
      </c>
      <c r="I222" s="236">
        <f t="shared" si="11"/>
        <v>12</v>
      </c>
      <c r="J222" s="351">
        <v>1.4</v>
      </c>
      <c r="K222" s="241">
        <f>1.4*6</f>
        <v>8.3999999999999986</v>
      </c>
      <c r="L222" s="237">
        <v>41071</v>
      </c>
      <c r="M222" s="1" t="s">
        <v>300</v>
      </c>
      <c r="N222" s="235">
        <f t="shared" si="12"/>
        <v>12</v>
      </c>
      <c r="O222" s="235">
        <f t="shared" si="13"/>
        <v>0</v>
      </c>
      <c r="P222" s="238" t="s">
        <v>615</v>
      </c>
      <c r="Q222" s="1" t="s">
        <v>391</v>
      </c>
      <c r="R222" s="239" t="s">
        <v>616</v>
      </c>
      <c r="S222" s="238" t="s">
        <v>617</v>
      </c>
      <c r="T222" s="238" t="s">
        <v>2288</v>
      </c>
      <c r="V222" s="238" t="s">
        <v>254</v>
      </c>
      <c r="Y222" s="239"/>
      <c r="Z222" s="239"/>
      <c r="AB222" s="1" t="s">
        <v>382</v>
      </c>
    </row>
    <row r="223" spans="1:28" ht="11.25" customHeight="1">
      <c r="A223" s="233">
        <v>41071</v>
      </c>
      <c r="B223" s="1" t="s">
        <v>614</v>
      </c>
      <c r="C223" s="1" t="s">
        <v>2071</v>
      </c>
      <c r="D223" s="5" t="s">
        <v>2012</v>
      </c>
      <c r="E223" s="1" t="s">
        <v>2089</v>
      </c>
      <c r="F223" s="5">
        <v>100</v>
      </c>
      <c r="G223" s="1" t="s">
        <v>4970</v>
      </c>
      <c r="H223" s="234">
        <v>2.4</v>
      </c>
      <c r="I223" s="236">
        <f t="shared" si="11"/>
        <v>240</v>
      </c>
      <c r="J223" s="351">
        <v>1.6</v>
      </c>
      <c r="K223" s="241">
        <f>1.6*100</f>
        <v>160</v>
      </c>
      <c r="L223" s="237">
        <v>41071</v>
      </c>
      <c r="M223" s="1" t="s">
        <v>300</v>
      </c>
      <c r="N223" s="235">
        <f t="shared" si="12"/>
        <v>240</v>
      </c>
      <c r="O223" s="235">
        <f t="shared" si="13"/>
        <v>0</v>
      </c>
      <c r="P223" s="238" t="s">
        <v>615</v>
      </c>
      <c r="Q223" s="1" t="s">
        <v>391</v>
      </c>
      <c r="R223" s="239" t="s">
        <v>616</v>
      </c>
      <c r="S223" s="238" t="s">
        <v>617</v>
      </c>
      <c r="T223" s="238" t="s">
        <v>2288</v>
      </c>
      <c r="V223" s="238" t="s">
        <v>254</v>
      </c>
      <c r="Y223" s="239"/>
      <c r="Z223" s="239"/>
      <c r="AB223" s="1" t="s">
        <v>382</v>
      </c>
    </row>
    <row r="224" spans="1:28" ht="11.25" customHeight="1">
      <c r="A224" s="233">
        <v>41071</v>
      </c>
      <c r="B224" s="1" t="s">
        <v>614</v>
      </c>
      <c r="C224" s="1" t="s">
        <v>2071</v>
      </c>
      <c r="D224" s="1" t="s">
        <v>266</v>
      </c>
      <c r="E224" s="1">
        <v>12308</v>
      </c>
      <c r="F224" s="5">
        <v>3</v>
      </c>
      <c r="G224" s="1" t="s">
        <v>239</v>
      </c>
      <c r="H224" s="234">
        <v>26</v>
      </c>
      <c r="I224" s="236">
        <f t="shared" si="11"/>
        <v>78</v>
      </c>
      <c r="J224" s="351"/>
      <c r="K224" s="241">
        <v>0</v>
      </c>
      <c r="L224" s="237">
        <v>41071</v>
      </c>
      <c r="M224" s="1" t="s">
        <v>300</v>
      </c>
      <c r="N224" s="235">
        <f t="shared" si="12"/>
        <v>78</v>
      </c>
      <c r="O224" s="235">
        <f t="shared" si="13"/>
        <v>0</v>
      </c>
      <c r="P224" s="238" t="s">
        <v>615</v>
      </c>
      <c r="Q224" s="1" t="s">
        <v>391</v>
      </c>
      <c r="R224" s="239" t="s">
        <v>616</v>
      </c>
      <c r="S224" s="238" t="s">
        <v>617</v>
      </c>
      <c r="T224" s="238" t="s">
        <v>2288</v>
      </c>
      <c r="V224" s="238" t="s">
        <v>254</v>
      </c>
      <c r="Y224" s="239"/>
      <c r="Z224" s="239"/>
      <c r="AB224" s="1" t="s">
        <v>382</v>
      </c>
    </row>
    <row r="225" spans="1:28" ht="11.25" customHeight="1">
      <c r="A225" s="233">
        <v>41071</v>
      </c>
      <c r="B225" s="1" t="s">
        <v>385</v>
      </c>
      <c r="C225" s="1" t="s">
        <v>2071</v>
      </c>
      <c r="D225" s="1" t="s">
        <v>2289</v>
      </c>
      <c r="E225" s="1" t="s">
        <v>2290</v>
      </c>
      <c r="F225" s="5">
        <v>100</v>
      </c>
      <c r="G225" s="1" t="s">
        <v>2099</v>
      </c>
      <c r="H225" s="234">
        <v>1.3</v>
      </c>
      <c r="I225" s="236">
        <f t="shared" si="11"/>
        <v>130</v>
      </c>
      <c r="J225" s="351"/>
      <c r="K225" s="241">
        <v>0</v>
      </c>
      <c r="L225" s="237">
        <v>41071</v>
      </c>
      <c r="M225" s="1" t="s">
        <v>330</v>
      </c>
      <c r="N225" s="235">
        <f t="shared" si="12"/>
        <v>130</v>
      </c>
      <c r="O225" s="235">
        <f t="shared" si="13"/>
        <v>0</v>
      </c>
      <c r="P225" s="238" t="s">
        <v>620</v>
      </c>
      <c r="Q225" s="1" t="s">
        <v>391</v>
      </c>
      <c r="R225" s="239" t="s">
        <v>428</v>
      </c>
      <c r="S225" s="238" t="s">
        <v>429</v>
      </c>
      <c r="T225" s="238" t="s">
        <v>800</v>
      </c>
      <c r="V225" s="238" t="s">
        <v>6847</v>
      </c>
      <c r="Y225" s="239"/>
      <c r="Z225" s="239"/>
      <c r="AB225" s="1" t="s">
        <v>377</v>
      </c>
    </row>
    <row r="226" spans="1:28" ht="11.25" customHeight="1">
      <c r="A226" s="233">
        <v>41071</v>
      </c>
      <c r="B226" s="1" t="s">
        <v>385</v>
      </c>
      <c r="C226" s="1" t="s">
        <v>2071</v>
      </c>
      <c r="D226" s="1" t="s">
        <v>357</v>
      </c>
      <c r="E226" s="1">
        <v>1711</v>
      </c>
      <c r="F226" s="5">
        <v>20</v>
      </c>
      <c r="G226" s="1" t="s">
        <v>239</v>
      </c>
      <c r="H226" s="234">
        <v>14.4</v>
      </c>
      <c r="I226" s="236">
        <f t="shared" si="11"/>
        <v>288</v>
      </c>
      <c r="J226" s="351"/>
      <c r="K226" s="241">
        <f>11.78*20</f>
        <v>235.6</v>
      </c>
      <c r="L226" s="237">
        <v>41071</v>
      </c>
      <c r="M226" s="1" t="s">
        <v>330</v>
      </c>
      <c r="N226" s="235">
        <f t="shared" si="12"/>
        <v>288</v>
      </c>
      <c r="O226" s="235">
        <f t="shared" si="13"/>
        <v>0</v>
      </c>
      <c r="P226" s="238" t="s">
        <v>620</v>
      </c>
      <c r="Q226" s="1" t="s">
        <v>391</v>
      </c>
      <c r="R226" s="239" t="s">
        <v>428</v>
      </c>
      <c r="S226" s="238" t="s">
        <v>429</v>
      </c>
      <c r="T226" s="238" t="s">
        <v>800</v>
      </c>
      <c r="V226" s="238" t="s">
        <v>6847</v>
      </c>
      <c r="Y226" s="239"/>
      <c r="Z226" s="239"/>
      <c r="AB226" s="1" t="s">
        <v>377</v>
      </c>
    </row>
    <row r="227" spans="1:28" ht="11.25" customHeight="1">
      <c r="A227" s="233">
        <v>41071</v>
      </c>
      <c r="B227" s="1" t="s">
        <v>2291</v>
      </c>
      <c r="C227" s="1" t="s">
        <v>2071</v>
      </c>
      <c r="D227" s="1" t="s">
        <v>2292</v>
      </c>
      <c r="E227" s="1" t="s">
        <v>2161</v>
      </c>
      <c r="F227" s="5">
        <v>22</v>
      </c>
      <c r="G227" s="1" t="s">
        <v>239</v>
      </c>
      <c r="H227" s="234">
        <v>20</v>
      </c>
      <c r="I227" s="236">
        <f t="shared" si="11"/>
        <v>440</v>
      </c>
      <c r="J227" s="351">
        <v>13.4</v>
      </c>
      <c r="K227" s="250">
        <f>13.4*22</f>
        <v>294.8</v>
      </c>
      <c r="L227" s="237">
        <v>41071</v>
      </c>
      <c r="M227" s="1" t="s">
        <v>343</v>
      </c>
      <c r="N227" s="235">
        <f t="shared" si="12"/>
        <v>440</v>
      </c>
      <c r="O227" s="235">
        <f t="shared" si="13"/>
        <v>0</v>
      </c>
      <c r="P227" s="238" t="s">
        <v>621</v>
      </c>
      <c r="Q227" s="1" t="s">
        <v>2293</v>
      </c>
      <c r="R227" s="239" t="s">
        <v>622</v>
      </c>
      <c r="S227" s="238" t="s">
        <v>623</v>
      </c>
      <c r="T227" s="238" t="s">
        <v>2294</v>
      </c>
      <c r="U227" s="238" t="s">
        <v>624</v>
      </c>
      <c r="V227" s="238" t="s">
        <v>2266</v>
      </c>
      <c r="Y227" s="239"/>
      <c r="Z227" s="239"/>
      <c r="AB227" s="1" t="s">
        <v>377</v>
      </c>
    </row>
    <row r="228" spans="1:28" ht="11.25" customHeight="1">
      <c r="A228" s="233">
        <v>41071</v>
      </c>
      <c r="B228" s="1" t="s">
        <v>2295</v>
      </c>
      <c r="C228" s="1" t="s">
        <v>2240</v>
      </c>
      <c r="D228" s="1" t="s">
        <v>1763</v>
      </c>
      <c r="E228" s="1">
        <v>9132</v>
      </c>
      <c r="F228" s="5">
        <v>10</v>
      </c>
      <c r="G228" s="1" t="s">
        <v>231</v>
      </c>
      <c r="H228" s="234">
        <v>4.0599999999999996</v>
      </c>
      <c r="I228" s="236">
        <f t="shared" si="11"/>
        <v>40.599999999999994</v>
      </c>
      <c r="J228" s="351"/>
      <c r="K228" s="241">
        <f>2.9*F228</f>
        <v>29</v>
      </c>
      <c r="L228" s="237">
        <v>41071</v>
      </c>
      <c r="M228" s="1" t="s">
        <v>343</v>
      </c>
      <c r="N228" s="235">
        <f t="shared" si="12"/>
        <v>40.599999999999994</v>
      </c>
      <c r="O228" s="235">
        <f t="shared" si="13"/>
        <v>0</v>
      </c>
      <c r="P228" s="238" t="s">
        <v>621</v>
      </c>
      <c r="Q228" s="1" t="s">
        <v>2296</v>
      </c>
      <c r="R228" s="239" t="s">
        <v>622</v>
      </c>
      <c r="S228" s="238" t="s">
        <v>623</v>
      </c>
      <c r="T228" s="238" t="s">
        <v>2294</v>
      </c>
      <c r="U228" s="238" t="s">
        <v>624</v>
      </c>
      <c r="V228" s="238" t="s">
        <v>2266</v>
      </c>
      <c r="Y228" s="239"/>
      <c r="Z228" s="239"/>
      <c r="AB228" s="1" t="s">
        <v>377</v>
      </c>
    </row>
    <row r="229" spans="1:28" ht="11.25" customHeight="1">
      <c r="A229" s="233">
        <v>41071</v>
      </c>
      <c r="B229" s="1" t="s">
        <v>626</v>
      </c>
      <c r="C229" s="1" t="s">
        <v>2240</v>
      </c>
      <c r="D229" s="5" t="s">
        <v>2012</v>
      </c>
      <c r="E229" s="1" t="s">
        <v>2262</v>
      </c>
      <c r="F229" s="5">
        <v>50</v>
      </c>
      <c r="G229" s="1" t="s">
        <v>4970</v>
      </c>
      <c r="H229" s="234">
        <v>2.4</v>
      </c>
      <c r="I229" s="236">
        <f t="shared" si="11"/>
        <v>120</v>
      </c>
      <c r="J229" s="351">
        <v>1.6</v>
      </c>
      <c r="K229" s="241">
        <f>1.6*50</f>
        <v>80</v>
      </c>
      <c r="L229" s="237">
        <v>41071</v>
      </c>
      <c r="M229" s="1" t="s">
        <v>300</v>
      </c>
      <c r="N229" s="235">
        <f t="shared" si="12"/>
        <v>120</v>
      </c>
      <c r="O229" s="235">
        <f t="shared" si="13"/>
        <v>0</v>
      </c>
      <c r="P229" s="238" t="s">
        <v>627</v>
      </c>
      <c r="Q229" s="1" t="s">
        <v>427</v>
      </c>
      <c r="S229" s="238" t="s">
        <v>628</v>
      </c>
      <c r="T229" s="238" t="s">
        <v>2297</v>
      </c>
      <c r="V229" s="238" t="s">
        <v>254</v>
      </c>
      <c r="Y229" s="239"/>
      <c r="Z229" s="239"/>
      <c r="AB229" s="1" t="s">
        <v>382</v>
      </c>
    </row>
    <row r="230" spans="1:28" ht="11.25" customHeight="1">
      <c r="A230" s="233">
        <v>41072</v>
      </c>
      <c r="B230" s="1" t="s">
        <v>629</v>
      </c>
      <c r="C230" s="1" t="s">
        <v>2071</v>
      </c>
      <c r="D230" s="1" t="s">
        <v>2211</v>
      </c>
      <c r="E230" s="1">
        <v>7502</v>
      </c>
      <c r="F230" s="5">
        <v>1</v>
      </c>
      <c r="G230" s="1" t="s">
        <v>229</v>
      </c>
      <c r="H230" s="234">
        <v>186.4</v>
      </c>
      <c r="I230" s="236">
        <f t="shared" si="11"/>
        <v>186.4</v>
      </c>
      <c r="J230" s="351"/>
      <c r="K230" s="241">
        <v>0</v>
      </c>
      <c r="L230" s="237">
        <v>41072</v>
      </c>
      <c r="M230" s="1" t="s">
        <v>343</v>
      </c>
      <c r="N230" s="235">
        <f t="shared" si="12"/>
        <v>186.4</v>
      </c>
      <c r="O230" s="235">
        <f t="shared" si="13"/>
        <v>0</v>
      </c>
      <c r="P230" s="238" t="s">
        <v>630</v>
      </c>
      <c r="Q230" s="1" t="s">
        <v>440</v>
      </c>
      <c r="R230" s="239" t="s">
        <v>631</v>
      </c>
      <c r="S230" s="238" t="s">
        <v>632</v>
      </c>
      <c r="T230" s="238" t="s">
        <v>2298</v>
      </c>
      <c r="U230" s="238" t="s">
        <v>633</v>
      </c>
      <c r="V230" s="238" t="s">
        <v>254</v>
      </c>
      <c r="Y230" s="239"/>
      <c r="Z230" s="239"/>
      <c r="AB230" s="1" t="s">
        <v>382</v>
      </c>
    </row>
    <row r="231" spans="1:28" ht="12" customHeight="1">
      <c r="A231" s="233">
        <v>41072</v>
      </c>
      <c r="B231" s="1" t="s">
        <v>629</v>
      </c>
      <c r="C231" s="1" t="s">
        <v>2071</v>
      </c>
      <c r="D231" s="1" t="s">
        <v>2299</v>
      </c>
      <c r="E231" s="1" t="s">
        <v>2300</v>
      </c>
      <c r="F231" s="5">
        <v>4</v>
      </c>
      <c r="G231" s="1" t="s">
        <v>229</v>
      </c>
      <c r="H231" s="234">
        <v>47.5</v>
      </c>
      <c r="I231" s="236">
        <f t="shared" si="11"/>
        <v>190</v>
      </c>
      <c r="J231" s="351">
        <v>32</v>
      </c>
      <c r="K231" s="241">
        <f>32*F231</f>
        <v>128</v>
      </c>
      <c r="L231" s="237">
        <v>41072</v>
      </c>
      <c r="M231" s="1" t="s">
        <v>343</v>
      </c>
      <c r="N231" s="235">
        <f t="shared" si="12"/>
        <v>190</v>
      </c>
      <c r="O231" s="235">
        <f t="shared" si="13"/>
        <v>0</v>
      </c>
      <c r="P231" s="238" t="s">
        <v>630</v>
      </c>
      <c r="Q231" s="1" t="s">
        <v>440</v>
      </c>
      <c r="R231" s="239" t="s">
        <v>631</v>
      </c>
      <c r="S231" s="238" t="s">
        <v>632</v>
      </c>
      <c r="T231" s="238" t="s">
        <v>2298</v>
      </c>
      <c r="U231" s="238" t="s">
        <v>633</v>
      </c>
      <c r="V231" s="238" t="s">
        <v>254</v>
      </c>
      <c r="Y231" s="239"/>
      <c r="Z231" s="239"/>
      <c r="AB231" s="1" t="s">
        <v>382</v>
      </c>
    </row>
    <row r="232" spans="1:28" ht="11.25" customHeight="1">
      <c r="A232" s="233">
        <v>41072</v>
      </c>
      <c r="B232" s="1" t="s">
        <v>629</v>
      </c>
      <c r="C232" s="1" t="s">
        <v>2071</v>
      </c>
      <c r="D232" s="1" t="s">
        <v>232</v>
      </c>
      <c r="E232" s="1" t="s">
        <v>2076</v>
      </c>
      <c r="F232" s="5">
        <v>6</v>
      </c>
      <c r="G232" s="1" t="s">
        <v>231</v>
      </c>
      <c r="H232" s="234">
        <v>7.5</v>
      </c>
      <c r="I232" s="236">
        <f t="shared" si="11"/>
        <v>45</v>
      </c>
      <c r="J232" s="351">
        <v>5.0999999999999996</v>
      </c>
      <c r="K232" s="241">
        <f>5.1*6</f>
        <v>30.599999999999998</v>
      </c>
      <c r="L232" s="237">
        <v>41072</v>
      </c>
      <c r="M232" s="1" t="s">
        <v>343</v>
      </c>
      <c r="N232" s="235">
        <f t="shared" si="12"/>
        <v>45</v>
      </c>
      <c r="O232" s="235">
        <f t="shared" si="13"/>
        <v>0</v>
      </c>
      <c r="P232" s="238" t="s">
        <v>630</v>
      </c>
      <c r="Q232" s="1" t="s">
        <v>440</v>
      </c>
      <c r="R232" s="239" t="s">
        <v>631</v>
      </c>
      <c r="S232" s="238" t="s">
        <v>632</v>
      </c>
      <c r="T232" s="238" t="s">
        <v>2298</v>
      </c>
      <c r="U232" s="238" t="s">
        <v>633</v>
      </c>
      <c r="V232" s="238" t="s">
        <v>254</v>
      </c>
      <c r="Y232" s="239"/>
      <c r="Z232" s="239"/>
      <c r="AB232" s="1" t="s">
        <v>382</v>
      </c>
    </row>
    <row r="233" spans="1:28" ht="11.25" customHeight="1">
      <c r="A233" s="233">
        <v>41072</v>
      </c>
      <c r="B233" s="1" t="s">
        <v>629</v>
      </c>
      <c r="C233" s="1" t="s">
        <v>2071</v>
      </c>
      <c r="D233" s="1" t="s">
        <v>2223</v>
      </c>
      <c r="E233" s="1">
        <v>501</v>
      </c>
      <c r="F233" s="5">
        <v>2</v>
      </c>
      <c r="G233" s="1" t="s">
        <v>229</v>
      </c>
      <c r="H233" s="234">
        <v>1.8</v>
      </c>
      <c r="I233" s="236">
        <f t="shared" ref="I233:I271" si="14">H233*F233</f>
        <v>3.6</v>
      </c>
      <c r="J233" s="351">
        <v>1.4</v>
      </c>
      <c r="K233" s="241">
        <f>1.4*2</f>
        <v>2.8</v>
      </c>
      <c r="L233" s="237">
        <v>41072</v>
      </c>
      <c r="M233" s="1" t="s">
        <v>343</v>
      </c>
      <c r="N233" s="235">
        <f t="shared" si="12"/>
        <v>3.6</v>
      </c>
      <c r="O233" s="235">
        <f t="shared" si="13"/>
        <v>0</v>
      </c>
      <c r="P233" s="238" t="s">
        <v>630</v>
      </c>
      <c r="Q233" s="1" t="s">
        <v>440</v>
      </c>
      <c r="R233" s="239" t="s">
        <v>631</v>
      </c>
      <c r="S233" s="238" t="s">
        <v>632</v>
      </c>
      <c r="T233" s="238" t="s">
        <v>2298</v>
      </c>
      <c r="U233" s="238" t="s">
        <v>633</v>
      </c>
      <c r="V233" s="238" t="s">
        <v>254</v>
      </c>
      <c r="Y233" s="239"/>
      <c r="Z233" s="239"/>
      <c r="AB233" s="1" t="s">
        <v>382</v>
      </c>
    </row>
    <row r="234" spans="1:28" ht="11.25" customHeight="1">
      <c r="A234" s="233">
        <v>41072</v>
      </c>
      <c r="B234" s="1" t="s">
        <v>2301</v>
      </c>
      <c r="C234" s="1" t="s">
        <v>2071</v>
      </c>
      <c r="D234" s="1" t="s">
        <v>232</v>
      </c>
      <c r="E234" s="1" t="s">
        <v>2113</v>
      </c>
      <c r="F234" s="5">
        <v>8000</v>
      </c>
      <c r="G234" s="1" t="s">
        <v>231</v>
      </c>
      <c r="H234" s="234">
        <v>1.97</v>
      </c>
      <c r="I234" s="236">
        <f t="shared" si="14"/>
        <v>15760</v>
      </c>
      <c r="J234" s="352">
        <v>1.8</v>
      </c>
      <c r="K234" s="241">
        <f>1.8*8000</f>
        <v>14400</v>
      </c>
      <c r="L234" s="237">
        <v>41072</v>
      </c>
      <c r="M234" s="1" t="s">
        <v>2073</v>
      </c>
      <c r="N234" s="235">
        <f t="shared" si="12"/>
        <v>15760</v>
      </c>
      <c r="O234" s="235">
        <f t="shared" si="13"/>
        <v>0</v>
      </c>
      <c r="P234" s="238" t="s">
        <v>634</v>
      </c>
      <c r="Q234" s="1" t="s">
        <v>434</v>
      </c>
      <c r="R234" s="239" t="s">
        <v>635</v>
      </c>
      <c r="S234" s="238" t="s">
        <v>636</v>
      </c>
      <c r="T234" s="238" t="s">
        <v>72</v>
      </c>
      <c r="U234" s="238" t="s">
        <v>637</v>
      </c>
      <c r="V234" s="238" t="s">
        <v>2302</v>
      </c>
      <c r="W234" s="236" t="s">
        <v>2303</v>
      </c>
      <c r="X234" s="233">
        <v>41080</v>
      </c>
      <c r="Y234" s="238" t="s">
        <v>2157</v>
      </c>
      <c r="Z234" s="238"/>
      <c r="AB234" s="1" t="s">
        <v>377</v>
      </c>
    </row>
    <row r="235" spans="1:28" ht="11.25" customHeight="1">
      <c r="A235" s="233">
        <v>41073</v>
      </c>
      <c r="B235" s="1" t="s">
        <v>2304</v>
      </c>
      <c r="C235" s="1" t="s">
        <v>2071</v>
      </c>
      <c r="D235" s="1" t="s">
        <v>2219</v>
      </c>
      <c r="E235" s="1" t="s">
        <v>2076</v>
      </c>
      <c r="F235" s="5">
        <v>12</v>
      </c>
      <c r="G235" s="1" t="s">
        <v>231</v>
      </c>
      <c r="H235" s="234">
        <v>9.1999999999999993</v>
      </c>
      <c r="I235" s="236">
        <f t="shared" si="14"/>
        <v>110.39999999999999</v>
      </c>
      <c r="J235" s="351">
        <v>5.0999999999999996</v>
      </c>
      <c r="K235" s="241">
        <f>5.1*12</f>
        <v>61.199999999999996</v>
      </c>
      <c r="L235" s="237">
        <v>41073</v>
      </c>
      <c r="M235" s="1" t="s">
        <v>300</v>
      </c>
      <c r="N235" s="235">
        <f t="shared" si="12"/>
        <v>110.39999999999999</v>
      </c>
      <c r="O235" s="235">
        <f t="shared" si="13"/>
        <v>0</v>
      </c>
      <c r="P235" s="238" t="s">
        <v>638</v>
      </c>
      <c r="Q235" s="1" t="s">
        <v>391</v>
      </c>
      <c r="R235" s="239" t="s">
        <v>639</v>
      </c>
      <c r="S235" s="238" t="s">
        <v>640</v>
      </c>
      <c r="T235" s="238" t="s">
        <v>2305</v>
      </c>
      <c r="V235" s="238" t="s">
        <v>254</v>
      </c>
      <c r="Y235" s="239"/>
      <c r="Z235" s="239"/>
      <c r="AB235" s="1" t="s">
        <v>382</v>
      </c>
    </row>
    <row r="236" spans="1:28" ht="11.25" customHeight="1">
      <c r="A236" s="233">
        <v>41073</v>
      </c>
      <c r="B236" s="1" t="s">
        <v>2304</v>
      </c>
      <c r="C236" s="1" t="s">
        <v>2071</v>
      </c>
      <c r="D236" s="1" t="s">
        <v>353</v>
      </c>
      <c r="E236" s="1" t="s">
        <v>2072</v>
      </c>
      <c r="F236" s="5">
        <v>2</v>
      </c>
      <c r="G236" s="1" t="s">
        <v>229</v>
      </c>
      <c r="H236" s="234">
        <v>29.3</v>
      </c>
      <c r="I236" s="236">
        <f t="shared" si="14"/>
        <v>58.6</v>
      </c>
      <c r="J236" s="351">
        <v>19</v>
      </c>
      <c r="K236" s="241">
        <f>19*2</f>
        <v>38</v>
      </c>
      <c r="L236" s="237">
        <v>41073</v>
      </c>
      <c r="M236" s="1" t="s">
        <v>300</v>
      </c>
      <c r="N236" s="235">
        <f t="shared" si="12"/>
        <v>58.6</v>
      </c>
      <c r="O236" s="235">
        <f t="shared" si="13"/>
        <v>0</v>
      </c>
      <c r="P236" s="238" t="s">
        <v>638</v>
      </c>
      <c r="Q236" s="1" t="s">
        <v>391</v>
      </c>
      <c r="R236" s="239" t="s">
        <v>639</v>
      </c>
      <c r="S236" s="238" t="s">
        <v>640</v>
      </c>
      <c r="T236" s="238" t="s">
        <v>2305</v>
      </c>
      <c r="V236" s="238" t="s">
        <v>254</v>
      </c>
      <c r="Y236" s="239"/>
      <c r="Z236" s="239"/>
      <c r="AB236" s="1" t="s">
        <v>382</v>
      </c>
    </row>
    <row r="237" spans="1:28" ht="11.25" customHeight="1">
      <c r="A237" s="233">
        <v>41073</v>
      </c>
      <c r="B237" s="1" t="s">
        <v>2304</v>
      </c>
      <c r="C237" s="1" t="s">
        <v>2071</v>
      </c>
      <c r="D237" s="1" t="s">
        <v>2223</v>
      </c>
      <c r="E237" s="1">
        <v>501</v>
      </c>
      <c r="F237" s="5">
        <v>2</v>
      </c>
      <c r="G237" s="1" t="s">
        <v>229</v>
      </c>
      <c r="H237" s="234">
        <v>2.5</v>
      </c>
      <c r="I237" s="236">
        <f t="shared" si="14"/>
        <v>5</v>
      </c>
      <c r="J237" s="351">
        <v>1.4</v>
      </c>
      <c r="K237" s="241">
        <f>1.4*2</f>
        <v>2.8</v>
      </c>
      <c r="L237" s="237">
        <v>41073</v>
      </c>
      <c r="M237" s="1" t="s">
        <v>300</v>
      </c>
      <c r="N237" s="235">
        <f t="shared" si="12"/>
        <v>5</v>
      </c>
      <c r="O237" s="235">
        <f t="shared" si="13"/>
        <v>0</v>
      </c>
      <c r="P237" s="238" t="s">
        <v>638</v>
      </c>
      <c r="Q237" s="1" t="s">
        <v>391</v>
      </c>
      <c r="R237" s="239" t="s">
        <v>639</v>
      </c>
      <c r="S237" s="238" t="s">
        <v>640</v>
      </c>
      <c r="T237" s="238" t="s">
        <v>2305</v>
      </c>
      <c r="V237" s="238" t="s">
        <v>254</v>
      </c>
      <c r="Y237" s="239"/>
      <c r="Z237" s="239"/>
      <c r="AB237" s="1" t="s">
        <v>382</v>
      </c>
    </row>
    <row r="238" spans="1:28" ht="11.25" customHeight="1">
      <c r="A238" s="233">
        <v>41073</v>
      </c>
      <c r="B238" s="1" t="s">
        <v>2304</v>
      </c>
      <c r="C238" s="1" t="s">
        <v>2071</v>
      </c>
      <c r="D238" s="1" t="s">
        <v>240</v>
      </c>
      <c r="E238" s="1">
        <v>6200</v>
      </c>
      <c r="F238" s="5">
        <v>1</v>
      </c>
      <c r="G238" s="1" t="s">
        <v>229</v>
      </c>
      <c r="H238" s="234">
        <v>84</v>
      </c>
      <c r="I238" s="236">
        <f t="shared" si="14"/>
        <v>84</v>
      </c>
      <c r="J238" s="354">
        <v>45.8</v>
      </c>
      <c r="K238" s="241" t="e">
        <f>#REF!*F238</f>
        <v>#REF!</v>
      </c>
      <c r="L238" s="237">
        <v>41073</v>
      </c>
      <c r="M238" s="1" t="s">
        <v>300</v>
      </c>
      <c r="N238" s="235">
        <f t="shared" si="12"/>
        <v>84</v>
      </c>
      <c r="O238" s="235">
        <f t="shared" si="13"/>
        <v>0</v>
      </c>
      <c r="P238" s="238" t="s">
        <v>638</v>
      </c>
      <c r="Q238" s="1" t="s">
        <v>391</v>
      </c>
      <c r="R238" s="239" t="s">
        <v>639</v>
      </c>
      <c r="S238" s="238" t="s">
        <v>640</v>
      </c>
      <c r="T238" s="238" t="s">
        <v>2305</v>
      </c>
      <c r="V238" s="238" t="s">
        <v>254</v>
      </c>
      <c r="Y238" s="239"/>
      <c r="Z238" s="239"/>
      <c r="AB238" s="1" t="s">
        <v>382</v>
      </c>
    </row>
    <row r="239" spans="1:28" ht="11.25" customHeight="1">
      <c r="A239" s="233">
        <v>41073</v>
      </c>
      <c r="B239" s="1" t="s">
        <v>2304</v>
      </c>
      <c r="C239" s="1" t="s">
        <v>2071</v>
      </c>
      <c r="D239" s="5" t="s">
        <v>2012</v>
      </c>
      <c r="E239" s="1" t="s">
        <v>2089</v>
      </c>
      <c r="F239" s="5">
        <v>10</v>
      </c>
      <c r="G239" s="1" t="s">
        <v>4970</v>
      </c>
      <c r="H239" s="234">
        <v>2.6</v>
      </c>
      <c r="I239" s="236">
        <f t="shared" si="14"/>
        <v>26</v>
      </c>
      <c r="J239" s="351">
        <v>1.6</v>
      </c>
      <c r="K239" s="241">
        <f>1.6*10</f>
        <v>16</v>
      </c>
      <c r="L239" s="237">
        <v>41073</v>
      </c>
      <c r="M239" s="1" t="s">
        <v>300</v>
      </c>
      <c r="N239" s="235">
        <f t="shared" si="12"/>
        <v>26</v>
      </c>
      <c r="O239" s="235">
        <f t="shared" si="13"/>
        <v>0</v>
      </c>
      <c r="P239" s="238" t="s">
        <v>638</v>
      </c>
      <c r="Q239" s="1" t="s">
        <v>391</v>
      </c>
      <c r="R239" s="239" t="s">
        <v>639</v>
      </c>
      <c r="S239" s="238" t="s">
        <v>640</v>
      </c>
      <c r="T239" s="238" t="s">
        <v>2305</v>
      </c>
      <c r="V239" s="238" t="s">
        <v>254</v>
      </c>
      <c r="Y239" s="239"/>
      <c r="Z239" s="239"/>
      <c r="AB239" s="1" t="s">
        <v>382</v>
      </c>
    </row>
    <row r="240" spans="1:28" ht="11.25" customHeight="1">
      <c r="A240" s="233">
        <v>41073</v>
      </c>
      <c r="B240" s="1" t="s">
        <v>641</v>
      </c>
      <c r="C240" s="1" t="s">
        <v>2071</v>
      </c>
      <c r="D240" s="5" t="s">
        <v>2012</v>
      </c>
      <c r="E240" s="1" t="s">
        <v>2089</v>
      </c>
      <c r="F240" s="5">
        <v>100</v>
      </c>
      <c r="G240" s="1" t="s">
        <v>4970</v>
      </c>
      <c r="H240" s="234">
        <v>2</v>
      </c>
      <c r="I240" s="236">
        <f t="shared" ref="I240:I246" si="15">H240*F240</f>
        <v>200</v>
      </c>
      <c r="J240" s="351">
        <v>1.6</v>
      </c>
      <c r="K240" s="241" t="e">
        <f>#REF!*F240</f>
        <v>#REF!</v>
      </c>
      <c r="L240" s="237">
        <v>41073</v>
      </c>
      <c r="M240" s="1" t="s">
        <v>300</v>
      </c>
      <c r="N240" s="235">
        <f t="shared" si="12"/>
        <v>200</v>
      </c>
      <c r="O240" s="235">
        <f t="shared" si="13"/>
        <v>0</v>
      </c>
      <c r="P240" s="238" t="s">
        <v>642</v>
      </c>
      <c r="Q240" s="1" t="s">
        <v>391</v>
      </c>
      <c r="R240" s="239" t="s">
        <v>2306</v>
      </c>
      <c r="S240" s="238" t="s">
        <v>21</v>
      </c>
      <c r="T240" s="238" t="s">
        <v>2115</v>
      </c>
      <c r="V240" s="238" t="s">
        <v>254</v>
      </c>
      <c r="Y240" s="239"/>
      <c r="Z240" s="239"/>
      <c r="AB240" s="1" t="s">
        <v>382</v>
      </c>
    </row>
    <row r="241" spans="1:28" ht="11.25" customHeight="1">
      <c r="A241" s="233">
        <v>41073</v>
      </c>
      <c r="B241" s="1" t="s">
        <v>641</v>
      </c>
      <c r="C241" s="1" t="s">
        <v>2071</v>
      </c>
      <c r="D241" s="1" t="s">
        <v>2101</v>
      </c>
      <c r="E241" s="1" t="s">
        <v>2072</v>
      </c>
      <c r="F241" s="5">
        <v>2</v>
      </c>
      <c r="G241" s="1" t="s">
        <v>229</v>
      </c>
      <c r="H241" s="234">
        <v>22.9</v>
      </c>
      <c r="I241" s="1">
        <f t="shared" si="15"/>
        <v>45.8</v>
      </c>
      <c r="J241" s="351">
        <v>19</v>
      </c>
      <c r="K241" s="241" t="e">
        <f>#REF!*F241</f>
        <v>#REF!</v>
      </c>
      <c r="L241" s="237">
        <v>41073</v>
      </c>
      <c r="M241" s="1" t="s">
        <v>300</v>
      </c>
      <c r="N241" s="235">
        <f t="shared" si="12"/>
        <v>45.8</v>
      </c>
      <c r="O241" s="235">
        <f t="shared" si="13"/>
        <v>0</v>
      </c>
      <c r="P241" s="238" t="s">
        <v>642</v>
      </c>
      <c r="Q241" s="1" t="s">
        <v>391</v>
      </c>
      <c r="R241" s="239" t="s">
        <v>2306</v>
      </c>
      <c r="S241" s="238" t="s">
        <v>21</v>
      </c>
      <c r="T241" s="238" t="s">
        <v>2115</v>
      </c>
      <c r="V241" s="238" t="s">
        <v>254</v>
      </c>
      <c r="Y241" s="239"/>
      <c r="Z241" s="239"/>
      <c r="AB241" s="1" t="s">
        <v>382</v>
      </c>
    </row>
    <row r="242" spans="1:28" ht="11.25" customHeight="1">
      <c r="A242" s="233">
        <v>41073</v>
      </c>
      <c r="B242" s="1" t="s">
        <v>641</v>
      </c>
      <c r="C242" s="1" t="s">
        <v>2071</v>
      </c>
      <c r="D242" s="1" t="s">
        <v>263</v>
      </c>
      <c r="E242" s="1">
        <v>501</v>
      </c>
      <c r="F242" s="5">
        <v>2</v>
      </c>
      <c r="G242" s="1" t="s">
        <v>229</v>
      </c>
      <c r="H242" s="234">
        <v>1.9</v>
      </c>
      <c r="I242" s="1">
        <f t="shared" si="15"/>
        <v>3.8</v>
      </c>
      <c r="J242" s="351">
        <v>1.4</v>
      </c>
      <c r="K242" s="241" t="e">
        <f>#REF!*F242</f>
        <v>#REF!</v>
      </c>
      <c r="L242" s="237">
        <v>41073</v>
      </c>
      <c r="M242" s="1" t="s">
        <v>300</v>
      </c>
      <c r="N242" s="235">
        <f t="shared" si="12"/>
        <v>3.8</v>
      </c>
      <c r="O242" s="235">
        <f t="shared" si="13"/>
        <v>0</v>
      </c>
      <c r="P242" s="238" t="s">
        <v>642</v>
      </c>
      <c r="Q242" s="1" t="s">
        <v>391</v>
      </c>
      <c r="R242" s="239" t="s">
        <v>2307</v>
      </c>
      <c r="S242" s="238" t="s">
        <v>21</v>
      </c>
      <c r="T242" s="238" t="s">
        <v>2082</v>
      </c>
      <c r="V242" s="238" t="s">
        <v>254</v>
      </c>
      <c r="Y242" s="239"/>
      <c r="Z242" s="239"/>
      <c r="AB242" s="1" t="s">
        <v>382</v>
      </c>
    </row>
    <row r="243" spans="1:28" ht="11.25" customHeight="1">
      <c r="A243" s="233">
        <v>41073</v>
      </c>
      <c r="B243" s="1" t="s">
        <v>641</v>
      </c>
      <c r="C243" s="1" t="s">
        <v>2071</v>
      </c>
      <c r="D243" s="1" t="s">
        <v>2104</v>
      </c>
      <c r="E243" s="1">
        <v>6200</v>
      </c>
      <c r="F243" s="5">
        <v>1</v>
      </c>
      <c r="G243" s="1" t="s">
        <v>229</v>
      </c>
      <c r="H243" s="234">
        <v>65.819999999999993</v>
      </c>
      <c r="I243" s="1">
        <f t="shared" si="15"/>
        <v>65.819999999999993</v>
      </c>
      <c r="J243" s="354">
        <v>45.8</v>
      </c>
      <c r="K243" s="241" t="e">
        <f>#REF!*F243</f>
        <v>#REF!</v>
      </c>
      <c r="L243" s="237">
        <v>41073</v>
      </c>
      <c r="M243" s="1" t="s">
        <v>300</v>
      </c>
      <c r="N243" s="235">
        <f t="shared" si="12"/>
        <v>65.819999999999993</v>
      </c>
      <c r="O243" s="235">
        <f t="shared" si="13"/>
        <v>0</v>
      </c>
      <c r="P243" s="238" t="s">
        <v>642</v>
      </c>
      <c r="Q243" s="1" t="s">
        <v>391</v>
      </c>
      <c r="R243" s="239" t="s">
        <v>2306</v>
      </c>
      <c r="S243" s="238" t="s">
        <v>21</v>
      </c>
      <c r="T243" s="238" t="s">
        <v>2115</v>
      </c>
      <c r="V243" s="238" t="s">
        <v>254</v>
      </c>
      <c r="Y243" s="239"/>
      <c r="Z243" s="239"/>
      <c r="AB243" s="1" t="s">
        <v>382</v>
      </c>
    </row>
    <row r="244" spans="1:28" ht="11.25" customHeight="1">
      <c r="A244" s="233">
        <v>41073</v>
      </c>
      <c r="B244" s="1" t="s">
        <v>641</v>
      </c>
      <c r="C244" s="1" t="s">
        <v>2071</v>
      </c>
      <c r="D244" s="1" t="s">
        <v>232</v>
      </c>
      <c r="E244" s="1" t="s">
        <v>2076</v>
      </c>
      <c r="F244" s="5">
        <v>2</v>
      </c>
      <c r="G244" s="1" t="s">
        <v>231</v>
      </c>
      <c r="H244" s="234">
        <v>7.29</v>
      </c>
      <c r="I244" s="1">
        <f t="shared" si="15"/>
        <v>14.58</v>
      </c>
      <c r="J244" s="351">
        <v>5.0999999999999996</v>
      </c>
      <c r="K244" s="241" t="e">
        <f>#REF!*F244</f>
        <v>#REF!</v>
      </c>
      <c r="L244" s="237">
        <v>41073</v>
      </c>
      <c r="M244" s="1" t="s">
        <v>300</v>
      </c>
      <c r="N244" s="235">
        <f t="shared" si="12"/>
        <v>14.58</v>
      </c>
      <c r="O244" s="235">
        <f t="shared" si="13"/>
        <v>0</v>
      </c>
      <c r="P244" s="238" t="s">
        <v>642</v>
      </c>
      <c r="Q244" s="1" t="s">
        <v>391</v>
      </c>
      <c r="R244" s="239" t="s">
        <v>2306</v>
      </c>
      <c r="S244" s="238" t="s">
        <v>21</v>
      </c>
      <c r="T244" s="238" t="s">
        <v>2115</v>
      </c>
      <c r="V244" s="238" t="s">
        <v>254</v>
      </c>
      <c r="Y244" s="239"/>
      <c r="Z244" s="239"/>
      <c r="AB244" s="1" t="s">
        <v>382</v>
      </c>
    </row>
    <row r="245" spans="1:28" ht="11.25" customHeight="1">
      <c r="A245" s="233">
        <v>41073</v>
      </c>
      <c r="B245" s="1" t="s">
        <v>641</v>
      </c>
      <c r="C245" s="1" t="s">
        <v>2071</v>
      </c>
      <c r="D245" s="1" t="s">
        <v>2232</v>
      </c>
      <c r="E245" s="1">
        <v>3700</v>
      </c>
      <c r="F245" s="5">
        <v>1</v>
      </c>
      <c r="G245" s="1" t="s">
        <v>229</v>
      </c>
      <c r="H245" s="234">
        <v>4.5</v>
      </c>
      <c r="I245" s="1">
        <f t="shared" si="15"/>
        <v>4.5</v>
      </c>
      <c r="J245" s="351">
        <v>3.7</v>
      </c>
      <c r="K245" s="241" t="e">
        <f>#REF!*F245</f>
        <v>#REF!</v>
      </c>
      <c r="L245" s="237">
        <v>41073</v>
      </c>
      <c r="M245" s="1" t="s">
        <v>300</v>
      </c>
      <c r="N245" s="235">
        <f t="shared" si="12"/>
        <v>4.5</v>
      </c>
      <c r="O245" s="235">
        <f t="shared" si="13"/>
        <v>0</v>
      </c>
      <c r="P245" s="238" t="s">
        <v>642</v>
      </c>
      <c r="Q245" s="1" t="s">
        <v>391</v>
      </c>
      <c r="R245" s="239" t="s">
        <v>2306</v>
      </c>
      <c r="S245" s="238" t="s">
        <v>21</v>
      </c>
      <c r="T245" s="238" t="s">
        <v>2115</v>
      </c>
      <c r="V245" s="238" t="s">
        <v>254</v>
      </c>
      <c r="Y245" s="239"/>
      <c r="Z245" s="239"/>
      <c r="AB245" s="1" t="s">
        <v>382</v>
      </c>
    </row>
    <row r="246" spans="1:28" ht="11.25" customHeight="1">
      <c r="A246" s="233">
        <v>41073</v>
      </c>
      <c r="B246" s="1" t="s">
        <v>641</v>
      </c>
      <c r="C246" s="1" t="s">
        <v>2071</v>
      </c>
      <c r="D246" s="1" t="s">
        <v>1210</v>
      </c>
      <c r="E246" s="1">
        <v>3200</v>
      </c>
      <c r="F246" s="5">
        <v>1</v>
      </c>
      <c r="G246" s="1" t="s">
        <v>229</v>
      </c>
      <c r="H246" s="234">
        <v>34.299999999999997</v>
      </c>
      <c r="I246" s="1">
        <f t="shared" si="15"/>
        <v>34.299999999999997</v>
      </c>
      <c r="J246" s="65">
        <v>28.73</v>
      </c>
      <c r="K246" s="241" t="e">
        <f>#REF!*F246</f>
        <v>#REF!</v>
      </c>
      <c r="L246" s="237">
        <v>41073</v>
      </c>
      <c r="M246" s="1" t="s">
        <v>300</v>
      </c>
      <c r="N246" s="235">
        <f t="shared" si="12"/>
        <v>34.299999999999997</v>
      </c>
      <c r="O246" s="235">
        <f t="shared" si="13"/>
        <v>0</v>
      </c>
      <c r="P246" s="238" t="s">
        <v>642</v>
      </c>
      <c r="Q246" s="1" t="s">
        <v>391</v>
      </c>
      <c r="R246" s="239" t="s">
        <v>2306</v>
      </c>
      <c r="S246" s="238" t="s">
        <v>21</v>
      </c>
      <c r="T246" s="238" t="s">
        <v>2115</v>
      </c>
      <c r="V246" s="238" t="s">
        <v>254</v>
      </c>
      <c r="Y246" s="239"/>
      <c r="Z246" s="239" t="s">
        <v>2308</v>
      </c>
      <c r="AB246" s="1" t="s">
        <v>382</v>
      </c>
    </row>
    <row r="247" spans="1:28" ht="11.25" customHeight="1">
      <c r="A247" s="233">
        <v>41073</v>
      </c>
      <c r="B247" s="1" t="s">
        <v>641</v>
      </c>
      <c r="C247" s="1" t="s">
        <v>2071</v>
      </c>
      <c r="D247" s="1" t="s">
        <v>2219</v>
      </c>
      <c r="E247" s="1" t="s">
        <v>2113</v>
      </c>
      <c r="F247" s="5">
        <v>1</v>
      </c>
      <c r="G247" s="1" t="s">
        <v>231</v>
      </c>
      <c r="H247" s="234">
        <v>2.2000000000000002</v>
      </c>
      <c r="I247" s="236">
        <f t="shared" si="14"/>
        <v>2.2000000000000002</v>
      </c>
      <c r="J247" s="352">
        <v>0</v>
      </c>
      <c r="K247" s="254">
        <v>0</v>
      </c>
      <c r="L247" s="237">
        <v>41073</v>
      </c>
      <c r="M247" s="1" t="s">
        <v>300</v>
      </c>
      <c r="N247" s="235">
        <f t="shared" si="12"/>
        <v>2.2000000000000002</v>
      </c>
      <c r="O247" s="235">
        <f t="shared" si="13"/>
        <v>0</v>
      </c>
      <c r="P247" s="238" t="s">
        <v>642</v>
      </c>
      <c r="Q247" s="1" t="s">
        <v>391</v>
      </c>
      <c r="R247" s="239" t="s">
        <v>2306</v>
      </c>
      <c r="S247" s="238" t="s">
        <v>21</v>
      </c>
      <c r="T247" s="238" t="s">
        <v>2115</v>
      </c>
      <c r="V247" s="238" t="s">
        <v>254</v>
      </c>
      <c r="Y247" s="239"/>
      <c r="Z247" s="239"/>
      <c r="AB247" s="1" t="s">
        <v>382</v>
      </c>
    </row>
    <row r="248" spans="1:28" ht="11.25" customHeight="1">
      <c r="A248" s="233">
        <v>41074</v>
      </c>
      <c r="B248" s="1" t="s">
        <v>2309</v>
      </c>
      <c r="C248" s="1" t="s">
        <v>2071</v>
      </c>
      <c r="D248" s="5" t="s">
        <v>2012</v>
      </c>
      <c r="E248" s="1" t="s">
        <v>2089</v>
      </c>
      <c r="F248" s="5">
        <v>4000</v>
      </c>
      <c r="G248" s="1" t="s">
        <v>4970</v>
      </c>
      <c r="H248" s="234">
        <v>1.65</v>
      </c>
      <c r="I248" s="236">
        <f t="shared" si="14"/>
        <v>6600</v>
      </c>
      <c r="J248" s="351">
        <v>1.58</v>
      </c>
      <c r="K248" s="241" t="e">
        <f>F248*#REF!</f>
        <v>#REF!</v>
      </c>
      <c r="L248" s="237">
        <v>41074</v>
      </c>
      <c r="M248" s="1" t="s">
        <v>330</v>
      </c>
      <c r="N248" s="235">
        <f t="shared" si="12"/>
        <v>6600</v>
      </c>
      <c r="O248" s="235">
        <f t="shared" si="13"/>
        <v>0</v>
      </c>
      <c r="P248" s="238" t="s">
        <v>642</v>
      </c>
      <c r="Q248" s="1" t="s">
        <v>391</v>
      </c>
      <c r="S248" s="238" t="s">
        <v>643</v>
      </c>
      <c r="T248" s="238" t="s">
        <v>2115</v>
      </c>
      <c r="U248" s="238" t="s">
        <v>2115</v>
      </c>
      <c r="V248" s="238" t="s">
        <v>644</v>
      </c>
      <c r="W248" s="236">
        <v>6660</v>
      </c>
      <c r="X248" s="233">
        <v>41074</v>
      </c>
      <c r="Y248" s="238" t="s">
        <v>2115</v>
      </c>
      <c r="Z248" s="239"/>
      <c r="AB248" s="1" t="s">
        <v>377</v>
      </c>
    </row>
    <row r="249" spans="1:28" ht="11.25" customHeight="1">
      <c r="A249" s="233">
        <v>41074</v>
      </c>
      <c r="B249" s="1" t="s">
        <v>641</v>
      </c>
      <c r="C249" s="1" t="s">
        <v>2071</v>
      </c>
      <c r="D249" s="1" t="s">
        <v>2101</v>
      </c>
      <c r="E249" s="1" t="s">
        <v>2072</v>
      </c>
      <c r="F249" s="5">
        <v>22</v>
      </c>
      <c r="G249" s="1" t="s">
        <v>229</v>
      </c>
      <c r="H249" s="234">
        <v>22.9</v>
      </c>
      <c r="I249" s="236">
        <f t="shared" si="14"/>
        <v>503.79999999999995</v>
      </c>
      <c r="J249" s="351">
        <v>19</v>
      </c>
      <c r="K249" s="241" t="e">
        <f>F249*#REF!</f>
        <v>#REF!</v>
      </c>
      <c r="L249" s="237">
        <v>41074</v>
      </c>
      <c r="M249" s="1" t="s">
        <v>300</v>
      </c>
      <c r="N249" s="235">
        <f t="shared" si="12"/>
        <v>503.79999999999995</v>
      </c>
      <c r="O249" s="235">
        <f t="shared" si="13"/>
        <v>0</v>
      </c>
      <c r="P249" s="238" t="s">
        <v>645</v>
      </c>
      <c r="Q249" s="1" t="s">
        <v>391</v>
      </c>
      <c r="R249" s="239" t="s">
        <v>2306</v>
      </c>
      <c r="S249" s="238" t="s">
        <v>21</v>
      </c>
      <c r="T249" s="238" t="s">
        <v>2115</v>
      </c>
      <c r="V249" s="238" t="s">
        <v>254</v>
      </c>
      <c r="Y249" s="239"/>
      <c r="Z249" s="239"/>
      <c r="AB249" s="1" t="s">
        <v>382</v>
      </c>
    </row>
    <row r="250" spans="1:28" ht="11.25" customHeight="1">
      <c r="A250" s="233">
        <v>41074</v>
      </c>
      <c r="B250" s="1" t="s">
        <v>641</v>
      </c>
      <c r="C250" s="1" t="s">
        <v>2071</v>
      </c>
      <c r="D250" s="1" t="s">
        <v>263</v>
      </c>
      <c r="E250" s="1">
        <v>501</v>
      </c>
      <c r="F250" s="5">
        <v>10</v>
      </c>
      <c r="G250" s="1" t="s">
        <v>229</v>
      </c>
      <c r="H250" s="234">
        <v>1.9</v>
      </c>
      <c r="I250" s="236">
        <f t="shared" si="14"/>
        <v>19</v>
      </c>
      <c r="J250" s="351">
        <v>1.4</v>
      </c>
      <c r="K250" s="241" t="e">
        <f>F250*#REF!</f>
        <v>#REF!</v>
      </c>
      <c r="L250" s="237">
        <v>41074</v>
      </c>
      <c r="M250" s="1" t="s">
        <v>300</v>
      </c>
      <c r="N250" s="235">
        <f t="shared" si="12"/>
        <v>19</v>
      </c>
      <c r="O250" s="235">
        <f t="shared" si="13"/>
        <v>0</v>
      </c>
      <c r="P250" s="238" t="s">
        <v>645</v>
      </c>
      <c r="Q250" s="1" t="s">
        <v>391</v>
      </c>
      <c r="R250" s="239" t="s">
        <v>2307</v>
      </c>
      <c r="S250" s="238" t="s">
        <v>21</v>
      </c>
      <c r="T250" s="238" t="s">
        <v>2082</v>
      </c>
      <c r="V250" s="238" t="s">
        <v>254</v>
      </c>
      <c r="Y250" s="239"/>
      <c r="Z250" s="239"/>
      <c r="AB250" s="1" t="s">
        <v>382</v>
      </c>
    </row>
    <row r="251" spans="1:28" ht="11.25" customHeight="1">
      <c r="A251" s="233">
        <v>41074</v>
      </c>
      <c r="B251" s="1" t="s">
        <v>641</v>
      </c>
      <c r="C251" s="1" t="s">
        <v>2071</v>
      </c>
      <c r="D251" s="1" t="s">
        <v>2104</v>
      </c>
      <c r="E251" s="1">
        <v>6200</v>
      </c>
      <c r="F251" s="5">
        <v>5</v>
      </c>
      <c r="G251" s="1" t="s">
        <v>229</v>
      </c>
      <c r="H251" s="234">
        <v>65.819999999999993</v>
      </c>
      <c r="I251" s="236">
        <f t="shared" si="14"/>
        <v>329.09999999999997</v>
      </c>
      <c r="J251" s="355">
        <v>45.8</v>
      </c>
      <c r="K251" s="241" t="e">
        <f>#REF!*F251</f>
        <v>#REF!</v>
      </c>
      <c r="L251" s="237">
        <v>41074</v>
      </c>
      <c r="M251" s="1" t="s">
        <v>300</v>
      </c>
      <c r="N251" s="235">
        <f t="shared" si="12"/>
        <v>329.09999999999997</v>
      </c>
      <c r="O251" s="235">
        <f t="shared" si="13"/>
        <v>0</v>
      </c>
      <c r="P251" s="238" t="s">
        <v>645</v>
      </c>
      <c r="Q251" s="1" t="s">
        <v>391</v>
      </c>
      <c r="R251" s="239" t="s">
        <v>2306</v>
      </c>
      <c r="S251" s="238" t="s">
        <v>21</v>
      </c>
      <c r="T251" s="238" t="s">
        <v>2115</v>
      </c>
      <c r="V251" s="238" t="s">
        <v>254</v>
      </c>
      <c r="Y251" s="239"/>
      <c r="Z251" s="239"/>
      <c r="AB251" s="1" t="s">
        <v>382</v>
      </c>
    </row>
    <row r="252" spans="1:28" ht="11.25" customHeight="1">
      <c r="A252" s="233">
        <v>41074</v>
      </c>
      <c r="B252" s="1" t="s">
        <v>641</v>
      </c>
      <c r="C252" s="1" t="s">
        <v>2071</v>
      </c>
      <c r="D252" s="1" t="s">
        <v>346</v>
      </c>
      <c r="E252" s="1">
        <v>3700</v>
      </c>
      <c r="F252" s="5">
        <v>3</v>
      </c>
      <c r="G252" s="1" t="s">
        <v>229</v>
      </c>
      <c r="H252" s="234">
        <v>4.5</v>
      </c>
      <c r="I252" s="236">
        <f t="shared" si="14"/>
        <v>13.5</v>
      </c>
      <c r="J252" s="351">
        <v>3.7</v>
      </c>
      <c r="K252" s="241" t="e">
        <f>F252*#REF!</f>
        <v>#REF!</v>
      </c>
      <c r="L252" s="237">
        <v>41074</v>
      </c>
      <c r="M252" s="1" t="s">
        <v>300</v>
      </c>
      <c r="N252" s="235">
        <f t="shared" si="12"/>
        <v>13.5</v>
      </c>
      <c r="O252" s="235">
        <f t="shared" si="13"/>
        <v>0</v>
      </c>
      <c r="P252" s="238" t="s">
        <v>645</v>
      </c>
      <c r="Q252" s="1" t="s">
        <v>391</v>
      </c>
      <c r="R252" s="239" t="s">
        <v>2306</v>
      </c>
      <c r="S252" s="238" t="s">
        <v>21</v>
      </c>
      <c r="T252" s="238" t="s">
        <v>2115</v>
      </c>
      <c r="V252" s="238" t="s">
        <v>254</v>
      </c>
      <c r="Y252" s="239"/>
      <c r="Z252" s="239"/>
      <c r="AB252" s="1" t="s">
        <v>382</v>
      </c>
    </row>
    <row r="253" spans="1:28" ht="11.25" customHeight="1">
      <c r="A253" s="233">
        <v>41074</v>
      </c>
      <c r="B253" s="1" t="s">
        <v>641</v>
      </c>
      <c r="C253" s="1" t="s">
        <v>2071</v>
      </c>
      <c r="D253" s="1" t="s">
        <v>2310</v>
      </c>
      <c r="E253" s="1">
        <v>3200</v>
      </c>
      <c r="F253" s="5">
        <v>3</v>
      </c>
      <c r="G253" s="1" t="s">
        <v>229</v>
      </c>
      <c r="H253" s="234">
        <v>34.299999999999997</v>
      </c>
      <c r="I253" s="236">
        <f t="shared" si="14"/>
        <v>102.89999999999999</v>
      </c>
      <c r="J253" s="351">
        <v>28.73</v>
      </c>
      <c r="K253" s="241" t="e">
        <f>F253*#REF!</f>
        <v>#REF!</v>
      </c>
      <c r="L253" s="237">
        <v>41074</v>
      </c>
      <c r="M253" s="1" t="s">
        <v>300</v>
      </c>
      <c r="N253" s="235">
        <f t="shared" si="12"/>
        <v>102.89999999999999</v>
      </c>
      <c r="O253" s="235">
        <f t="shared" si="13"/>
        <v>0</v>
      </c>
      <c r="P253" s="238" t="s">
        <v>645</v>
      </c>
      <c r="Q253" s="1" t="s">
        <v>391</v>
      </c>
      <c r="R253" s="239" t="s">
        <v>2306</v>
      </c>
      <c r="S253" s="238" t="s">
        <v>21</v>
      </c>
      <c r="T253" s="238" t="s">
        <v>2115</v>
      </c>
      <c r="V253" s="238" t="s">
        <v>254</v>
      </c>
      <c r="Y253" s="239"/>
      <c r="Z253" s="239"/>
      <c r="AB253" s="1" t="s">
        <v>382</v>
      </c>
    </row>
    <row r="254" spans="1:28" ht="11.25" customHeight="1">
      <c r="A254" s="233">
        <v>41074</v>
      </c>
      <c r="B254" s="1" t="s">
        <v>641</v>
      </c>
      <c r="C254" s="1" t="s">
        <v>2071</v>
      </c>
      <c r="D254" s="5" t="s">
        <v>2012</v>
      </c>
      <c r="E254" s="1" t="s">
        <v>2089</v>
      </c>
      <c r="F254" s="5">
        <v>100</v>
      </c>
      <c r="G254" s="1" t="s">
        <v>4970</v>
      </c>
      <c r="H254" s="234">
        <v>2</v>
      </c>
      <c r="I254" s="236">
        <f t="shared" si="14"/>
        <v>200</v>
      </c>
      <c r="J254" s="351">
        <v>1.6</v>
      </c>
      <c r="K254" s="241" t="e">
        <f>F254*#REF!</f>
        <v>#REF!</v>
      </c>
      <c r="L254" s="237">
        <v>41074</v>
      </c>
      <c r="M254" s="1" t="s">
        <v>300</v>
      </c>
      <c r="N254" s="235">
        <f t="shared" si="12"/>
        <v>200</v>
      </c>
      <c r="O254" s="235">
        <f t="shared" si="13"/>
        <v>0</v>
      </c>
      <c r="P254" s="238" t="s">
        <v>645</v>
      </c>
      <c r="Q254" s="1" t="s">
        <v>391</v>
      </c>
      <c r="R254" s="239" t="s">
        <v>2306</v>
      </c>
      <c r="S254" s="238" t="s">
        <v>21</v>
      </c>
      <c r="T254" s="238" t="s">
        <v>2115</v>
      </c>
      <c r="V254" s="238" t="s">
        <v>254</v>
      </c>
      <c r="Y254" s="239"/>
      <c r="Z254" s="239"/>
      <c r="AB254" s="1" t="s">
        <v>382</v>
      </c>
    </row>
    <row r="255" spans="1:28" ht="11.25" customHeight="1">
      <c r="A255" s="233">
        <v>41074</v>
      </c>
      <c r="B255" s="1" t="s">
        <v>641</v>
      </c>
      <c r="C255" s="1" t="s">
        <v>2071</v>
      </c>
      <c r="D255" s="1" t="s">
        <v>2219</v>
      </c>
      <c r="E255" s="1" t="s">
        <v>2113</v>
      </c>
      <c r="F255" s="5">
        <v>50</v>
      </c>
      <c r="G255" s="1" t="s">
        <v>231</v>
      </c>
      <c r="H255" s="234">
        <v>2.2000000000000002</v>
      </c>
      <c r="I255" s="236">
        <f t="shared" si="14"/>
        <v>110.00000000000001</v>
      </c>
      <c r="J255" s="352">
        <v>1.827</v>
      </c>
      <c r="K255" s="241" t="e">
        <f>F255*#REF!</f>
        <v>#REF!</v>
      </c>
      <c r="L255" s="237">
        <v>41074</v>
      </c>
      <c r="M255" s="1" t="s">
        <v>300</v>
      </c>
      <c r="N255" s="235">
        <f t="shared" si="12"/>
        <v>110.00000000000001</v>
      </c>
      <c r="O255" s="235">
        <f t="shared" si="13"/>
        <v>0</v>
      </c>
      <c r="P255" s="238" t="s">
        <v>645</v>
      </c>
      <c r="Q255" s="1" t="s">
        <v>391</v>
      </c>
      <c r="R255" s="239" t="s">
        <v>2306</v>
      </c>
      <c r="S255" s="238" t="s">
        <v>21</v>
      </c>
      <c r="T255" s="238" t="s">
        <v>2115</v>
      </c>
      <c r="V255" s="238" t="s">
        <v>254</v>
      </c>
      <c r="Y255" s="239"/>
      <c r="Z255" s="239"/>
      <c r="AB255" s="1" t="s">
        <v>382</v>
      </c>
    </row>
    <row r="256" spans="1:28" ht="11.25" customHeight="1">
      <c r="A256" s="233">
        <v>41074</v>
      </c>
      <c r="B256" s="1" t="s">
        <v>641</v>
      </c>
      <c r="C256" s="1" t="s">
        <v>2071</v>
      </c>
      <c r="D256" s="1" t="s">
        <v>232</v>
      </c>
      <c r="E256" s="1" t="s">
        <v>2076</v>
      </c>
      <c r="F256" s="5">
        <v>30</v>
      </c>
      <c r="G256" s="1" t="s">
        <v>231</v>
      </c>
      <c r="H256" s="234">
        <v>7.29</v>
      </c>
      <c r="I256" s="236">
        <f t="shared" si="14"/>
        <v>218.7</v>
      </c>
      <c r="J256" s="351">
        <v>5.0999999999999996</v>
      </c>
      <c r="K256" s="241" t="e">
        <f>F256*#REF!</f>
        <v>#REF!</v>
      </c>
      <c r="L256" s="237">
        <v>41074</v>
      </c>
      <c r="M256" s="1" t="s">
        <v>300</v>
      </c>
      <c r="N256" s="235">
        <f t="shared" si="12"/>
        <v>218.7</v>
      </c>
      <c r="O256" s="235">
        <f t="shared" si="13"/>
        <v>0</v>
      </c>
      <c r="P256" s="238" t="s">
        <v>645</v>
      </c>
      <c r="Q256" s="1" t="s">
        <v>391</v>
      </c>
      <c r="R256" s="239" t="s">
        <v>2306</v>
      </c>
      <c r="S256" s="238" t="s">
        <v>21</v>
      </c>
      <c r="T256" s="238" t="s">
        <v>2115</v>
      </c>
      <c r="V256" s="238" t="s">
        <v>254</v>
      </c>
      <c r="Y256" s="239"/>
      <c r="Z256" s="239"/>
      <c r="AB256" s="1" t="s">
        <v>382</v>
      </c>
    </row>
    <row r="257" spans="1:28" ht="11.25" customHeight="1">
      <c r="A257" s="233">
        <v>41078</v>
      </c>
      <c r="B257" s="1" t="s">
        <v>2311</v>
      </c>
      <c r="C257" s="1" t="s">
        <v>2071</v>
      </c>
      <c r="D257" s="1" t="s">
        <v>2223</v>
      </c>
      <c r="E257" s="1" t="s">
        <v>2312</v>
      </c>
      <c r="F257" s="5">
        <v>80</v>
      </c>
      <c r="G257" s="1" t="s">
        <v>2099</v>
      </c>
      <c r="H257" s="234">
        <v>2.1</v>
      </c>
      <c r="I257" s="236">
        <f t="shared" si="14"/>
        <v>168</v>
      </c>
      <c r="J257" s="351">
        <v>1.92</v>
      </c>
      <c r="K257" s="241">
        <f>1.92*80</f>
        <v>153.6</v>
      </c>
      <c r="L257" s="237">
        <v>41078</v>
      </c>
      <c r="M257" s="1" t="s">
        <v>300</v>
      </c>
      <c r="N257" s="235">
        <f t="shared" si="12"/>
        <v>168</v>
      </c>
      <c r="O257" s="235">
        <f t="shared" si="13"/>
        <v>0</v>
      </c>
      <c r="P257" s="238" t="s">
        <v>2313</v>
      </c>
      <c r="Q257" s="1" t="s">
        <v>391</v>
      </c>
      <c r="R257" s="239" t="s">
        <v>2314</v>
      </c>
      <c r="S257" s="238" t="s">
        <v>2315</v>
      </c>
      <c r="T257" s="238" t="s">
        <v>801</v>
      </c>
      <c r="V257" s="238" t="s">
        <v>2316</v>
      </c>
      <c r="W257" s="236">
        <v>3327.9</v>
      </c>
      <c r="X257" s="233">
        <v>41087</v>
      </c>
      <c r="Y257" s="239"/>
      <c r="Z257" s="239"/>
      <c r="AB257" s="1" t="s">
        <v>377</v>
      </c>
    </row>
    <row r="258" spans="1:28" ht="11.25" customHeight="1">
      <c r="A258" s="233">
        <v>41078</v>
      </c>
      <c r="B258" s="1" t="s">
        <v>723</v>
      </c>
      <c r="C258" s="1" t="s">
        <v>2071</v>
      </c>
      <c r="D258" s="1" t="s">
        <v>268</v>
      </c>
      <c r="E258" s="1" t="s">
        <v>2106</v>
      </c>
      <c r="F258" s="5">
        <v>80</v>
      </c>
      <c r="G258" s="1" t="s">
        <v>231</v>
      </c>
      <c r="H258" s="234">
        <v>1.48</v>
      </c>
      <c r="I258" s="236">
        <f t="shared" si="14"/>
        <v>118.4</v>
      </c>
      <c r="J258" s="352">
        <v>1.48</v>
      </c>
      <c r="K258" s="241">
        <f>1.43*30+1.44*50</f>
        <v>114.9</v>
      </c>
      <c r="L258" s="237">
        <v>41078</v>
      </c>
      <c r="M258" s="1" t="s">
        <v>300</v>
      </c>
      <c r="N258" s="235">
        <f t="shared" si="12"/>
        <v>118.4</v>
      </c>
      <c r="O258" s="235">
        <f t="shared" si="13"/>
        <v>0</v>
      </c>
      <c r="P258" s="238" t="s">
        <v>2313</v>
      </c>
      <c r="Q258" s="1" t="s">
        <v>391</v>
      </c>
      <c r="R258" s="239" t="s">
        <v>2314</v>
      </c>
      <c r="S258" s="238" t="s">
        <v>2315</v>
      </c>
      <c r="T258" s="238" t="s">
        <v>801</v>
      </c>
      <c r="V258" s="238" t="s">
        <v>2316</v>
      </c>
      <c r="W258" s="236">
        <v>3327.9</v>
      </c>
      <c r="X258" s="233">
        <v>41087</v>
      </c>
      <c r="Y258" s="239"/>
      <c r="Z258" s="239"/>
      <c r="AB258" s="1" t="s">
        <v>377</v>
      </c>
    </row>
    <row r="259" spans="1:28" ht="11.25" customHeight="1">
      <c r="A259" s="233">
        <v>41078</v>
      </c>
      <c r="B259" s="1" t="s">
        <v>2311</v>
      </c>
      <c r="C259" s="1" t="s">
        <v>2071</v>
      </c>
      <c r="D259" s="1" t="s">
        <v>2317</v>
      </c>
      <c r="E259" s="1" t="s">
        <v>2318</v>
      </c>
      <c r="F259" s="5">
        <v>77</v>
      </c>
      <c r="G259" s="1" t="s">
        <v>2099</v>
      </c>
      <c r="H259" s="234">
        <v>39.5</v>
      </c>
      <c r="I259" s="236">
        <f t="shared" si="14"/>
        <v>3041.5</v>
      </c>
      <c r="J259" s="351"/>
      <c r="K259" s="241">
        <f>38*77</f>
        <v>2926</v>
      </c>
      <c r="L259" s="237">
        <v>41078</v>
      </c>
      <c r="M259" s="1" t="s">
        <v>300</v>
      </c>
      <c r="N259" s="235">
        <f t="shared" ref="N259:N322" si="16">I259</f>
        <v>3041.5</v>
      </c>
      <c r="O259" s="235">
        <f t="shared" ref="O259:O322" si="17">I259-N259</f>
        <v>0</v>
      </c>
      <c r="P259" s="238" t="s">
        <v>2313</v>
      </c>
      <c r="Q259" s="1" t="s">
        <v>391</v>
      </c>
      <c r="R259" s="239" t="s">
        <v>2314</v>
      </c>
      <c r="S259" s="238" t="s">
        <v>2315</v>
      </c>
      <c r="T259" s="238" t="s">
        <v>801</v>
      </c>
      <c r="V259" s="238" t="s">
        <v>2316</v>
      </c>
      <c r="W259" s="236">
        <v>3327.9</v>
      </c>
      <c r="X259" s="233">
        <v>41087</v>
      </c>
      <c r="Y259" s="239"/>
      <c r="Z259" s="239"/>
      <c r="AB259" s="1" t="s">
        <v>377</v>
      </c>
    </row>
    <row r="260" spans="1:28" ht="11.25" customHeight="1">
      <c r="A260" s="233">
        <v>41078</v>
      </c>
      <c r="B260" s="1" t="s">
        <v>2319</v>
      </c>
      <c r="C260" s="1" t="s">
        <v>2071</v>
      </c>
      <c r="D260" s="5" t="s">
        <v>2012</v>
      </c>
      <c r="E260" s="1" t="s">
        <v>2089</v>
      </c>
      <c r="F260" s="5">
        <v>100</v>
      </c>
      <c r="G260" s="1" t="s">
        <v>4970</v>
      </c>
      <c r="H260" s="234">
        <v>2.4</v>
      </c>
      <c r="I260" s="236">
        <f t="shared" si="14"/>
        <v>240</v>
      </c>
      <c r="J260" s="351">
        <v>1.6</v>
      </c>
      <c r="K260" s="241">
        <f>1.6*100</f>
        <v>160</v>
      </c>
      <c r="L260" s="237">
        <v>41078</v>
      </c>
      <c r="M260" s="1" t="s">
        <v>2100</v>
      </c>
      <c r="N260" s="235">
        <f t="shared" si="16"/>
        <v>240</v>
      </c>
      <c r="O260" s="235">
        <f t="shared" si="17"/>
        <v>0</v>
      </c>
      <c r="P260" s="238" t="s">
        <v>2320</v>
      </c>
      <c r="Q260" s="1" t="s">
        <v>2321</v>
      </c>
      <c r="R260" s="239" t="s">
        <v>2322</v>
      </c>
      <c r="S260" s="238" t="s">
        <v>2323</v>
      </c>
      <c r="T260" s="238" t="s">
        <v>2324</v>
      </c>
      <c r="U260" s="238" t="s">
        <v>2325</v>
      </c>
      <c r="V260" s="238" t="s">
        <v>254</v>
      </c>
      <c r="Y260" s="239"/>
      <c r="Z260" s="239"/>
      <c r="AB260" s="1" t="s">
        <v>382</v>
      </c>
    </row>
    <row r="261" spans="1:28" ht="11.25" customHeight="1">
      <c r="A261" s="233">
        <v>41078</v>
      </c>
      <c r="B261" s="1" t="s">
        <v>2319</v>
      </c>
      <c r="C261" s="1" t="s">
        <v>2071</v>
      </c>
      <c r="D261" s="1" t="s">
        <v>2101</v>
      </c>
      <c r="E261" s="1" t="s">
        <v>2072</v>
      </c>
      <c r="F261" s="5">
        <v>2</v>
      </c>
      <c r="G261" s="1" t="s">
        <v>229</v>
      </c>
      <c r="H261" s="234">
        <v>27.9</v>
      </c>
      <c r="I261" s="236">
        <f t="shared" si="14"/>
        <v>55.8</v>
      </c>
      <c r="J261" s="351">
        <v>19</v>
      </c>
      <c r="K261" s="241">
        <f>19*2</f>
        <v>38</v>
      </c>
      <c r="L261" s="237">
        <v>41078</v>
      </c>
      <c r="M261" s="1" t="s">
        <v>2100</v>
      </c>
      <c r="N261" s="235">
        <f t="shared" si="16"/>
        <v>55.8</v>
      </c>
      <c r="O261" s="235">
        <f t="shared" si="17"/>
        <v>0</v>
      </c>
      <c r="P261" s="238" t="s">
        <v>2320</v>
      </c>
      <c r="Q261" s="1" t="s">
        <v>2321</v>
      </c>
      <c r="R261" s="239" t="s">
        <v>2322</v>
      </c>
      <c r="S261" s="238" t="s">
        <v>2323</v>
      </c>
      <c r="T261" s="238" t="s">
        <v>2324</v>
      </c>
      <c r="U261" s="238" t="s">
        <v>2325</v>
      </c>
      <c r="V261" s="238" t="s">
        <v>254</v>
      </c>
      <c r="Y261" s="239"/>
      <c r="Z261" s="239"/>
      <c r="AB261" s="1" t="s">
        <v>382</v>
      </c>
    </row>
    <row r="262" spans="1:28" ht="11.25" customHeight="1">
      <c r="A262" s="233">
        <v>41078</v>
      </c>
      <c r="B262" s="1" t="s">
        <v>2319</v>
      </c>
      <c r="C262" s="1" t="s">
        <v>2071</v>
      </c>
      <c r="D262" s="1" t="s">
        <v>232</v>
      </c>
      <c r="E262" s="1" t="s">
        <v>2076</v>
      </c>
      <c r="F262" s="5">
        <v>2</v>
      </c>
      <c r="G262" s="1" t="s">
        <v>231</v>
      </c>
      <c r="H262" s="234">
        <v>6.9</v>
      </c>
      <c r="I262" s="236">
        <f t="shared" si="14"/>
        <v>13.8</v>
      </c>
      <c r="J262" s="351">
        <v>5.0999999999999996</v>
      </c>
      <c r="K262" s="241">
        <f>5.1*2</f>
        <v>10.199999999999999</v>
      </c>
      <c r="L262" s="237">
        <v>41078</v>
      </c>
      <c r="M262" s="1" t="s">
        <v>2100</v>
      </c>
      <c r="N262" s="235">
        <f t="shared" si="16"/>
        <v>13.8</v>
      </c>
      <c r="O262" s="235">
        <f t="shared" si="17"/>
        <v>0</v>
      </c>
      <c r="P262" s="238" t="s">
        <v>2320</v>
      </c>
      <c r="Q262" s="1" t="s">
        <v>2321</v>
      </c>
      <c r="R262" s="239" t="s">
        <v>2322</v>
      </c>
      <c r="S262" s="238" t="s">
        <v>2323</v>
      </c>
      <c r="T262" s="238" t="s">
        <v>2324</v>
      </c>
      <c r="U262" s="238" t="s">
        <v>2325</v>
      </c>
      <c r="V262" s="238" t="s">
        <v>254</v>
      </c>
      <c r="Y262" s="239"/>
      <c r="Z262" s="239"/>
      <c r="AB262" s="1" t="s">
        <v>382</v>
      </c>
    </row>
    <row r="263" spans="1:28" ht="11.25" customHeight="1">
      <c r="A263" s="233">
        <v>41078</v>
      </c>
      <c r="B263" s="1" t="s">
        <v>2319</v>
      </c>
      <c r="C263" s="1" t="s">
        <v>2071</v>
      </c>
      <c r="D263" s="1" t="s">
        <v>2223</v>
      </c>
      <c r="E263" s="1">
        <v>501</v>
      </c>
      <c r="F263" s="5">
        <v>2</v>
      </c>
      <c r="G263" s="1" t="s">
        <v>229</v>
      </c>
      <c r="H263" s="234">
        <v>1.7</v>
      </c>
      <c r="I263" s="236">
        <f t="shared" si="14"/>
        <v>3.4</v>
      </c>
      <c r="J263" s="351">
        <v>1.4</v>
      </c>
      <c r="K263" s="241">
        <f>1.4*2</f>
        <v>2.8</v>
      </c>
      <c r="L263" s="237">
        <v>41078</v>
      </c>
      <c r="M263" s="1" t="s">
        <v>2100</v>
      </c>
      <c r="N263" s="235">
        <f t="shared" si="16"/>
        <v>3.4</v>
      </c>
      <c r="O263" s="235">
        <f t="shared" si="17"/>
        <v>0</v>
      </c>
      <c r="P263" s="238" t="s">
        <v>2320</v>
      </c>
      <c r="Q263" s="1" t="s">
        <v>2321</v>
      </c>
      <c r="R263" s="239" t="s">
        <v>2322</v>
      </c>
      <c r="S263" s="238" t="s">
        <v>2323</v>
      </c>
      <c r="T263" s="238" t="s">
        <v>2324</v>
      </c>
      <c r="U263" s="238" t="s">
        <v>2325</v>
      </c>
      <c r="V263" s="238" t="s">
        <v>254</v>
      </c>
      <c r="Y263" s="239"/>
      <c r="Z263" s="239"/>
      <c r="AB263" s="1" t="s">
        <v>382</v>
      </c>
    </row>
    <row r="264" spans="1:28" ht="11.25" customHeight="1">
      <c r="A264" s="233">
        <v>41078</v>
      </c>
      <c r="B264" s="1" t="s">
        <v>2319</v>
      </c>
      <c r="C264" s="1" t="s">
        <v>2071</v>
      </c>
      <c r="D264" s="1" t="s">
        <v>240</v>
      </c>
      <c r="E264" s="1">
        <v>6200</v>
      </c>
      <c r="F264" s="5">
        <v>1</v>
      </c>
      <c r="G264" s="1" t="s">
        <v>229</v>
      </c>
      <c r="H264" s="234">
        <v>67</v>
      </c>
      <c r="I264" s="236">
        <f t="shared" si="14"/>
        <v>67</v>
      </c>
      <c r="J264" s="355">
        <v>45.8</v>
      </c>
      <c r="K264" s="241" t="e">
        <f>#REF!*F264</f>
        <v>#REF!</v>
      </c>
      <c r="L264" s="237">
        <v>41078</v>
      </c>
      <c r="M264" s="1" t="s">
        <v>2100</v>
      </c>
      <c r="N264" s="235">
        <f t="shared" si="16"/>
        <v>67</v>
      </c>
      <c r="O264" s="235">
        <f t="shared" si="17"/>
        <v>0</v>
      </c>
      <c r="P264" s="238" t="s">
        <v>2320</v>
      </c>
      <c r="Q264" s="1" t="s">
        <v>2321</v>
      </c>
      <c r="R264" s="239" t="s">
        <v>2322</v>
      </c>
      <c r="S264" s="238" t="s">
        <v>2323</v>
      </c>
      <c r="T264" s="238" t="s">
        <v>2324</v>
      </c>
      <c r="U264" s="238" t="s">
        <v>2325</v>
      </c>
      <c r="V264" s="238" t="s">
        <v>254</v>
      </c>
      <c r="Y264" s="239"/>
      <c r="Z264" s="239"/>
      <c r="AB264" s="1" t="s">
        <v>382</v>
      </c>
    </row>
    <row r="265" spans="1:28" ht="11.25" customHeight="1">
      <c r="A265" s="233">
        <v>41078</v>
      </c>
      <c r="B265" s="1" t="s">
        <v>2319</v>
      </c>
      <c r="C265" s="1" t="s">
        <v>2071</v>
      </c>
      <c r="D265" s="1" t="s">
        <v>2101</v>
      </c>
      <c r="E265" s="1" t="s">
        <v>2102</v>
      </c>
      <c r="F265" s="5">
        <v>6</v>
      </c>
      <c r="G265" s="1" t="s">
        <v>2099</v>
      </c>
      <c r="H265" s="234">
        <v>19</v>
      </c>
      <c r="I265" s="236">
        <f t="shared" si="14"/>
        <v>114</v>
      </c>
      <c r="J265" s="352">
        <v>13.33</v>
      </c>
      <c r="K265" s="241">
        <f>13.33*6</f>
        <v>79.98</v>
      </c>
      <c r="L265" s="237">
        <v>41078</v>
      </c>
      <c r="M265" s="1" t="s">
        <v>2100</v>
      </c>
      <c r="N265" s="235">
        <f t="shared" si="16"/>
        <v>114</v>
      </c>
      <c r="O265" s="235">
        <f t="shared" si="17"/>
        <v>0</v>
      </c>
      <c r="P265" s="238" t="s">
        <v>2320</v>
      </c>
      <c r="Q265" s="1" t="s">
        <v>2321</v>
      </c>
      <c r="R265" s="239" t="s">
        <v>2322</v>
      </c>
      <c r="S265" s="238" t="s">
        <v>2323</v>
      </c>
      <c r="T265" s="238" t="s">
        <v>2324</v>
      </c>
      <c r="U265" s="238" t="s">
        <v>2325</v>
      </c>
      <c r="V265" s="238" t="s">
        <v>254</v>
      </c>
      <c r="Y265" s="239"/>
      <c r="Z265" s="239"/>
      <c r="AB265" s="1" t="s">
        <v>382</v>
      </c>
    </row>
    <row r="266" spans="1:28" ht="11.25" customHeight="1">
      <c r="A266" s="233">
        <v>41078</v>
      </c>
      <c r="B266" s="1" t="s">
        <v>2319</v>
      </c>
      <c r="C266" s="1" t="s">
        <v>2071</v>
      </c>
      <c r="D266" s="1" t="s">
        <v>1210</v>
      </c>
      <c r="E266" s="1">
        <v>3200</v>
      </c>
      <c r="F266" s="5">
        <v>1</v>
      </c>
      <c r="G266" s="1" t="s">
        <v>2099</v>
      </c>
      <c r="H266" s="234">
        <v>41.5</v>
      </c>
      <c r="I266" s="236">
        <f t="shared" si="14"/>
        <v>41.5</v>
      </c>
      <c r="J266" s="351">
        <v>28.73</v>
      </c>
      <c r="K266" s="241">
        <f>28.73*1</f>
        <v>28.73</v>
      </c>
      <c r="L266" s="237">
        <v>41078</v>
      </c>
      <c r="M266" s="1" t="s">
        <v>2100</v>
      </c>
      <c r="N266" s="235">
        <f t="shared" si="16"/>
        <v>41.5</v>
      </c>
      <c r="O266" s="235">
        <f t="shared" si="17"/>
        <v>0</v>
      </c>
      <c r="P266" s="238" t="s">
        <v>2320</v>
      </c>
      <c r="Q266" s="1" t="s">
        <v>2321</v>
      </c>
      <c r="R266" s="239" t="s">
        <v>2322</v>
      </c>
      <c r="S266" s="238" t="s">
        <v>2323</v>
      </c>
      <c r="T266" s="238" t="s">
        <v>2324</v>
      </c>
      <c r="U266" s="238" t="s">
        <v>2325</v>
      </c>
      <c r="V266" s="238" t="s">
        <v>254</v>
      </c>
      <c r="Y266" s="239"/>
      <c r="Z266" s="239"/>
      <c r="AB266" s="1" t="s">
        <v>382</v>
      </c>
    </row>
    <row r="267" spans="1:28" ht="11.25" customHeight="1">
      <c r="A267" s="233">
        <v>41078</v>
      </c>
      <c r="B267" s="1" t="s">
        <v>2319</v>
      </c>
      <c r="C267" s="1" t="s">
        <v>2071</v>
      </c>
      <c r="D267" s="1" t="s">
        <v>2326</v>
      </c>
      <c r="E267" s="1" t="s">
        <v>2106</v>
      </c>
      <c r="F267" s="5">
        <v>11</v>
      </c>
      <c r="G267" s="1" t="s">
        <v>231</v>
      </c>
      <c r="H267" s="234">
        <v>2</v>
      </c>
      <c r="I267" s="236">
        <f t="shared" si="14"/>
        <v>22</v>
      </c>
      <c r="J267" s="352">
        <v>1.48</v>
      </c>
      <c r="K267" s="241">
        <f>1.48*1+1.43*10</f>
        <v>15.78</v>
      </c>
      <c r="L267" s="237">
        <v>41078</v>
      </c>
      <c r="M267" s="1" t="s">
        <v>2100</v>
      </c>
      <c r="N267" s="235">
        <f t="shared" si="16"/>
        <v>22</v>
      </c>
      <c r="O267" s="235">
        <f t="shared" si="17"/>
        <v>0</v>
      </c>
      <c r="P267" s="238" t="s">
        <v>2320</v>
      </c>
      <c r="Q267" s="1" t="s">
        <v>2321</v>
      </c>
      <c r="R267" s="239" t="s">
        <v>2322</v>
      </c>
      <c r="S267" s="238" t="s">
        <v>2323</v>
      </c>
      <c r="T267" s="238" t="s">
        <v>2324</v>
      </c>
      <c r="U267" s="238" t="s">
        <v>2325</v>
      </c>
      <c r="V267" s="238" t="s">
        <v>254</v>
      </c>
      <c r="Y267" s="239"/>
      <c r="Z267" s="239"/>
      <c r="AB267" s="1" t="s">
        <v>382</v>
      </c>
    </row>
    <row r="268" spans="1:28" ht="11.25" customHeight="1">
      <c r="A268" s="233">
        <v>41078</v>
      </c>
      <c r="B268" s="1" t="s">
        <v>2319</v>
      </c>
      <c r="C268" s="1" t="s">
        <v>2071</v>
      </c>
      <c r="D268" s="1" t="s">
        <v>263</v>
      </c>
      <c r="E268" s="1" t="s">
        <v>2118</v>
      </c>
      <c r="F268" s="5">
        <v>1</v>
      </c>
      <c r="G268" s="1" t="s">
        <v>2086</v>
      </c>
      <c r="H268" s="234">
        <v>2.5</v>
      </c>
      <c r="I268" s="236">
        <f t="shared" si="14"/>
        <v>2.5</v>
      </c>
      <c r="J268" s="351">
        <v>2.12</v>
      </c>
      <c r="K268" s="241">
        <f>2.12*1</f>
        <v>2.12</v>
      </c>
      <c r="L268" s="237">
        <v>41078</v>
      </c>
      <c r="M268" s="1" t="s">
        <v>2327</v>
      </c>
      <c r="N268" s="235">
        <f t="shared" si="16"/>
        <v>2.5</v>
      </c>
      <c r="O268" s="235">
        <f t="shared" si="17"/>
        <v>0</v>
      </c>
      <c r="P268" s="238" t="s">
        <v>2328</v>
      </c>
      <c r="Q268" s="1" t="s">
        <v>2329</v>
      </c>
      <c r="R268" s="239" t="s">
        <v>2330</v>
      </c>
      <c r="S268" s="238" t="s">
        <v>2331</v>
      </c>
      <c r="T268" s="238" t="s">
        <v>2332</v>
      </c>
      <c r="U268" s="238" t="s">
        <v>2333</v>
      </c>
      <c r="V268" s="238" t="s">
        <v>254</v>
      </c>
      <c r="Y268" s="239"/>
      <c r="Z268" s="239"/>
      <c r="AB268" s="1" t="s">
        <v>382</v>
      </c>
    </row>
    <row r="269" spans="1:28" ht="11.25" customHeight="1">
      <c r="A269" s="233">
        <v>41078</v>
      </c>
      <c r="B269" s="1" t="s">
        <v>2334</v>
      </c>
      <c r="C269" s="1" t="s">
        <v>2071</v>
      </c>
      <c r="D269" s="5" t="s">
        <v>2012</v>
      </c>
      <c r="E269" s="1" t="s">
        <v>2089</v>
      </c>
      <c r="F269" s="5">
        <v>100</v>
      </c>
      <c r="G269" s="1" t="s">
        <v>4970</v>
      </c>
      <c r="H269" s="234">
        <v>2.5</v>
      </c>
      <c r="I269" s="236">
        <f t="shared" si="14"/>
        <v>250</v>
      </c>
      <c r="J269" s="351">
        <v>1.6</v>
      </c>
      <c r="K269" s="241">
        <f>1.6*100</f>
        <v>160</v>
      </c>
      <c r="L269" s="237">
        <v>41078</v>
      </c>
      <c r="M269" s="1" t="s">
        <v>2100</v>
      </c>
      <c r="N269" s="235">
        <f t="shared" si="16"/>
        <v>250</v>
      </c>
      <c r="O269" s="235">
        <f t="shared" si="17"/>
        <v>0</v>
      </c>
      <c r="P269" s="238" t="s">
        <v>2335</v>
      </c>
      <c r="Q269" s="1" t="s">
        <v>2336</v>
      </c>
      <c r="R269" s="239" t="s">
        <v>2337</v>
      </c>
      <c r="S269" s="238" t="s">
        <v>2338</v>
      </c>
      <c r="T269" s="238" t="s">
        <v>2339</v>
      </c>
      <c r="U269" s="238" t="s">
        <v>2340</v>
      </c>
      <c r="V269" s="238" t="s">
        <v>254</v>
      </c>
      <c r="Y269" s="239"/>
      <c r="Z269" s="239"/>
      <c r="AB269" s="1" t="s">
        <v>382</v>
      </c>
    </row>
    <row r="270" spans="1:28" ht="11.25" customHeight="1">
      <c r="A270" s="233">
        <v>41078</v>
      </c>
      <c r="B270" s="1" t="s">
        <v>2334</v>
      </c>
      <c r="C270" s="1" t="s">
        <v>2071</v>
      </c>
      <c r="D270" s="1" t="s">
        <v>240</v>
      </c>
      <c r="E270" s="1">
        <v>6200</v>
      </c>
      <c r="F270" s="5">
        <v>5</v>
      </c>
      <c r="G270" s="1" t="s">
        <v>229</v>
      </c>
      <c r="H270" s="234">
        <v>80</v>
      </c>
      <c r="I270" s="236">
        <f t="shared" si="14"/>
        <v>400</v>
      </c>
      <c r="J270" s="355" t="s">
        <v>6041</v>
      </c>
      <c r="K270" s="241">
        <f>45.8*2+45.8*3</f>
        <v>228.99999999999997</v>
      </c>
      <c r="L270" s="237">
        <v>41078</v>
      </c>
      <c r="M270" s="1" t="s">
        <v>2100</v>
      </c>
      <c r="N270" s="235">
        <f t="shared" si="16"/>
        <v>400</v>
      </c>
      <c r="O270" s="235">
        <f t="shared" si="17"/>
        <v>0</v>
      </c>
      <c r="P270" s="238" t="s">
        <v>2335</v>
      </c>
      <c r="Q270" s="1" t="s">
        <v>1255</v>
      </c>
      <c r="R270" s="239" t="s">
        <v>2337</v>
      </c>
      <c r="S270" s="238" t="s">
        <v>2338</v>
      </c>
      <c r="T270" s="238" t="s">
        <v>2339</v>
      </c>
      <c r="U270" s="238" t="s">
        <v>2340</v>
      </c>
      <c r="V270" s="238" t="s">
        <v>254</v>
      </c>
      <c r="Y270" s="239"/>
      <c r="Z270" s="239"/>
      <c r="AB270" s="1" t="s">
        <v>382</v>
      </c>
    </row>
    <row r="271" spans="1:28" ht="11.25" customHeight="1">
      <c r="A271" s="233">
        <v>41078</v>
      </c>
      <c r="B271" s="1" t="s">
        <v>2334</v>
      </c>
      <c r="C271" s="1" t="s">
        <v>2071</v>
      </c>
      <c r="D271" s="1" t="s">
        <v>2101</v>
      </c>
      <c r="E271" s="1" t="s">
        <v>2072</v>
      </c>
      <c r="F271" s="5">
        <v>30</v>
      </c>
      <c r="G271" s="1" t="s">
        <v>229</v>
      </c>
      <c r="H271" s="234">
        <v>30</v>
      </c>
      <c r="I271" s="236">
        <f t="shared" si="14"/>
        <v>900</v>
      </c>
      <c r="J271" s="351">
        <v>19</v>
      </c>
      <c r="K271" s="241">
        <f>19*30</f>
        <v>570</v>
      </c>
      <c r="L271" s="237">
        <v>41078</v>
      </c>
      <c r="M271" s="1" t="s">
        <v>2100</v>
      </c>
      <c r="N271" s="235">
        <f t="shared" si="16"/>
        <v>900</v>
      </c>
      <c r="O271" s="235">
        <f t="shared" si="17"/>
        <v>0</v>
      </c>
      <c r="P271" s="238" t="s">
        <v>2335</v>
      </c>
      <c r="Q271" s="1" t="s">
        <v>2336</v>
      </c>
      <c r="R271" s="239" t="s">
        <v>2337</v>
      </c>
      <c r="S271" s="238" t="s">
        <v>2338</v>
      </c>
      <c r="T271" s="238" t="s">
        <v>2339</v>
      </c>
      <c r="U271" s="238" t="s">
        <v>2340</v>
      </c>
      <c r="V271" s="238" t="s">
        <v>254</v>
      </c>
      <c r="Y271" s="239"/>
      <c r="Z271" s="239"/>
      <c r="AB271" s="1" t="s">
        <v>382</v>
      </c>
    </row>
    <row r="272" spans="1:28" ht="11.25" customHeight="1">
      <c r="A272" s="233">
        <v>41078</v>
      </c>
      <c r="B272" s="1" t="s">
        <v>2334</v>
      </c>
      <c r="C272" s="1" t="s">
        <v>2071</v>
      </c>
      <c r="D272" s="1" t="s">
        <v>232</v>
      </c>
      <c r="E272" s="1" t="s">
        <v>2076</v>
      </c>
      <c r="F272" s="5">
        <v>30</v>
      </c>
      <c r="G272" s="1" t="s">
        <v>231</v>
      </c>
      <c r="H272" s="234">
        <v>8</v>
      </c>
      <c r="I272" s="236">
        <v>240</v>
      </c>
      <c r="J272" s="351">
        <v>5.0999999999999996</v>
      </c>
      <c r="K272" s="241">
        <f>5.1*30</f>
        <v>153</v>
      </c>
      <c r="L272" s="237">
        <v>41078</v>
      </c>
      <c r="M272" s="1" t="s">
        <v>2100</v>
      </c>
      <c r="N272" s="235">
        <f t="shared" si="16"/>
        <v>240</v>
      </c>
      <c r="O272" s="235">
        <f t="shared" si="17"/>
        <v>0</v>
      </c>
      <c r="P272" s="238" t="s">
        <v>2335</v>
      </c>
      <c r="Q272" s="1" t="s">
        <v>2336</v>
      </c>
      <c r="R272" s="239" t="s">
        <v>2337</v>
      </c>
      <c r="S272" s="238" t="s">
        <v>2338</v>
      </c>
      <c r="T272" s="238" t="s">
        <v>2339</v>
      </c>
      <c r="U272" s="238" t="s">
        <v>2340</v>
      </c>
      <c r="V272" s="238" t="s">
        <v>254</v>
      </c>
      <c r="Y272" s="239"/>
      <c r="Z272" s="239"/>
      <c r="AB272" s="1" t="s">
        <v>382</v>
      </c>
    </row>
    <row r="273" spans="1:28" ht="11.25" customHeight="1">
      <c r="A273" s="233">
        <v>41078</v>
      </c>
      <c r="B273" s="1" t="s">
        <v>2334</v>
      </c>
      <c r="C273" s="1" t="s">
        <v>2071</v>
      </c>
      <c r="D273" s="1" t="s">
        <v>2223</v>
      </c>
      <c r="E273" s="1">
        <v>501</v>
      </c>
      <c r="F273" s="5">
        <v>10</v>
      </c>
      <c r="G273" s="1" t="s">
        <v>229</v>
      </c>
      <c r="H273" s="234">
        <v>2</v>
      </c>
      <c r="I273" s="236">
        <v>20</v>
      </c>
      <c r="J273" s="351">
        <v>1.4</v>
      </c>
      <c r="K273" s="241">
        <v>0</v>
      </c>
      <c r="L273" s="237">
        <v>41078</v>
      </c>
      <c r="M273" s="1" t="s">
        <v>2100</v>
      </c>
      <c r="N273" s="235">
        <f t="shared" si="16"/>
        <v>20</v>
      </c>
      <c r="O273" s="235">
        <f t="shared" si="17"/>
        <v>0</v>
      </c>
      <c r="P273" s="238" t="s">
        <v>2335</v>
      </c>
      <c r="Q273" s="1" t="s">
        <v>2336</v>
      </c>
      <c r="R273" s="239" t="s">
        <v>2337</v>
      </c>
      <c r="S273" s="238" t="s">
        <v>2338</v>
      </c>
      <c r="T273" s="238" t="s">
        <v>2339</v>
      </c>
      <c r="U273" s="238" t="s">
        <v>2340</v>
      </c>
      <c r="V273" s="238" t="s">
        <v>254</v>
      </c>
      <c r="Y273" s="239"/>
      <c r="Z273" s="239"/>
      <c r="AB273" s="1" t="s">
        <v>382</v>
      </c>
    </row>
    <row r="274" spans="1:28" ht="11.25" customHeight="1">
      <c r="A274" s="233">
        <v>41078</v>
      </c>
      <c r="B274" s="1" t="s">
        <v>2334</v>
      </c>
      <c r="C274" s="1" t="s">
        <v>2071</v>
      </c>
      <c r="D274" s="1" t="s">
        <v>1210</v>
      </c>
      <c r="E274" s="1">
        <v>3200</v>
      </c>
      <c r="F274" s="5">
        <v>5</v>
      </c>
      <c r="G274" s="1" t="s">
        <v>2099</v>
      </c>
      <c r="H274" s="234">
        <v>40</v>
      </c>
      <c r="I274" s="236">
        <v>200</v>
      </c>
      <c r="J274" s="351">
        <v>28.73</v>
      </c>
      <c r="K274" s="241">
        <f>28.73*5</f>
        <v>143.65</v>
      </c>
      <c r="L274" s="237">
        <v>41078</v>
      </c>
      <c r="M274" s="1" t="s">
        <v>2100</v>
      </c>
      <c r="N274" s="235">
        <f t="shared" si="16"/>
        <v>200</v>
      </c>
      <c r="O274" s="235">
        <f t="shared" si="17"/>
        <v>0</v>
      </c>
      <c r="P274" s="238" t="s">
        <v>2335</v>
      </c>
      <c r="Q274" s="1" t="s">
        <v>1255</v>
      </c>
      <c r="R274" s="239" t="s">
        <v>2337</v>
      </c>
      <c r="S274" s="238" t="s">
        <v>2338</v>
      </c>
      <c r="T274" s="238" t="s">
        <v>2339</v>
      </c>
      <c r="U274" s="238" t="s">
        <v>2340</v>
      </c>
      <c r="V274" s="238" t="s">
        <v>254</v>
      </c>
      <c r="Y274" s="239"/>
      <c r="Z274" s="239"/>
      <c r="AB274" s="1" t="s">
        <v>382</v>
      </c>
    </row>
    <row r="275" spans="1:28" ht="11.25" customHeight="1">
      <c r="A275" s="233">
        <v>41078</v>
      </c>
      <c r="B275" s="1" t="s">
        <v>2334</v>
      </c>
      <c r="C275" s="1" t="s">
        <v>2071</v>
      </c>
      <c r="D275" s="1" t="s">
        <v>2232</v>
      </c>
      <c r="E275" s="1">
        <v>3700</v>
      </c>
      <c r="F275" s="5">
        <v>5</v>
      </c>
      <c r="G275" s="1" t="s">
        <v>229</v>
      </c>
      <c r="H275" s="234">
        <v>5</v>
      </c>
      <c r="I275" s="236">
        <v>25</v>
      </c>
      <c r="J275" s="351">
        <v>3.7</v>
      </c>
      <c r="K275" s="241">
        <f>3.7*5</f>
        <v>18.5</v>
      </c>
      <c r="L275" s="237">
        <v>41078</v>
      </c>
      <c r="M275" s="1" t="s">
        <v>2100</v>
      </c>
      <c r="N275" s="235">
        <f t="shared" si="16"/>
        <v>25</v>
      </c>
      <c r="O275" s="235">
        <f t="shared" si="17"/>
        <v>0</v>
      </c>
      <c r="P275" s="238" t="s">
        <v>2335</v>
      </c>
      <c r="Q275" s="1" t="s">
        <v>2336</v>
      </c>
      <c r="R275" s="239" t="s">
        <v>2337</v>
      </c>
      <c r="S275" s="238" t="s">
        <v>2338</v>
      </c>
      <c r="T275" s="238" t="s">
        <v>2339</v>
      </c>
      <c r="U275" s="238" t="s">
        <v>2340</v>
      </c>
      <c r="V275" s="238" t="s">
        <v>254</v>
      </c>
      <c r="Y275" s="239"/>
      <c r="Z275" s="239"/>
      <c r="AB275" s="1" t="s">
        <v>382</v>
      </c>
    </row>
    <row r="276" spans="1:28" ht="11.25" customHeight="1">
      <c r="A276" s="233">
        <v>41078</v>
      </c>
      <c r="B276" s="1" t="s">
        <v>2334</v>
      </c>
      <c r="C276" s="1" t="s">
        <v>2071</v>
      </c>
      <c r="D276" s="1" t="s">
        <v>232</v>
      </c>
      <c r="E276" s="1" t="s">
        <v>2113</v>
      </c>
      <c r="F276" s="5">
        <v>100</v>
      </c>
      <c r="G276" s="1" t="s">
        <v>231</v>
      </c>
      <c r="H276" s="234">
        <v>2.5</v>
      </c>
      <c r="I276" s="236">
        <v>250</v>
      </c>
      <c r="J276" s="352">
        <v>1.73</v>
      </c>
      <c r="K276" s="241">
        <f>1.73*100</f>
        <v>173</v>
      </c>
      <c r="L276" s="237">
        <v>41078</v>
      </c>
      <c r="M276" s="1" t="s">
        <v>2100</v>
      </c>
      <c r="N276" s="235">
        <f t="shared" si="16"/>
        <v>250</v>
      </c>
      <c r="O276" s="235">
        <f t="shared" si="17"/>
        <v>0</v>
      </c>
      <c r="P276" s="238" t="s">
        <v>2335</v>
      </c>
      <c r="Q276" s="1" t="s">
        <v>2336</v>
      </c>
      <c r="R276" s="239" t="s">
        <v>2337</v>
      </c>
      <c r="S276" s="238" t="s">
        <v>2338</v>
      </c>
      <c r="T276" s="238" t="s">
        <v>2339</v>
      </c>
      <c r="U276" s="238" t="s">
        <v>2340</v>
      </c>
      <c r="V276" s="238" t="s">
        <v>254</v>
      </c>
      <c r="Y276" s="239"/>
      <c r="Z276" s="239"/>
      <c r="AB276" s="1" t="s">
        <v>382</v>
      </c>
    </row>
    <row r="277" spans="1:28" ht="11.25" customHeight="1">
      <c r="A277" s="233">
        <v>41078</v>
      </c>
      <c r="B277" s="1" t="s">
        <v>2334</v>
      </c>
      <c r="C277" s="1" t="s">
        <v>2071</v>
      </c>
      <c r="D277" s="1" t="s">
        <v>2341</v>
      </c>
      <c r="E277" s="1" t="s">
        <v>2192</v>
      </c>
      <c r="F277" s="5">
        <v>10</v>
      </c>
      <c r="G277" s="1" t="s">
        <v>2152</v>
      </c>
      <c r="H277" s="234">
        <v>5</v>
      </c>
      <c r="I277" s="236">
        <v>50</v>
      </c>
      <c r="J277" s="351"/>
      <c r="K277" s="241">
        <v>0</v>
      </c>
      <c r="L277" s="237">
        <v>41078</v>
      </c>
      <c r="M277" s="1" t="s">
        <v>2100</v>
      </c>
      <c r="N277" s="235">
        <f t="shared" si="16"/>
        <v>50</v>
      </c>
      <c r="O277" s="235">
        <f t="shared" si="17"/>
        <v>0</v>
      </c>
      <c r="P277" s="238" t="s">
        <v>2335</v>
      </c>
      <c r="Q277" s="1" t="s">
        <v>2336</v>
      </c>
      <c r="R277" s="239" t="s">
        <v>2337</v>
      </c>
      <c r="S277" s="238" t="s">
        <v>2338</v>
      </c>
      <c r="T277" s="238" t="s">
        <v>2339</v>
      </c>
      <c r="U277" s="238" t="s">
        <v>2340</v>
      </c>
      <c r="V277" s="238" t="s">
        <v>254</v>
      </c>
      <c r="Y277" s="239"/>
      <c r="Z277" s="239"/>
      <c r="AB277" s="1" t="s">
        <v>382</v>
      </c>
    </row>
    <row r="278" spans="1:28" ht="11.25" customHeight="1">
      <c r="A278" s="233">
        <v>41078</v>
      </c>
      <c r="B278" s="1" t="s">
        <v>2334</v>
      </c>
      <c r="C278" s="1" t="s">
        <v>2071</v>
      </c>
      <c r="D278" s="1" t="s">
        <v>6623</v>
      </c>
      <c r="E278" s="1" t="s">
        <v>2093</v>
      </c>
      <c r="F278" s="5">
        <v>10</v>
      </c>
      <c r="G278" s="1" t="s">
        <v>2152</v>
      </c>
      <c r="H278" s="234">
        <v>23</v>
      </c>
      <c r="I278" s="236">
        <v>230</v>
      </c>
      <c r="J278" s="351"/>
      <c r="K278" s="241">
        <f>14.95*10</f>
        <v>149.5</v>
      </c>
      <c r="L278" s="237">
        <v>41078</v>
      </c>
      <c r="M278" s="1" t="s">
        <v>2100</v>
      </c>
      <c r="N278" s="235">
        <f t="shared" si="16"/>
        <v>230</v>
      </c>
      <c r="O278" s="235">
        <f t="shared" si="17"/>
        <v>0</v>
      </c>
      <c r="P278" s="238" t="s">
        <v>2335</v>
      </c>
      <c r="Q278" s="1" t="s">
        <v>2336</v>
      </c>
      <c r="R278" s="239" t="s">
        <v>2337</v>
      </c>
      <c r="S278" s="238" t="s">
        <v>2338</v>
      </c>
      <c r="T278" s="238" t="s">
        <v>2339</v>
      </c>
      <c r="U278" s="238" t="s">
        <v>2340</v>
      </c>
      <c r="V278" s="238" t="s">
        <v>254</v>
      </c>
      <c r="Y278" s="239"/>
      <c r="Z278" s="239"/>
      <c r="AB278" s="1" t="s">
        <v>382</v>
      </c>
    </row>
    <row r="279" spans="1:28" ht="11.25" customHeight="1">
      <c r="A279" s="233">
        <v>41078</v>
      </c>
      <c r="B279" s="1" t="s">
        <v>2342</v>
      </c>
      <c r="C279" s="1" t="s">
        <v>2071</v>
      </c>
      <c r="D279" s="5" t="s">
        <v>2012</v>
      </c>
      <c r="E279" s="1" t="s">
        <v>2089</v>
      </c>
      <c r="F279" s="5">
        <v>500</v>
      </c>
      <c r="G279" s="1" t="s">
        <v>4970</v>
      </c>
      <c r="H279" s="234">
        <v>2.5</v>
      </c>
      <c r="I279" s="236">
        <f t="shared" ref="I279:I298" si="18">H279*F279</f>
        <v>1250</v>
      </c>
      <c r="J279" s="351">
        <v>1.58</v>
      </c>
      <c r="K279" s="241">
        <f>1.58*500</f>
        <v>790</v>
      </c>
      <c r="L279" s="237">
        <v>41078</v>
      </c>
      <c r="M279" s="1" t="s">
        <v>2100</v>
      </c>
      <c r="N279" s="235">
        <f t="shared" si="16"/>
        <v>1250</v>
      </c>
      <c r="O279" s="235">
        <f t="shared" si="17"/>
        <v>0</v>
      </c>
      <c r="P279" s="238" t="s">
        <v>2343</v>
      </c>
      <c r="Q279" s="1" t="s">
        <v>2344</v>
      </c>
      <c r="R279" s="239" t="s">
        <v>2345</v>
      </c>
      <c r="S279" s="238" t="s">
        <v>2346</v>
      </c>
      <c r="T279" s="238" t="s">
        <v>2347</v>
      </c>
      <c r="U279" s="238" t="s">
        <v>2348</v>
      </c>
      <c r="V279" s="238" t="s">
        <v>254</v>
      </c>
      <c r="Y279" s="239"/>
      <c r="Z279" s="239"/>
      <c r="AB279" s="1" t="s">
        <v>382</v>
      </c>
    </row>
    <row r="280" spans="1:28" ht="11.25" customHeight="1">
      <c r="A280" s="233">
        <v>41078</v>
      </c>
      <c r="B280" s="1" t="s">
        <v>2342</v>
      </c>
      <c r="C280" s="1" t="s">
        <v>2071</v>
      </c>
      <c r="D280" s="1" t="s">
        <v>240</v>
      </c>
      <c r="E280" s="1">
        <v>6200</v>
      </c>
      <c r="F280" s="5">
        <v>2</v>
      </c>
      <c r="G280" s="1" t="s">
        <v>229</v>
      </c>
      <c r="H280" s="234">
        <v>80</v>
      </c>
      <c r="I280" s="236">
        <f t="shared" si="18"/>
        <v>160</v>
      </c>
      <c r="J280" s="354">
        <v>45.8</v>
      </c>
      <c r="K280" s="241" t="e">
        <f>#REF!*F280</f>
        <v>#REF!</v>
      </c>
      <c r="L280" s="237">
        <v>41078</v>
      </c>
      <c r="M280" s="1" t="s">
        <v>2100</v>
      </c>
      <c r="N280" s="235">
        <f t="shared" si="16"/>
        <v>160</v>
      </c>
      <c r="O280" s="235">
        <f t="shared" si="17"/>
        <v>0</v>
      </c>
      <c r="P280" s="238" t="s">
        <v>2343</v>
      </c>
      <c r="Q280" s="1" t="s">
        <v>2344</v>
      </c>
      <c r="R280" s="239" t="s">
        <v>2345</v>
      </c>
      <c r="S280" s="238" t="s">
        <v>2346</v>
      </c>
      <c r="T280" s="238" t="s">
        <v>2347</v>
      </c>
      <c r="U280" s="238" t="s">
        <v>2348</v>
      </c>
      <c r="V280" s="238" t="s">
        <v>254</v>
      </c>
      <c r="Y280" s="239"/>
      <c r="Z280" s="239"/>
      <c r="AB280" s="1" t="s">
        <v>382</v>
      </c>
    </row>
    <row r="281" spans="1:28" ht="11.25" customHeight="1">
      <c r="A281" s="233">
        <v>41078</v>
      </c>
      <c r="B281" s="1" t="s">
        <v>2342</v>
      </c>
      <c r="C281" s="1" t="s">
        <v>2071</v>
      </c>
      <c r="D281" s="1" t="s">
        <v>2101</v>
      </c>
      <c r="E281" s="1" t="s">
        <v>2072</v>
      </c>
      <c r="F281" s="5">
        <v>8</v>
      </c>
      <c r="G281" s="1" t="s">
        <v>229</v>
      </c>
      <c r="H281" s="234">
        <v>30</v>
      </c>
      <c r="I281" s="236">
        <f t="shared" si="18"/>
        <v>240</v>
      </c>
      <c r="J281" s="351">
        <v>19</v>
      </c>
      <c r="K281" s="241">
        <f>19*8</f>
        <v>152</v>
      </c>
      <c r="L281" s="237">
        <v>41078</v>
      </c>
      <c r="M281" s="1" t="s">
        <v>2100</v>
      </c>
      <c r="N281" s="235">
        <f t="shared" si="16"/>
        <v>240</v>
      </c>
      <c r="O281" s="235">
        <f t="shared" si="17"/>
        <v>0</v>
      </c>
      <c r="P281" s="238" t="s">
        <v>2343</v>
      </c>
      <c r="Q281" s="1" t="s">
        <v>2344</v>
      </c>
      <c r="R281" s="239" t="s">
        <v>2345</v>
      </c>
      <c r="S281" s="238" t="s">
        <v>2346</v>
      </c>
      <c r="T281" s="238" t="s">
        <v>2347</v>
      </c>
      <c r="U281" s="238" t="s">
        <v>2348</v>
      </c>
      <c r="V281" s="238" t="s">
        <v>254</v>
      </c>
      <c r="Y281" s="239"/>
      <c r="Z281" s="239"/>
      <c r="AB281" s="1" t="s">
        <v>382</v>
      </c>
    </row>
    <row r="282" spans="1:28" ht="11.25" customHeight="1">
      <c r="A282" s="233">
        <v>41078</v>
      </c>
      <c r="B282" s="1" t="s">
        <v>2342</v>
      </c>
      <c r="C282" s="1" t="s">
        <v>2071</v>
      </c>
      <c r="D282" s="1" t="s">
        <v>232</v>
      </c>
      <c r="E282" s="1" t="s">
        <v>2076</v>
      </c>
      <c r="F282" s="5">
        <v>8</v>
      </c>
      <c r="G282" s="1" t="s">
        <v>231</v>
      </c>
      <c r="H282" s="234">
        <v>8</v>
      </c>
      <c r="I282" s="236">
        <f t="shared" si="18"/>
        <v>64</v>
      </c>
      <c r="J282" s="351">
        <v>5.0999999999999996</v>
      </c>
      <c r="K282" s="241">
        <f>5.1*8</f>
        <v>40.799999999999997</v>
      </c>
      <c r="L282" s="237">
        <v>41078</v>
      </c>
      <c r="M282" s="1" t="s">
        <v>2100</v>
      </c>
      <c r="N282" s="235">
        <f t="shared" si="16"/>
        <v>64</v>
      </c>
      <c r="O282" s="235">
        <f t="shared" si="17"/>
        <v>0</v>
      </c>
      <c r="P282" s="238" t="s">
        <v>2343</v>
      </c>
      <c r="Q282" s="1" t="s">
        <v>2344</v>
      </c>
      <c r="R282" s="239" t="s">
        <v>2345</v>
      </c>
      <c r="S282" s="238" t="s">
        <v>2346</v>
      </c>
      <c r="T282" s="238" t="s">
        <v>2347</v>
      </c>
      <c r="U282" s="238" t="s">
        <v>2348</v>
      </c>
      <c r="V282" s="238" t="s">
        <v>254</v>
      </c>
      <c r="Y282" s="239"/>
      <c r="Z282" s="239"/>
      <c r="AB282" s="1" t="s">
        <v>382</v>
      </c>
    </row>
    <row r="283" spans="1:28" ht="11.25" customHeight="1">
      <c r="A283" s="233">
        <v>41078</v>
      </c>
      <c r="B283" s="1" t="s">
        <v>2342</v>
      </c>
      <c r="C283" s="1" t="s">
        <v>2071</v>
      </c>
      <c r="D283" s="1" t="s">
        <v>2223</v>
      </c>
      <c r="E283" s="1">
        <v>501</v>
      </c>
      <c r="F283" s="5">
        <v>4</v>
      </c>
      <c r="G283" s="1" t="s">
        <v>229</v>
      </c>
      <c r="H283" s="234">
        <v>2</v>
      </c>
      <c r="I283" s="236">
        <f t="shared" si="18"/>
        <v>8</v>
      </c>
      <c r="J283" s="351">
        <v>1.4</v>
      </c>
      <c r="K283" s="241">
        <f>1.4*4</f>
        <v>5.6</v>
      </c>
      <c r="L283" s="237">
        <v>41078</v>
      </c>
      <c r="M283" s="1" t="s">
        <v>2100</v>
      </c>
      <c r="N283" s="235">
        <f t="shared" si="16"/>
        <v>8</v>
      </c>
      <c r="O283" s="235">
        <f t="shared" si="17"/>
        <v>0</v>
      </c>
      <c r="P283" s="238" t="s">
        <v>2343</v>
      </c>
      <c r="Q283" s="1" t="s">
        <v>2344</v>
      </c>
      <c r="R283" s="239" t="s">
        <v>2345</v>
      </c>
      <c r="S283" s="238" t="s">
        <v>2346</v>
      </c>
      <c r="T283" s="238" t="s">
        <v>2347</v>
      </c>
      <c r="U283" s="238" t="s">
        <v>2348</v>
      </c>
      <c r="V283" s="238" t="s">
        <v>254</v>
      </c>
      <c r="Y283" s="239"/>
      <c r="Z283" s="239"/>
      <c r="AB283" s="1" t="s">
        <v>382</v>
      </c>
    </row>
    <row r="284" spans="1:28" ht="11.25" customHeight="1">
      <c r="A284" s="233">
        <v>41078</v>
      </c>
      <c r="B284" s="1" t="s">
        <v>2349</v>
      </c>
      <c r="C284" s="1" t="s">
        <v>2071</v>
      </c>
      <c r="D284" s="1" t="s">
        <v>1212</v>
      </c>
      <c r="E284" s="1">
        <v>4680</v>
      </c>
      <c r="F284" s="5">
        <v>4</v>
      </c>
      <c r="G284" s="1" t="s">
        <v>2350</v>
      </c>
      <c r="H284" s="234">
        <v>87.75</v>
      </c>
      <c r="I284" s="236">
        <f t="shared" si="18"/>
        <v>351</v>
      </c>
      <c r="J284" s="351"/>
      <c r="K284" s="241">
        <f>78.39*4</f>
        <v>313.56</v>
      </c>
      <c r="L284" s="237">
        <v>41078</v>
      </c>
      <c r="M284" s="1" t="s">
        <v>2073</v>
      </c>
      <c r="N284" s="235">
        <f t="shared" si="16"/>
        <v>351</v>
      </c>
      <c r="O284" s="235">
        <f t="shared" si="17"/>
        <v>0</v>
      </c>
      <c r="P284" s="238" t="s">
        <v>2351</v>
      </c>
      <c r="Q284" s="1" t="s">
        <v>2352</v>
      </c>
      <c r="R284" s="239" t="s">
        <v>727</v>
      </c>
      <c r="S284" s="238" t="s">
        <v>728</v>
      </c>
      <c r="T284" s="238" t="s">
        <v>796</v>
      </c>
      <c r="U284" s="238" t="s">
        <v>2353</v>
      </c>
      <c r="V284" s="238" t="s">
        <v>2354</v>
      </c>
      <c r="W284" s="236">
        <v>926.5</v>
      </c>
      <c r="X284" s="233">
        <v>41113</v>
      </c>
      <c r="Y284" s="255">
        <v>468490602772</v>
      </c>
      <c r="AB284" s="1" t="s">
        <v>2195</v>
      </c>
    </row>
    <row r="285" spans="1:28" ht="11.25" customHeight="1">
      <c r="A285" s="233">
        <v>41078</v>
      </c>
      <c r="B285" s="1" t="s">
        <v>2355</v>
      </c>
      <c r="C285" s="1" t="s">
        <v>2071</v>
      </c>
      <c r="D285" s="1" t="s">
        <v>2356</v>
      </c>
      <c r="E285" s="1" t="s">
        <v>2290</v>
      </c>
      <c r="F285" s="5">
        <v>25</v>
      </c>
      <c r="G285" s="1" t="s">
        <v>2099</v>
      </c>
      <c r="H285" s="234">
        <v>1.3</v>
      </c>
      <c r="I285" s="236">
        <f t="shared" si="18"/>
        <v>32.5</v>
      </c>
      <c r="J285" s="351"/>
      <c r="K285" s="241">
        <v>0</v>
      </c>
      <c r="L285" s="237">
        <v>41078</v>
      </c>
      <c r="M285" s="1" t="s">
        <v>2357</v>
      </c>
      <c r="N285" s="235">
        <f t="shared" si="16"/>
        <v>32.5</v>
      </c>
      <c r="O285" s="235">
        <f t="shared" si="17"/>
        <v>0</v>
      </c>
      <c r="P285" s="238" t="s">
        <v>2358</v>
      </c>
      <c r="Q285" s="1" t="s">
        <v>391</v>
      </c>
      <c r="R285" s="239" t="s">
        <v>428</v>
      </c>
      <c r="S285" s="238" t="s">
        <v>429</v>
      </c>
      <c r="T285" s="238" t="s">
        <v>800</v>
      </c>
      <c r="V285" s="238" t="s">
        <v>6847</v>
      </c>
      <c r="Y285" s="239"/>
      <c r="Z285" s="239"/>
      <c r="AB285" s="1" t="s">
        <v>2195</v>
      </c>
    </row>
    <row r="286" spans="1:28" ht="11.25" customHeight="1">
      <c r="A286" s="233">
        <v>41078</v>
      </c>
      <c r="B286" s="1" t="s">
        <v>2355</v>
      </c>
      <c r="C286" s="1" t="s">
        <v>2071</v>
      </c>
      <c r="D286" s="1" t="s">
        <v>2359</v>
      </c>
      <c r="E286" s="1">
        <v>1711</v>
      </c>
      <c r="F286" s="5">
        <v>6</v>
      </c>
      <c r="G286" s="1" t="s">
        <v>2152</v>
      </c>
      <c r="H286" s="234">
        <v>14.4</v>
      </c>
      <c r="I286" s="236">
        <f t="shared" si="18"/>
        <v>86.4</v>
      </c>
      <c r="J286" s="351"/>
      <c r="K286" s="241">
        <f>11.78*6</f>
        <v>70.679999999999993</v>
      </c>
      <c r="L286" s="237">
        <v>41078</v>
      </c>
      <c r="M286" s="1" t="s">
        <v>2357</v>
      </c>
      <c r="N286" s="235">
        <f t="shared" si="16"/>
        <v>86.4</v>
      </c>
      <c r="O286" s="235">
        <f t="shared" si="17"/>
        <v>0</v>
      </c>
      <c r="P286" s="238" t="s">
        <v>2358</v>
      </c>
      <c r="Q286" s="1" t="s">
        <v>391</v>
      </c>
      <c r="R286" s="239" t="s">
        <v>428</v>
      </c>
      <c r="S286" s="238" t="s">
        <v>429</v>
      </c>
      <c r="T286" s="238" t="s">
        <v>800</v>
      </c>
      <c r="V286" s="238" t="s">
        <v>6847</v>
      </c>
      <c r="Y286" s="239"/>
      <c r="Z286" s="239"/>
      <c r="AB286" s="1" t="s">
        <v>377</v>
      </c>
    </row>
    <row r="287" spans="1:28" ht="11.25" customHeight="1">
      <c r="A287" s="233">
        <v>41078</v>
      </c>
      <c r="B287" s="1" t="s">
        <v>2116</v>
      </c>
      <c r="C287" s="1" t="s">
        <v>2071</v>
      </c>
      <c r="D287" s="1" t="s">
        <v>2232</v>
      </c>
      <c r="E287" s="1">
        <v>3700</v>
      </c>
      <c r="F287" s="5">
        <v>50</v>
      </c>
      <c r="G287" s="1" t="s">
        <v>2099</v>
      </c>
      <c r="H287" s="234">
        <v>3.71</v>
      </c>
      <c r="I287" s="236">
        <f t="shared" si="18"/>
        <v>185.5</v>
      </c>
      <c r="J287" s="351">
        <v>3.65</v>
      </c>
      <c r="K287" s="241">
        <f>3.65*50</f>
        <v>182.5</v>
      </c>
      <c r="L287" s="237">
        <v>41096</v>
      </c>
      <c r="M287" s="1" t="s">
        <v>330</v>
      </c>
      <c r="N287" s="235">
        <f t="shared" si="16"/>
        <v>185.5</v>
      </c>
      <c r="O287" s="235">
        <f t="shared" si="17"/>
        <v>0</v>
      </c>
      <c r="P287" s="238" t="s">
        <v>4886</v>
      </c>
      <c r="Q287" s="1" t="s">
        <v>1863</v>
      </c>
      <c r="T287" s="238" t="s">
        <v>2360</v>
      </c>
      <c r="V287" s="238" t="s">
        <v>2361</v>
      </c>
      <c r="W287" s="236">
        <v>5445.25</v>
      </c>
      <c r="X287" s="233">
        <v>41088</v>
      </c>
      <c r="Y287" s="239"/>
      <c r="Z287" s="239"/>
      <c r="AB287" s="1" t="s">
        <v>377</v>
      </c>
    </row>
    <row r="288" spans="1:28" ht="11.25" customHeight="1">
      <c r="A288" s="233">
        <v>41078</v>
      </c>
      <c r="B288" s="1" t="s">
        <v>2116</v>
      </c>
      <c r="C288" s="1" t="s">
        <v>2071</v>
      </c>
      <c r="D288" s="1" t="s">
        <v>1210</v>
      </c>
      <c r="E288" s="1">
        <v>3200</v>
      </c>
      <c r="F288" s="5">
        <v>50</v>
      </c>
      <c r="G288" s="1" t="s">
        <v>2099</v>
      </c>
      <c r="H288" s="234">
        <v>28.5</v>
      </c>
      <c r="I288" s="236">
        <f t="shared" si="18"/>
        <v>1425</v>
      </c>
      <c r="J288" s="351">
        <v>28</v>
      </c>
      <c r="K288" s="241">
        <f>28*50</f>
        <v>1400</v>
      </c>
      <c r="L288" s="237">
        <v>41096</v>
      </c>
      <c r="M288" s="1" t="s">
        <v>330</v>
      </c>
      <c r="N288" s="235">
        <f t="shared" si="16"/>
        <v>1425</v>
      </c>
      <c r="O288" s="235">
        <f t="shared" si="17"/>
        <v>0</v>
      </c>
      <c r="P288" s="238" t="s">
        <v>4886</v>
      </c>
      <c r="Q288" s="1" t="s">
        <v>1863</v>
      </c>
      <c r="T288" s="238" t="s">
        <v>2360</v>
      </c>
      <c r="V288" s="238" t="s">
        <v>2361</v>
      </c>
      <c r="W288" s="236">
        <v>5445.25</v>
      </c>
      <c r="X288" s="233">
        <v>41088</v>
      </c>
      <c r="Y288" s="239"/>
      <c r="Z288" s="239"/>
      <c r="AB288" s="1" t="s">
        <v>2195</v>
      </c>
    </row>
    <row r="289" spans="1:28" ht="11.25" customHeight="1">
      <c r="A289" s="233">
        <v>41079</v>
      </c>
      <c r="B289" s="1" t="s">
        <v>2362</v>
      </c>
      <c r="C289" s="1" t="s">
        <v>2071</v>
      </c>
      <c r="D289" s="1" t="s">
        <v>2310</v>
      </c>
      <c r="E289" s="1">
        <v>3200</v>
      </c>
      <c r="F289" s="5">
        <v>50</v>
      </c>
      <c r="G289" s="1" t="s">
        <v>2099</v>
      </c>
      <c r="H289" s="234">
        <v>28.73</v>
      </c>
      <c r="I289" s="236">
        <f t="shared" si="18"/>
        <v>1436.5</v>
      </c>
      <c r="J289" s="351">
        <v>28</v>
      </c>
      <c r="K289" s="241">
        <f>28*50</f>
        <v>1400</v>
      </c>
      <c r="L289" s="237">
        <v>41079</v>
      </c>
      <c r="M289" s="1" t="s">
        <v>2100</v>
      </c>
      <c r="N289" s="235">
        <f t="shared" si="16"/>
        <v>1436.5</v>
      </c>
      <c r="O289" s="235">
        <f t="shared" si="17"/>
        <v>0</v>
      </c>
      <c r="P289" s="238" t="s">
        <v>2363</v>
      </c>
      <c r="Q289" s="1" t="s">
        <v>1256</v>
      </c>
      <c r="R289" s="239" t="s">
        <v>2364</v>
      </c>
      <c r="S289" s="238" t="s">
        <v>2365</v>
      </c>
      <c r="T289" s="238" t="s">
        <v>2366</v>
      </c>
      <c r="U289" s="238" t="s">
        <v>2367</v>
      </c>
      <c r="V289" s="238" t="s">
        <v>2368</v>
      </c>
      <c r="W289" s="236">
        <v>5347.5</v>
      </c>
      <c r="X289" s="233">
        <v>41080</v>
      </c>
      <c r="Y289" s="238" t="s">
        <v>2369</v>
      </c>
      <c r="Z289" s="238"/>
      <c r="AB289" s="1" t="s">
        <v>2195</v>
      </c>
    </row>
    <row r="290" spans="1:28" ht="11.25" customHeight="1">
      <c r="A290" s="233">
        <v>41079</v>
      </c>
      <c r="B290" s="1" t="s">
        <v>2362</v>
      </c>
      <c r="C290" s="1" t="s">
        <v>2071</v>
      </c>
      <c r="D290" s="1" t="s">
        <v>346</v>
      </c>
      <c r="E290" s="1">
        <v>3700</v>
      </c>
      <c r="F290" s="5">
        <v>50</v>
      </c>
      <c r="G290" s="1" t="s">
        <v>2099</v>
      </c>
      <c r="H290" s="234">
        <v>3.9</v>
      </c>
      <c r="I290" s="236">
        <f t="shared" si="18"/>
        <v>195</v>
      </c>
      <c r="J290" s="351">
        <v>3.65</v>
      </c>
      <c r="K290" s="241">
        <f>3.65*50</f>
        <v>182.5</v>
      </c>
      <c r="L290" s="237">
        <v>41079</v>
      </c>
      <c r="M290" s="1" t="s">
        <v>2100</v>
      </c>
      <c r="N290" s="235">
        <f t="shared" si="16"/>
        <v>195</v>
      </c>
      <c r="O290" s="235">
        <f t="shared" si="17"/>
        <v>0</v>
      </c>
      <c r="P290" s="238" t="s">
        <v>2363</v>
      </c>
      <c r="Q290" s="1" t="s">
        <v>2370</v>
      </c>
      <c r="R290" s="239" t="s">
        <v>2364</v>
      </c>
      <c r="S290" s="238" t="s">
        <v>2365</v>
      </c>
      <c r="T290" s="238" t="s">
        <v>2366</v>
      </c>
      <c r="U290" s="238" t="s">
        <v>2367</v>
      </c>
      <c r="V290" s="238" t="s">
        <v>2368</v>
      </c>
      <c r="W290" s="236">
        <v>5347.5</v>
      </c>
      <c r="X290" s="233">
        <v>41080</v>
      </c>
      <c r="Y290" s="238" t="s">
        <v>2369</v>
      </c>
      <c r="Z290" s="238"/>
      <c r="AB290" s="1" t="s">
        <v>2195</v>
      </c>
    </row>
    <row r="291" spans="1:28" ht="11.25" customHeight="1">
      <c r="A291" s="233">
        <v>41079</v>
      </c>
      <c r="B291" s="1" t="s">
        <v>2371</v>
      </c>
      <c r="C291" s="1" t="s">
        <v>2071</v>
      </c>
      <c r="D291" s="1" t="s">
        <v>2310</v>
      </c>
      <c r="E291" s="1">
        <v>3200</v>
      </c>
      <c r="F291" s="5">
        <v>1</v>
      </c>
      <c r="G291" s="1" t="s">
        <v>2099</v>
      </c>
      <c r="H291" s="234">
        <v>40</v>
      </c>
      <c r="I291" s="236">
        <f t="shared" si="18"/>
        <v>40</v>
      </c>
      <c r="J291" s="351">
        <v>28.73</v>
      </c>
      <c r="K291" s="241">
        <f>28.73*1</f>
        <v>28.73</v>
      </c>
      <c r="L291" s="237">
        <v>41079</v>
      </c>
      <c r="M291" s="1" t="s">
        <v>2357</v>
      </c>
      <c r="N291" s="235">
        <f t="shared" si="16"/>
        <v>40</v>
      </c>
      <c r="O291" s="235">
        <f t="shared" si="17"/>
        <v>0</v>
      </c>
      <c r="P291" s="238" t="s">
        <v>2372</v>
      </c>
      <c r="Q291" s="1" t="s">
        <v>391</v>
      </c>
      <c r="R291" s="239" t="s">
        <v>2373</v>
      </c>
      <c r="S291" s="238" t="s">
        <v>2374</v>
      </c>
      <c r="T291" s="238" t="s">
        <v>2375</v>
      </c>
      <c r="V291" s="238" t="s">
        <v>2159</v>
      </c>
      <c r="Y291" s="239"/>
      <c r="Z291" s="239"/>
      <c r="AB291" s="1" t="s">
        <v>2075</v>
      </c>
    </row>
    <row r="292" spans="1:28" ht="11.25" customHeight="1">
      <c r="A292" s="233">
        <v>41079</v>
      </c>
      <c r="B292" s="1" t="s">
        <v>2371</v>
      </c>
      <c r="C292" s="1" t="s">
        <v>2071</v>
      </c>
      <c r="D292" s="1" t="s">
        <v>2101</v>
      </c>
      <c r="E292" s="1" t="s">
        <v>2102</v>
      </c>
      <c r="F292" s="5">
        <v>1</v>
      </c>
      <c r="G292" s="1" t="s">
        <v>2099</v>
      </c>
      <c r="H292" s="234">
        <v>20</v>
      </c>
      <c r="I292" s="236">
        <f t="shared" si="18"/>
        <v>20</v>
      </c>
      <c r="J292" s="352">
        <v>13.33</v>
      </c>
      <c r="K292" s="241">
        <v>13.33</v>
      </c>
      <c r="L292" s="237">
        <v>41079</v>
      </c>
      <c r="M292" s="1" t="s">
        <v>2357</v>
      </c>
      <c r="N292" s="235">
        <f t="shared" si="16"/>
        <v>20</v>
      </c>
      <c r="O292" s="235">
        <f t="shared" si="17"/>
        <v>0</v>
      </c>
      <c r="P292" s="238" t="s">
        <v>2372</v>
      </c>
      <c r="Q292" s="1" t="s">
        <v>391</v>
      </c>
      <c r="R292" s="239" t="s">
        <v>2373</v>
      </c>
      <c r="S292" s="238" t="s">
        <v>2374</v>
      </c>
      <c r="T292" s="238" t="s">
        <v>2375</v>
      </c>
      <c r="V292" s="238" t="s">
        <v>2159</v>
      </c>
      <c r="Y292" s="239"/>
      <c r="Z292" s="239"/>
      <c r="AB292" s="1" t="s">
        <v>2075</v>
      </c>
    </row>
    <row r="293" spans="1:28" ht="11.25" customHeight="1">
      <c r="A293" s="233">
        <v>41079</v>
      </c>
      <c r="B293" s="1" t="s">
        <v>2371</v>
      </c>
      <c r="C293" s="1" t="s">
        <v>2071</v>
      </c>
      <c r="D293" s="1" t="s">
        <v>2223</v>
      </c>
      <c r="E293" s="1" t="s">
        <v>2312</v>
      </c>
      <c r="F293" s="5">
        <v>1</v>
      </c>
      <c r="G293" s="1" t="s">
        <v>2099</v>
      </c>
      <c r="H293" s="234">
        <v>3</v>
      </c>
      <c r="I293" s="236">
        <f t="shared" si="18"/>
        <v>3</v>
      </c>
      <c r="J293" s="351">
        <v>1.92</v>
      </c>
      <c r="K293" s="241">
        <v>1.92</v>
      </c>
      <c r="L293" s="237">
        <v>41079</v>
      </c>
      <c r="M293" s="1" t="s">
        <v>2357</v>
      </c>
      <c r="N293" s="235">
        <f t="shared" si="16"/>
        <v>3</v>
      </c>
      <c r="O293" s="235">
        <f t="shared" si="17"/>
        <v>0</v>
      </c>
      <c r="P293" s="238" t="s">
        <v>2372</v>
      </c>
      <c r="Q293" s="1" t="s">
        <v>391</v>
      </c>
      <c r="R293" s="239" t="s">
        <v>2373</v>
      </c>
      <c r="S293" s="238" t="s">
        <v>2374</v>
      </c>
      <c r="T293" s="238" t="s">
        <v>2375</v>
      </c>
      <c r="V293" s="238" t="s">
        <v>2159</v>
      </c>
      <c r="Y293" s="239"/>
      <c r="Z293" s="239"/>
      <c r="AB293" s="1" t="s">
        <v>2075</v>
      </c>
    </row>
    <row r="294" spans="1:28" ht="11.25" customHeight="1">
      <c r="A294" s="233">
        <v>41079</v>
      </c>
      <c r="B294" s="1" t="s">
        <v>2371</v>
      </c>
      <c r="C294" s="1" t="s">
        <v>2071</v>
      </c>
      <c r="D294" s="1" t="s">
        <v>268</v>
      </c>
      <c r="E294" s="1" t="s">
        <v>2106</v>
      </c>
      <c r="F294" s="5">
        <v>1</v>
      </c>
      <c r="G294" s="1" t="s">
        <v>231</v>
      </c>
      <c r="H294" s="234">
        <v>2</v>
      </c>
      <c r="I294" s="236">
        <f t="shared" si="18"/>
        <v>2</v>
      </c>
      <c r="J294" s="352">
        <v>1.43</v>
      </c>
      <c r="K294" s="241">
        <f>1.43*1</f>
        <v>1.43</v>
      </c>
      <c r="L294" s="237">
        <v>41079</v>
      </c>
      <c r="M294" s="1" t="s">
        <v>2357</v>
      </c>
      <c r="N294" s="235">
        <f t="shared" si="16"/>
        <v>2</v>
      </c>
      <c r="O294" s="235">
        <f t="shared" si="17"/>
        <v>0</v>
      </c>
      <c r="P294" s="238" t="s">
        <v>2372</v>
      </c>
      <c r="Q294" s="1" t="s">
        <v>391</v>
      </c>
      <c r="R294" s="239" t="s">
        <v>2373</v>
      </c>
      <c r="S294" s="238" t="s">
        <v>2374</v>
      </c>
      <c r="T294" s="238" t="s">
        <v>2375</v>
      </c>
      <c r="V294" s="238" t="s">
        <v>2159</v>
      </c>
      <c r="Y294" s="239"/>
      <c r="Z294" s="239"/>
      <c r="AB294" s="1" t="s">
        <v>2075</v>
      </c>
    </row>
    <row r="295" spans="1:28" ht="11.25" customHeight="1">
      <c r="A295" s="233">
        <v>41079</v>
      </c>
      <c r="B295" s="1" t="s">
        <v>2371</v>
      </c>
      <c r="C295" s="1" t="s">
        <v>2071</v>
      </c>
      <c r="D295" s="5" t="s">
        <v>2012</v>
      </c>
      <c r="E295" s="1" t="s">
        <v>2089</v>
      </c>
      <c r="F295" s="5">
        <v>50</v>
      </c>
      <c r="G295" s="1" t="s">
        <v>4970</v>
      </c>
      <c r="H295" s="234">
        <v>2.2999999999999998</v>
      </c>
      <c r="I295" s="236">
        <f t="shared" si="18"/>
        <v>114.99999999999999</v>
      </c>
      <c r="J295" s="351">
        <v>1.6</v>
      </c>
      <c r="K295" s="241">
        <f>1.6*50</f>
        <v>80</v>
      </c>
      <c r="L295" s="237">
        <v>41079</v>
      </c>
      <c r="M295" s="1" t="s">
        <v>2357</v>
      </c>
      <c r="N295" s="235">
        <f t="shared" si="16"/>
        <v>114.99999999999999</v>
      </c>
      <c r="O295" s="235">
        <f t="shared" si="17"/>
        <v>0</v>
      </c>
      <c r="P295" s="238" t="s">
        <v>2372</v>
      </c>
      <c r="Q295" s="1" t="s">
        <v>391</v>
      </c>
      <c r="R295" s="239" t="s">
        <v>2373</v>
      </c>
      <c r="S295" s="238" t="s">
        <v>2374</v>
      </c>
      <c r="T295" s="238" t="s">
        <v>2375</v>
      </c>
      <c r="V295" s="238" t="s">
        <v>2159</v>
      </c>
      <c r="Y295" s="239"/>
      <c r="Z295" s="239"/>
      <c r="AB295" s="1" t="s">
        <v>2075</v>
      </c>
    </row>
    <row r="296" spans="1:28" ht="11.25" customHeight="1">
      <c r="A296" s="233">
        <v>41079</v>
      </c>
      <c r="B296" s="1" t="s">
        <v>2218</v>
      </c>
      <c r="C296" s="1" t="s">
        <v>2071</v>
      </c>
      <c r="D296" s="1" t="s">
        <v>2376</v>
      </c>
      <c r="E296" s="1">
        <v>4941</v>
      </c>
      <c r="F296" s="1">
        <v>0.8</v>
      </c>
      <c r="G296" s="1" t="s">
        <v>2377</v>
      </c>
      <c r="H296" s="234">
        <v>408</v>
      </c>
      <c r="I296" s="236">
        <f t="shared" si="18"/>
        <v>326.40000000000003</v>
      </c>
      <c r="J296" s="351"/>
      <c r="K296" s="241">
        <f>370*0.8</f>
        <v>296</v>
      </c>
      <c r="L296" s="237">
        <v>41108</v>
      </c>
      <c r="M296" s="1" t="s">
        <v>330</v>
      </c>
      <c r="N296" s="235">
        <f t="shared" si="16"/>
        <v>326.40000000000003</v>
      </c>
      <c r="O296" s="235">
        <f t="shared" si="17"/>
        <v>0</v>
      </c>
      <c r="P296" s="238" t="s">
        <v>2378</v>
      </c>
      <c r="Q296" s="1" t="s">
        <v>2352</v>
      </c>
      <c r="R296" s="239" t="s">
        <v>2379</v>
      </c>
      <c r="S296" s="238" t="s">
        <v>2380</v>
      </c>
      <c r="T296" s="238" t="s">
        <v>799</v>
      </c>
      <c r="U296" s="238" t="s">
        <v>2381</v>
      </c>
      <c r="V296" s="238" t="s">
        <v>2382</v>
      </c>
      <c r="W296" s="236">
        <v>8678.4</v>
      </c>
      <c r="X296" s="233">
        <v>41145</v>
      </c>
      <c r="Y296" s="238" t="s">
        <v>2383</v>
      </c>
      <c r="Z296" s="239"/>
      <c r="AB296" s="1" t="s">
        <v>2195</v>
      </c>
    </row>
    <row r="297" spans="1:28" ht="11.25" customHeight="1">
      <c r="A297" s="233">
        <v>41079</v>
      </c>
      <c r="B297" s="1" t="s">
        <v>2384</v>
      </c>
      <c r="C297" s="1" t="s">
        <v>2071</v>
      </c>
      <c r="D297" s="5" t="s">
        <v>2012</v>
      </c>
      <c r="E297" s="1" t="s">
        <v>2089</v>
      </c>
      <c r="F297" s="5">
        <v>100</v>
      </c>
      <c r="G297" s="1" t="s">
        <v>4970</v>
      </c>
      <c r="H297" s="234">
        <v>2.4</v>
      </c>
      <c r="I297" s="236">
        <f t="shared" si="18"/>
        <v>240</v>
      </c>
      <c r="J297" s="351">
        <v>1.58</v>
      </c>
      <c r="K297" s="241">
        <f>1.58*100</f>
        <v>158</v>
      </c>
      <c r="L297" s="237">
        <v>41079</v>
      </c>
      <c r="M297" s="1" t="s">
        <v>2357</v>
      </c>
      <c r="N297" s="235">
        <f t="shared" si="16"/>
        <v>240</v>
      </c>
      <c r="O297" s="235">
        <f t="shared" si="17"/>
        <v>0</v>
      </c>
      <c r="P297" s="238" t="s">
        <v>2385</v>
      </c>
      <c r="Q297" s="1" t="s">
        <v>391</v>
      </c>
      <c r="R297" s="239" t="s">
        <v>2386</v>
      </c>
      <c r="S297" s="238" t="s">
        <v>2387</v>
      </c>
      <c r="T297" s="238" t="s">
        <v>2388</v>
      </c>
      <c r="V297" s="238" t="s">
        <v>2389</v>
      </c>
      <c r="W297" s="236">
        <v>1062</v>
      </c>
      <c r="X297" s="233">
        <v>41079</v>
      </c>
      <c r="Y297" s="239"/>
      <c r="Z297" s="239"/>
      <c r="AB297" s="1" t="s">
        <v>2075</v>
      </c>
    </row>
    <row r="298" spans="1:28" ht="11.25" customHeight="1">
      <c r="A298" s="233">
        <v>41079</v>
      </c>
      <c r="B298" s="1" t="s">
        <v>2384</v>
      </c>
      <c r="C298" s="1" t="s">
        <v>2071</v>
      </c>
      <c r="D298" s="1" t="s">
        <v>1210</v>
      </c>
      <c r="E298" s="1">
        <v>3200</v>
      </c>
      <c r="F298" s="1">
        <v>5</v>
      </c>
      <c r="G298" s="1" t="s">
        <v>2099</v>
      </c>
      <c r="H298" s="234">
        <v>38</v>
      </c>
      <c r="I298" s="236">
        <f t="shared" si="18"/>
        <v>190</v>
      </c>
      <c r="J298" s="351">
        <v>28.73</v>
      </c>
      <c r="K298" s="241">
        <f>28.73*5</f>
        <v>143.65</v>
      </c>
      <c r="L298" s="237">
        <v>41079</v>
      </c>
      <c r="M298" s="1" t="s">
        <v>2357</v>
      </c>
      <c r="N298" s="235">
        <f t="shared" si="16"/>
        <v>190</v>
      </c>
      <c r="O298" s="235">
        <f t="shared" si="17"/>
        <v>0</v>
      </c>
      <c r="P298" s="238" t="s">
        <v>2385</v>
      </c>
      <c r="Q298" s="1" t="s">
        <v>391</v>
      </c>
      <c r="R298" s="239" t="s">
        <v>2386</v>
      </c>
      <c r="S298" s="238" t="s">
        <v>2387</v>
      </c>
      <c r="T298" s="238" t="s">
        <v>2388</v>
      </c>
      <c r="V298" s="238" t="s">
        <v>2389</v>
      </c>
      <c r="W298" s="236">
        <v>1062</v>
      </c>
      <c r="X298" s="233">
        <v>41079</v>
      </c>
      <c r="Y298" s="239"/>
      <c r="Z298" s="239"/>
      <c r="AB298" s="1" t="s">
        <v>2075</v>
      </c>
    </row>
    <row r="299" spans="1:28" ht="11.25" customHeight="1">
      <c r="A299" s="233">
        <v>41079</v>
      </c>
      <c r="B299" s="1" t="s">
        <v>2384</v>
      </c>
      <c r="C299" s="1" t="s">
        <v>2071</v>
      </c>
      <c r="D299" s="1" t="s">
        <v>2326</v>
      </c>
      <c r="E299" s="1" t="s">
        <v>2106</v>
      </c>
      <c r="F299" s="1">
        <v>15</v>
      </c>
      <c r="G299" s="1" t="s">
        <v>231</v>
      </c>
      <c r="H299" s="234">
        <v>1.9</v>
      </c>
      <c r="I299" s="236">
        <f t="shared" ref="I299:I343" si="19">H299*F299</f>
        <v>28.5</v>
      </c>
      <c r="J299" s="352">
        <v>1.43</v>
      </c>
      <c r="K299" s="241">
        <f>1.43*15</f>
        <v>21.45</v>
      </c>
      <c r="L299" s="237">
        <v>41079</v>
      </c>
      <c r="M299" s="1" t="s">
        <v>2357</v>
      </c>
      <c r="N299" s="235">
        <f t="shared" si="16"/>
        <v>28.5</v>
      </c>
      <c r="O299" s="235">
        <f t="shared" si="17"/>
        <v>0</v>
      </c>
      <c r="P299" s="238" t="s">
        <v>2385</v>
      </c>
      <c r="Q299" s="1" t="s">
        <v>391</v>
      </c>
      <c r="R299" s="239" t="s">
        <v>2386</v>
      </c>
      <c r="S299" s="238" t="s">
        <v>2387</v>
      </c>
      <c r="T299" s="238" t="s">
        <v>2388</v>
      </c>
      <c r="V299" s="238" t="s">
        <v>2389</v>
      </c>
      <c r="W299" s="236">
        <v>1062</v>
      </c>
      <c r="X299" s="233">
        <v>41079</v>
      </c>
      <c r="Y299" s="239"/>
      <c r="Z299" s="239"/>
      <c r="AB299" s="1" t="s">
        <v>2075</v>
      </c>
    </row>
    <row r="300" spans="1:28" ht="11.25" customHeight="1">
      <c r="A300" s="233">
        <v>41079</v>
      </c>
      <c r="B300" s="1" t="s">
        <v>2384</v>
      </c>
      <c r="C300" s="1" t="s">
        <v>2071</v>
      </c>
      <c r="D300" s="1" t="s">
        <v>263</v>
      </c>
      <c r="E300" s="1" t="s">
        <v>2118</v>
      </c>
      <c r="F300" s="1">
        <v>5</v>
      </c>
      <c r="G300" s="1" t="s">
        <v>2086</v>
      </c>
      <c r="H300" s="234">
        <v>2.2000000000000002</v>
      </c>
      <c r="I300" s="236">
        <f t="shared" si="19"/>
        <v>11</v>
      </c>
      <c r="J300" s="351">
        <v>1.92</v>
      </c>
      <c r="K300" s="241">
        <f>1.92*5</f>
        <v>9.6</v>
      </c>
      <c r="L300" s="237">
        <v>41079</v>
      </c>
      <c r="M300" s="1" t="s">
        <v>2390</v>
      </c>
      <c r="N300" s="235">
        <f t="shared" si="16"/>
        <v>11</v>
      </c>
      <c r="O300" s="235">
        <f t="shared" si="17"/>
        <v>0</v>
      </c>
      <c r="P300" s="238" t="s">
        <v>2391</v>
      </c>
      <c r="Q300" s="1" t="s">
        <v>391</v>
      </c>
      <c r="R300" s="239" t="s">
        <v>2392</v>
      </c>
      <c r="S300" s="238" t="s">
        <v>2393</v>
      </c>
      <c r="T300" s="238" t="s">
        <v>2394</v>
      </c>
      <c r="V300" s="238" t="s">
        <v>2395</v>
      </c>
      <c r="W300" s="236">
        <v>1062</v>
      </c>
      <c r="X300" s="233">
        <v>41079</v>
      </c>
      <c r="Y300" s="239"/>
      <c r="Z300" s="239"/>
      <c r="AB300" s="1" t="s">
        <v>2079</v>
      </c>
    </row>
    <row r="301" spans="1:28" ht="11.25" customHeight="1">
      <c r="A301" s="233">
        <v>41079</v>
      </c>
      <c r="B301" s="1" t="s">
        <v>2396</v>
      </c>
      <c r="C301" s="1" t="s">
        <v>2080</v>
      </c>
      <c r="D301" s="1" t="s">
        <v>1882</v>
      </c>
      <c r="E301" s="1" t="s">
        <v>2397</v>
      </c>
      <c r="F301" s="1">
        <v>15</v>
      </c>
      <c r="G301" s="1" t="s">
        <v>2086</v>
      </c>
      <c r="H301" s="234">
        <v>16.899999999999999</v>
      </c>
      <c r="I301" s="236">
        <f t="shared" si="19"/>
        <v>253.49999999999997</v>
      </c>
      <c r="J301" s="352">
        <v>13.33</v>
      </c>
      <c r="K301" s="241">
        <f>13.33*15</f>
        <v>199.95</v>
      </c>
      <c r="L301" s="237">
        <v>41079</v>
      </c>
      <c r="M301" s="1" t="s">
        <v>2390</v>
      </c>
      <c r="N301" s="235">
        <f t="shared" si="16"/>
        <v>253.49999999999997</v>
      </c>
      <c r="O301" s="235">
        <f t="shared" si="17"/>
        <v>0</v>
      </c>
      <c r="P301" s="238" t="s">
        <v>2391</v>
      </c>
      <c r="Q301" s="1" t="s">
        <v>391</v>
      </c>
      <c r="R301" s="239" t="s">
        <v>2392</v>
      </c>
      <c r="S301" s="238" t="s">
        <v>2393</v>
      </c>
      <c r="T301" s="238" t="s">
        <v>2394</v>
      </c>
      <c r="V301" s="238" t="s">
        <v>2395</v>
      </c>
      <c r="W301" s="236">
        <v>1062</v>
      </c>
      <c r="X301" s="233">
        <v>41079</v>
      </c>
      <c r="Y301" s="239"/>
      <c r="Z301" s="239"/>
      <c r="AB301" s="1" t="s">
        <v>2079</v>
      </c>
    </row>
    <row r="302" spans="1:28" ht="11.25" customHeight="1">
      <c r="A302" s="233">
        <v>41079</v>
      </c>
      <c r="B302" s="1" t="s">
        <v>2396</v>
      </c>
      <c r="C302" s="1" t="s">
        <v>2080</v>
      </c>
      <c r="D302" s="1" t="s">
        <v>2010</v>
      </c>
      <c r="E302" s="1">
        <v>10434</v>
      </c>
      <c r="F302" s="1">
        <v>5</v>
      </c>
      <c r="G302" s="1" t="s">
        <v>2398</v>
      </c>
      <c r="H302" s="234">
        <v>20</v>
      </c>
      <c r="I302" s="236">
        <f t="shared" si="19"/>
        <v>100</v>
      </c>
      <c r="J302" s="351"/>
      <c r="K302" s="241">
        <f>14.88*5</f>
        <v>74.400000000000006</v>
      </c>
      <c r="L302" s="237">
        <v>41079</v>
      </c>
      <c r="M302" s="1" t="s">
        <v>2390</v>
      </c>
      <c r="N302" s="235">
        <f t="shared" si="16"/>
        <v>100</v>
      </c>
      <c r="O302" s="235">
        <f t="shared" si="17"/>
        <v>0</v>
      </c>
      <c r="P302" s="238" t="s">
        <v>2391</v>
      </c>
      <c r="Q302" s="1" t="s">
        <v>391</v>
      </c>
      <c r="R302" s="239" t="s">
        <v>2392</v>
      </c>
      <c r="S302" s="238" t="s">
        <v>2393</v>
      </c>
      <c r="T302" s="238" t="s">
        <v>2394</v>
      </c>
      <c r="V302" s="238" t="s">
        <v>2395</v>
      </c>
      <c r="W302" s="236">
        <v>1062</v>
      </c>
      <c r="X302" s="233">
        <v>41079</v>
      </c>
      <c r="Y302" s="239"/>
      <c r="Z302" s="239"/>
      <c r="AB302" s="1" t="s">
        <v>2079</v>
      </c>
    </row>
    <row r="303" spans="1:28" ht="11.25" customHeight="1">
      <c r="A303" s="233">
        <v>41079</v>
      </c>
      <c r="B303" s="1" t="s">
        <v>2396</v>
      </c>
      <c r="C303" s="1" t="s">
        <v>2080</v>
      </c>
      <c r="D303" s="1" t="s">
        <v>1960</v>
      </c>
      <c r="E303" s="1">
        <v>1426</v>
      </c>
      <c r="F303" s="1">
        <v>10</v>
      </c>
      <c r="G303" s="5" t="s">
        <v>2398</v>
      </c>
      <c r="H303" s="234">
        <v>23.9</v>
      </c>
      <c r="I303" s="236">
        <f t="shared" si="19"/>
        <v>239</v>
      </c>
      <c r="J303" s="351"/>
      <c r="K303" s="241">
        <f>20*10</f>
        <v>200</v>
      </c>
      <c r="L303" s="237">
        <v>41079</v>
      </c>
      <c r="M303" s="1" t="s">
        <v>2390</v>
      </c>
      <c r="N303" s="235">
        <f t="shared" si="16"/>
        <v>239</v>
      </c>
      <c r="O303" s="235">
        <f t="shared" si="17"/>
        <v>0</v>
      </c>
      <c r="P303" s="238" t="s">
        <v>2391</v>
      </c>
      <c r="Q303" s="1" t="s">
        <v>391</v>
      </c>
      <c r="R303" s="239" t="s">
        <v>2392</v>
      </c>
      <c r="S303" s="238" t="s">
        <v>2393</v>
      </c>
      <c r="T303" s="238" t="s">
        <v>2394</v>
      </c>
      <c r="V303" s="238" t="s">
        <v>2395</v>
      </c>
      <c r="W303" s="236">
        <v>1062</v>
      </c>
      <c r="X303" s="233">
        <v>41079</v>
      </c>
      <c r="Y303" s="239"/>
      <c r="Z303" s="239"/>
      <c r="AB303" s="1" t="s">
        <v>2079</v>
      </c>
    </row>
    <row r="304" spans="1:28" ht="11.25" customHeight="1">
      <c r="A304" s="233">
        <v>41080</v>
      </c>
      <c r="B304" s="1" t="s">
        <v>2108</v>
      </c>
      <c r="C304" s="1" t="s">
        <v>2080</v>
      </c>
      <c r="D304" s="1" t="s">
        <v>2014</v>
      </c>
      <c r="E304" s="1">
        <v>7502</v>
      </c>
      <c r="F304" s="1">
        <v>5</v>
      </c>
      <c r="G304" s="1" t="s">
        <v>2086</v>
      </c>
      <c r="H304" s="234">
        <v>139.52000000000001</v>
      </c>
      <c r="I304" s="236">
        <f t="shared" si="19"/>
        <v>697.6</v>
      </c>
      <c r="J304" s="351">
        <v>122.8</v>
      </c>
      <c r="K304" s="241">
        <f>122.8*5</f>
        <v>614</v>
      </c>
      <c r="L304" s="237">
        <v>41080</v>
      </c>
      <c r="M304" s="1" t="s">
        <v>2390</v>
      </c>
      <c r="N304" s="235">
        <f t="shared" si="16"/>
        <v>697.6</v>
      </c>
      <c r="O304" s="235">
        <f t="shared" si="17"/>
        <v>0</v>
      </c>
      <c r="P304" s="238" t="s">
        <v>2399</v>
      </c>
      <c r="Q304" s="1" t="s">
        <v>391</v>
      </c>
      <c r="R304" s="239" t="s">
        <v>729</v>
      </c>
      <c r="S304" s="238" t="s">
        <v>2400</v>
      </c>
      <c r="T304" s="238" t="s">
        <v>795</v>
      </c>
      <c r="V304" s="238" t="s">
        <v>7000</v>
      </c>
      <c r="W304" s="236">
        <v>5687</v>
      </c>
      <c r="X304" s="233">
        <v>41417</v>
      </c>
      <c r="Y304" s="239" t="s">
        <v>6988</v>
      </c>
      <c r="Z304" s="239"/>
      <c r="AB304" s="1" t="s">
        <v>2401</v>
      </c>
    </row>
    <row r="305" spans="1:28" ht="11.25" customHeight="1">
      <c r="A305" s="233">
        <v>41080</v>
      </c>
      <c r="B305" s="1" t="s">
        <v>2402</v>
      </c>
      <c r="C305" s="1" t="s">
        <v>2403</v>
      </c>
      <c r="D305" s="1" t="s">
        <v>2404</v>
      </c>
      <c r="E305" s="1" t="s">
        <v>2405</v>
      </c>
      <c r="F305" s="1">
        <v>20</v>
      </c>
      <c r="G305" s="1" t="s">
        <v>2406</v>
      </c>
      <c r="H305" s="234">
        <v>35</v>
      </c>
      <c r="I305" s="236">
        <f t="shared" si="19"/>
        <v>700</v>
      </c>
      <c r="J305" s="351">
        <v>32</v>
      </c>
      <c r="K305" s="241">
        <f>32*20</f>
        <v>640</v>
      </c>
      <c r="L305" s="237">
        <v>41080</v>
      </c>
      <c r="M305" s="1" t="s">
        <v>2407</v>
      </c>
      <c r="N305" s="235">
        <f t="shared" si="16"/>
        <v>700</v>
      </c>
      <c r="O305" s="235">
        <f t="shared" si="17"/>
        <v>0</v>
      </c>
      <c r="P305" s="238" t="s">
        <v>2408</v>
      </c>
      <c r="Q305" s="1" t="s">
        <v>391</v>
      </c>
      <c r="R305" s="239" t="s">
        <v>729</v>
      </c>
      <c r="S305" s="238" t="s">
        <v>2400</v>
      </c>
      <c r="T305" s="238" t="s">
        <v>795</v>
      </c>
      <c r="V305" s="238" t="s">
        <v>7000</v>
      </c>
      <c r="W305" s="236">
        <v>5687</v>
      </c>
      <c r="X305" s="233">
        <v>41417</v>
      </c>
      <c r="Y305" s="239" t="s">
        <v>6988</v>
      </c>
      <c r="Z305" s="239"/>
      <c r="AB305" s="1" t="s">
        <v>2401</v>
      </c>
    </row>
    <row r="306" spans="1:28" ht="11.25" customHeight="1">
      <c r="A306" s="233">
        <v>41080</v>
      </c>
      <c r="B306" s="1" t="s">
        <v>2402</v>
      </c>
      <c r="C306" s="1" t="s">
        <v>2403</v>
      </c>
      <c r="D306" s="1" t="s">
        <v>232</v>
      </c>
      <c r="E306" s="1" t="s">
        <v>2409</v>
      </c>
      <c r="F306" s="1">
        <v>20</v>
      </c>
      <c r="G306" s="1" t="s">
        <v>231</v>
      </c>
      <c r="H306" s="234">
        <v>5.52</v>
      </c>
      <c r="I306" s="236">
        <f t="shared" si="19"/>
        <v>110.39999999999999</v>
      </c>
      <c r="J306" s="351">
        <v>5.0999999999999996</v>
      </c>
      <c r="K306" s="241">
        <f>5.1*20</f>
        <v>102</v>
      </c>
      <c r="L306" s="237">
        <v>41080</v>
      </c>
      <c r="M306" s="1" t="s">
        <v>2407</v>
      </c>
      <c r="N306" s="235">
        <f t="shared" si="16"/>
        <v>110.39999999999999</v>
      </c>
      <c r="O306" s="235">
        <f t="shared" si="17"/>
        <v>0</v>
      </c>
      <c r="P306" s="238" t="s">
        <v>2408</v>
      </c>
      <c r="Q306" s="1" t="s">
        <v>391</v>
      </c>
      <c r="R306" s="239" t="s">
        <v>729</v>
      </c>
      <c r="S306" s="238" t="s">
        <v>2400</v>
      </c>
      <c r="T306" s="238" t="s">
        <v>795</v>
      </c>
      <c r="V306" s="238" t="s">
        <v>7000</v>
      </c>
      <c r="W306" s="236">
        <v>5687</v>
      </c>
      <c r="X306" s="233">
        <v>41417</v>
      </c>
      <c r="Y306" s="239" t="s">
        <v>6988</v>
      </c>
      <c r="Z306" s="239"/>
      <c r="AB306" s="1" t="s">
        <v>2401</v>
      </c>
    </row>
    <row r="307" spans="1:28" ht="11.25" customHeight="1">
      <c r="A307" s="233">
        <v>41080</v>
      </c>
      <c r="B307" s="1" t="s">
        <v>2402</v>
      </c>
      <c r="C307" s="1" t="s">
        <v>2403</v>
      </c>
      <c r="D307" s="1" t="s">
        <v>2410</v>
      </c>
      <c r="E307" s="1">
        <v>501</v>
      </c>
      <c r="F307" s="1">
        <v>10</v>
      </c>
      <c r="G307" s="1" t="s">
        <v>2406</v>
      </c>
      <c r="H307" s="234">
        <v>1.49</v>
      </c>
      <c r="I307" s="236">
        <f t="shared" si="19"/>
        <v>14.9</v>
      </c>
      <c r="J307" s="351">
        <v>1.4</v>
      </c>
      <c r="K307" s="241">
        <f>1.4*10</f>
        <v>14</v>
      </c>
      <c r="L307" s="237">
        <v>41080</v>
      </c>
      <c r="M307" s="1" t="s">
        <v>2407</v>
      </c>
      <c r="N307" s="235">
        <f t="shared" si="16"/>
        <v>14.9</v>
      </c>
      <c r="O307" s="235">
        <f t="shared" si="17"/>
        <v>0</v>
      </c>
      <c r="P307" s="238" t="s">
        <v>2408</v>
      </c>
      <c r="Q307" s="1" t="s">
        <v>391</v>
      </c>
      <c r="R307" s="239" t="s">
        <v>729</v>
      </c>
      <c r="S307" s="238" t="s">
        <v>2400</v>
      </c>
      <c r="T307" s="238" t="s">
        <v>795</v>
      </c>
      <c r="V307" s="238" t="s">
        <v>7000</v>
      </c>
      <c r="W307" s="236">
        <v>5687</v>
      </c>
      <c r="X307" s="233">
        <v>41417</v>
      </c>
      <c r="Y307" s="239" t="s">
        <v>6988</v>
      </c>
      <c r="Z307" s="239"/>
      <c r="AB307" s="1" t="s">
        <v>2401</v>
      </c>
    </row>
    <row r="308" spans="1:28" ht="11.25" customHeight="1">
      <c r="A308" s="233">
        <v>41081</v>
      </c>
      <c r="B308" s="1" t="s">
        <v>711</v>
      </c>
      <c r="C308" s="1" t="s">
        <v>2403</v>
      </c>
      <c r="D308" s="1" t="s">
        <v>1210</v>
      </c>
      <c r="E308" s="1">
        <v>3200</v>
      </c>
      <c r="F308" s="1">
        <v>40</v>
      </c>
      <c r="G308" s="1" t="s">
        <v>2406</v>
      </c>
      <c r="H308" s="234">
        <v>36.299999999999997</v>
      </c>
      <c r="I308" s="236">
        <f t="shared" si="19"/>
        <v>1452</v>
      </c>
      <c r="J308" s="351">
        <v>28</v>
      </c>
      <c r="K308" s="241">
        <f>28*40</f>
        <v>1120</v>
      </c>
      <c r="L308" s="237">
        <v>41081</v>
      </c>
      <c r="M308" s="1" t="s">
        <v>330</v>
      </c>
      <c r="N308" s="235">
        <f t="shared" si="16"/>
        <v>1452</v>
      </c>
      <c r="O308" s="235">
        <f t="shared" si="17"/>
        <v>0</v>
      </c>
      <c r="P308" s="238" t="s">
        <v>2411</v>
      </c>
      <c r="Q308" s="1" t="s">
        <v>1257</v>
      </c>
      <c r="R308" s="239" t="s">
        <v>2412</v>
      </c>
      <c r="S308" s="238" t="s">
        <v>712</v>
      </c>
      <c r="T308" s="238" t="s">
        <v>798</v>
      </c>
      <c r="U308" s="238" t="s">
        <v>2413</v>
      </c>
      <c r="V308" s="238" t="s">
        <v>2414</v>
      </c>
      <c r="W308" s="236">
        <v>2180.8000000000002</v>
      </c>
      <c r="X308" s="233">
        <v>41103</v>
      </c>
      <c r="Y308" s="238" t="s">
        <v>2415</v>
      </c>
      <c r="Z308" s="238"/>
      <c r="AB308" s="1" t="s">
        <v>2416</v>
      </c>
    </row>
    <row r="309" spans="1:28" ht="11.25" customHeight="1">
      <c r="A309" s="233">
        <v>41081</v>
      </c>
      <c r="B309" s="1" t="s">
        <v>711</v>
      </c>
      <c r="C309" s="1" t="s">
        <v>2403</v>
      </c>
      <c r="D309" s="1" t="s">
        <v>2417</v>
      </c>
      <c r="E309" s="1" t="s">
        <v>2418</v>
      </c>
      <c r="F309" s="1">
        <v>140</v>
      </c>
      <c r="G309" s="1" t="s">
        <v>231</v>
      </c>
      <c r="H309" s="234">
        <v>2.2999999999999998</v>
      </c>
      <c r="I309" s="236">
        <f t="shared" si="19"/>
        <v>322</v>
      </c>
      <c r="J309" s="352">
        <v>1.8</v>
      </c>
      <c r="K309" s="241">
        <f>1.8*140</f>
        <v>252</v>
      </c>
      <c r="L309" s="237">
        <v>41081</v>
      </c>
      <c r="M309" s="1" t="s">
        <v>330</v>
      </c>
      <c r="N309" s="235">
        <f t="shared" si="16"/>
        <v>322</v>
      </c>
      <c r="O309" s="235">
        <f t="shared" si="17"/>
        <v>0</v>
      </c>
      <c r="P309" s="238" t="s">
        <v>2411</v>
      </c>
      <c r="Q309" s="1" t="s">
        <v>2419</v>
      </c>
      <c r="R309" s="239" t="s">
        <v>2412</v>
      </c>
      <c r="S309" s="238" t="s">
        <v>712</v>
      </c>
      <c r="T309" s="238" t="s">
        <v>798</v>
      </c>
      <c r="U309" s="238" t="s">
        <v>2413</v>
      </c>
      <c r="V309" s="238" t="s">
        <v>2414</v>
      </c>
      <c r="W309" s="236">
        <v>2180.8000000000002</v>
      </c>
      <c r="X309" s="233">
        <v>41103</v>
      </c>
      <c r="Y309" s="238" t="s">
        <v>2415</v>
      </c>
      <c r="Z309" s="238"/>
      <c r="AB309" s="1" t="s">
        <v>2416</v>
      </c>
    </row>
    <row r="310" spans="1:28" ht="11.25" customHeight="1">
      <c r="A310" s="233">
        <v>41081</v>
      </c>
      <c r="B310" s="1" t="s">
        <v>711</v>
      </c>
      <c r="C310" s="1" t="s">
        <v>2403</v>
      </c>
      <c r="D310" s="1" t="s">
        <v>346</v>
      </c>
      <c r="E310" s="1">
        <v>3700</v>
      </c>
      <c r="F310" s="1">
        <v>40</v>
      </c>
      <c r="G310" s="1" t="s">
        <v>2406</v>
      </c>
      <c r="H310" s="234">
        <v>4.7</v>
      </c>
      <c r="I310" s="236">
        <f t="shared" si="19"/>
        <v>188</v>
      </c>
      <c r="J310" s="351">
        <v>3.6</v>
      </c>
      <c r="K310" s="241">
        <f>3.6*40</f>
        <v>144</v>
      </c>
      <c r="L310" s="237">
        <v>41081</v>
      </c>
      <c r="M310" s="1" t="s">
        <v>330</v>
      </c>
      <c r="N310" s="235">
        <f t="shared" si="16"/>
        <v>188</v>
      </c>
      <c r="O310" s="235">
        <f t="shared" si="17"/>
        <v>0</v>
      </c>
      <c r="P310" s="238" t="s">
        <v>2411</v>
      </c>
      <c r="Q310" s="1" t="s">
        <v>2419</v>
      </c>
      <c r="R310" s="239" t="s">
        <v>2412</v>
      </c>
      <c r="S310" s="238" t="s">
        <v>712</v>
      </c>
      <c r="T310" s="238" t="s">
        <v>798</v>
      </c>
      <c r="U310" s="238" t="s">
        <v>2413</v>
      </c>
      <c r="V310" s="238" t="s">
        <v>2414</v>
      </c>
      <c r="W310" s="236">
        <v>2180.8000000000002</v>
      </c>
      <c r="X310" s="233">
        <v>41103</v>
      </c>
      <c r="Y310" s="238" t="s">
        <v>2415</v>
      </c>
      <c r="Z310" s="238"/>
      <c r="AB310" s="1" t="s">
        <v>2416</v>
      </c>
    </row>
    <row r="311" spans="1:28" ht="11.25" customHeight="1">
      <c r="A311" s="233">
        <v>41081</v>
      </c>
      <c r="B311" s="1" t="s">
        <v>711</v>
      </c>
      <c r="C311" s="1" t="s">
        <v>2403</v>
      </c>
      <c r="D311" s="1" t="s">
        <v>2420</v>
      </c>
      <c r="E311" s="1">
        <v>1270</v>
      </c>
      <c r="F311" s="1">
        <v>40</v>
      </c>
      <c r="G311" s="1" t="s">
        <v>239</v>
      </c>
      <c r="H311" s="234">
        <v>5.47</v>
      </c>
      <c r="I311" s="236">
        <f t="shared" si="19"/>
        <v>218.79999999999998</v>
      </c>
      <c r="J311" s="351"/>
      <c r="K311" s="241">
        <f>4.31*40</f>
        <v>172.39999999999998</v>
      </c>
      <c r="L311" s="237">
        <v>41081</v>
      </c>
      <c r="M311" s="1" t="s">
        <v>330</v>
      </c>
      <c r="N311" s="235">
        <f t="shared" si="16"/>
        <v>218.79999999999998</v>
      </c>
      <c r="O311" s="235">
        <f t="shared" si="17"/>
        <v>0</v>
      </c>
      <c r="P311" s="238" t="s">
        <v>2411</v>
      </c>
      <c r="Q311" s="1" t="s">
        <v>2419</v>
      </c>
      <c r="R311" s="239" t="s">
        <v>2412</v>
      </c>
      <c r="S311" s="238" t="s">
        <v>712</v>
      </c>
      <c r="T311" s="238" t="s">
        <v>798</v>
      </c>
      <c r="U311" s="238" t="s">
        <v>2413</v>
      </c>
      <c r="V311" s="238" t="s">
        <v>2414</v>
      </c>
      <c r="W311" s="236">
        <v>2180.8000000000002</v>
      </c>
      <c r="X311" s="233">
        <v>41103</v>
      </c>
      <c r="Y311" s="238" t="s">
        <v>2415</v>
      </c>
      <c r="Z311" s="238"/>
      <c r="AB311" s="1" t="s">
        <v>2416</v>
      </c>
    </row>
    <row r="312" spans="1:28" ht="11.25" customHeight="1">
      <c r="A312" s="233">
        <v>41085</v>
      </c>
      <c r="B312" s="1" t="s">
        <v>2421</v>
      </c>
      <c r="C312" s="1" t="s">
        <v>2403</v>
      </c>
      <c r="D312" s="5" t="s">
        <v>2012</v>
      </c>
      <c r="E312" s="1" t="s">
        <v>2422</v>
      </c>
      <c r="F312" s="5">
        <v>2000</v>
      </c>
      <c r="G312" s="1" t="s">
        <v>4970</v>
      </c>
      <c r="H312" s="234">
        <v>1.6</v>
      </c>
      <c r="I312" s="236">
        <f t="shared" si="19"/>
        <v>3200</v>
      </c>
      <c r="J312" s="351">
        <v>1.55</v>
      </c>
      <c r="K312" s="241">
        <f>1.55*2000</f>
        <v>3100</v>
      </c>
      <c r="L312" s="237">
        <v>41085</v>
      </c>
      <c r="M312" s="1" t="s">
        <v>2424</v>
      </c>
      <c r="N312" s="235">
        <f t="shared" si="16"/>
        <v>3200</v>
      </c>
      <c r="O312" s="235">
        <f t="shared" si="17"/>
        <v>0</v>
      </c>
      <c r="P312" s="238" t="s">
        <v>2425</v>
      </c>
      <c r="Q312" s="1" t="s">
        <v>2426</v>
      </c>
      <c r="R312" s="239" t="s">
        <v>2427</v>
      </c>
      <c r="S312" s="238" t="s">
        <v>716</v>
      </c>
      <c r="T312" s="238" t="s">
        <v>2428</v>
      </c>
      <c r="U312" s="238" t="s">
        <v>2429</v>
      </c>
      <c r="V312" s="238" t="s">
        <v>2430</v>
      </c>
      <c r="Y312" s="239"/>
      <c r="Z312" s="239"/>
      <c r="AB312" s="1" t="s">
        <v>2401</v>
      </c>
    </row>
    <row r="313" spans="1:28" ht="11.25" customHeight="1">
      <c r="A313" s="233">
        <v>41086</v>
      </c>
      <c r="B313" s="1" t="s">
        <v>2431</v>
      </c>
      <c r="C313" s="1" t="s">
        <v>2403</v>
      </c>
      <c r="D313" s="1" t="s">
        <v>2432</v>
      </c>
      <c r="E313" s="1" t="s">
        <v>2433</v>
      </c>
      <c r="F313" s="1">
        <v>4</v>
      </c>
      <c r="G313" s="1" t="s">
        <v>229</v>
      </c>
      <c r="H313" s="234">
        <v>30</v>
      </c>
      <c r="I313" s="236">
        <f t="shared" si="19"/>
        <v>120</v>
      </c>
      <c r="J313" s="351">
        <v>19</v>
      </c>
      <c r="K313" s="241">
        <f>19*4</f>
        <v>76</v>
      </c>
      <c r="L313" s="237">
        <v>41085</v>
      </c>
      <c r="M313" s="1" t="s">
        <v>2434</v>
      </c>
      <c r="N313" s="235">
        <f t="shared" si="16"/>
        <v>120</v>
      </c>
      <c r="O313" s="235">
        <f t="shared" si="17"/>
        <v>0</v>
      </c>
      <c r="P313" s="238" t="s">
        <v>2435</v>
      </c>
      <c r="Q313" s="1" t="s">
        <v>2419</v>
      </c>
      <c r="R313" s="239" t="s">
        <v>2436</v>
      </c>
      <c r="S313" s="238" t="s">
        <v>2437</v>
      </c>
      <c r="T313" s="238" t="s">
        <v>2438</v>
      </c>
      <c r="U313" s="238" t="s">
        <v>2439</v>
      </c>
      <c r="V313" s="238" t="s">
        <v>2430</v>
      </c>
      <c r="Y313" s="239"/>
      <c r="Z313" s="239"/>
      <c r="AB313" s="1" t="s">
        <v>2416</v>
      </c>
    </row>
    <row r="314" spans="1:28" ht="11.25" customHeight="1">
      <c r="A314" s="233">
        <v>41086</v>
      </c>
      <c r="B314" s="1" t="s">
        <v>2431</v>
      </c>
      <c r="C314" s="1" t="s">
        <v>2403</v>
      </c>
      <c r="D314" s="1" t="s">
        <v>232</v>
      </c>
      <c r="E314" s="1" t="s">
        <v>2409</v>
      </c>
      <c r="F314" s="1">
        <v>4</v>
      </c>
      <c r="G314" s="1" t="s">
        <v>231</v>
      </c>
      <c r="H314" s="234">
        <v>7.5</v>
      </c>
      <c r="I314" s="236">
        <f t="shared" si="19"/>
        <v>30</v>
      </c>
      <c r="J314" s="351">
        <v>5.0999999999999996</v>
      </c>
      <c r="K314" s="241">
        <f>5.1*4</f>
        <v>20.399999999999999</v>
      </c>
      <c r="L314" s="237">
        <v>41085</v>
      </c>
      <c r="M314" s="1" t="s">
        <v>2434</v>
      </c>
      <c r="N314" s="235">
        <f t="shared" si="16"/>
        <v>30</v>
      </c>
      <c r="O314" s="235">
        <f t="shared" si="17"/>
        <v>0</v>
      </c>
      <c r="P314" s="238" t="s">
        <v>2435</v>
      </c>
      <c r="Q314" s="1" t="s">
        <v>2419</v>
      </c>
      <c r="R314" s="239" t="s">
        <v>2436</v>
      </c>
      <c r="S314" s="238" t="s">
        <v>2437</v>
      </c>
      <c r="T314" s="238" t="s">
        <v>2438</v>
      </c>
      <c r="U314" s="238" t="s">
        <v>2439</v>
      </c>
      <c r="V314" s="238" t="s">
        <v>2430</v>
      </c>
      <c r="Y314" s="239"/>
      <c r="Z314" s="239"/>
      <c r="AB314" s="1" t="s">
        <v>2416</v>
      </c>
    </row>
    <row r="315" spans="1:28" ht="11.25" customHeight="1">
      <c r="A315" s="233">
        <v>41086</v>
      </c>
      <c r="B315" s="1" t="s">
        <v>2431</v>
      </c>
      <c r="C315" s="1" t="s">
        <v>2403</v>
      </c>
      <c r="D315" s="1" t="s">
        <v>2410</v>
      </c>
      <c r="E315" s="1">
        <v>501</v>
      </c>
      <c r="F315" s="1">
        <v>2</v>
      </c>
      <c r="G315" s="1" t="s">
        <v>2406</v>
      </c>
      <c r="H315" s="234">
        <v>1.9</v>
      </c>
      <c r="I315" s="236">
        <f t="shared" si="19"/>
        <v>3.8</v>
      </c>
      <c r="J315" s="351">
        <v>1.4</v>
      </c>
      <c r="K315" s="241">
        <f>1.4*2</f>
        <v>2.8</v>
      </c>
      <c r="L315" s="237">
        <v>41085</v>
      </c>
      <c r="M315" s="1" t="s">
        <v>2434</v>
      </c>
      <c r="N315" s="235">
        <f t="shared" si="16"/>
        <v>3.8</v>
      </c>
      <c r="O315" s="235">
        <f t="shared" si="17"/>
        <v>0</v>
      </c>
      <c r="P315" s="238" t="s">
        <v>2435</v>
      </c>
      <c r="Q315" s="1" t="s">
        <v>2419</v>
      </c>
      <c r="R315" s="239" t="s">
        <v>2436</v>
      </c>
      <c r="S315" s="238" t="s">
        <v>2437</v>
      </c>
      <c r="T315" s="238" t="s">
        <v>2438</v>
      </c>
      <c r="U315" s="238" t="s">
        <v>2439</v>
      </c>
      <c r="V315" s="238" t="s">
        <v>2430</v>
      </c>
      <c r="Y315" s="239"/>
      <c r="Z315" s="239"/>
      <c r="AB315" s="1" t="s">
        <v>2416</v>
      </c>
    </row>
    <row r="316" spans="1:28" ht="11.25" customHeight="1">
      <c r="A316" s="233">
        <v>41086</v>
      </c>
      <c r="B316" s="1" t="s">
        <v>2431</v>
      </c>
      <c r="C316" s="1" t="s">
        <v>2403</v>
      </c>
      <c r="D316" s="1" t="s">
        <v>240</v>
      </c>
      <c r="E316" s="1">
        <v>6200</v>
      </c>
      <c r="F316" s="1">
        <v>1</v>
      </c>
      <c r="G316" s="1" t="s">
        <v>229</v>
      </c>
      <c r="H316" s="234">
        <v>66.2</v>
      </c>
      <c r="I316" s="236">
        <f t="shared" si="19"/>
        <v>66.2</v>
      </c>
      <c r="J316" s="351">
        <v>45.8</v>
      </c>
      <c r="K316" s="241" t="e">
        <f>#REF!*F316</f>
        <v>#REF!</v>
      </c>
      <c r="L316" s="237">
        <v>41085</v>
      </c>
      <c r="M316" s="1" t="s">
        <v>2434</v>
      </c>
      <c r="N316" s="235">
        <f t="shared" si="16"/>
        <v>66.2</v>
      </c>
      <c r="O316" s="235">
        <f t="shared" si="17"/>
        <v>0</v>
      </c>
      <c r="P316" s="238" t="s">
        <v>2435</v>
      </c>
      <c r="Q316" s="1" t="s">
        <v>1257</v>
      </c>
      <c r="R316" s="239" t="s">
        <v>2436</v>
      </c>
      <c r="S316" s="238" t="s">
        <v>2437</v>
      </c>
      <c r="T316" s="238" t="s">
        <v>2438</v>
      </c>
      <c r="U316" s="238" t="s">
        <v>2439</v>
      </c>
      <c r="V316" s="238" t="s">
        <v>2430</v>
      </c>
      <c r="Y316" s="239"/>
      <c r="Z316" s="239"/>
      <c r="AB316" s="1" t="s">
        <v>2416</v>
      </c>
    </row>
    <row r="317" spans="1:28" ht="11.25" customHeight="1">
      <c r="A317" s="233">
        <v>41086</v>
      </c>
      <c r="B317" s="1" t="s">
        <v>2440</v>
      </c>
      <c r="C317" s="1" t="s">
        <v>2403</v>
      </c>
      <c r="D317" s="5" t="s">
        <v>2012</v>
      </c>
      <c r="E317" s="1" t="s">
        <v>2422</v>
      </c>
      <c r="F317" s="5">
        <v>200</v>
      </c>
      <c r="G317" s="1" t="s">
        <v>4970</v>
      </c>
      <c r="H317" s="234">
        <v>2.4</v>
      </c>
      <c r="I317" s="236">
        <f t="shared" si="19"/>
        <v>480</v>
      </c>
      <c r="J317" s="351">
        <v>1.58</v>
      </c>
      <c r="K317" s="241">
        <f>1.58*200</f>
        <v>316</v>
      </c>
      <c r="L317" s="237">
        <v>41086</v>
      </c>
      <c r="M317" s="1" t="s">
        <v>2407</v>
      </c>
      <c r="N317" s="235">
        <f t="shared" si="16"/>
        <v>480</v>
      </c>
      <c r="O317" s="235">
        <f t="shared" si="17"/>
        <v>0</v>
      </c>
      <c r="P317" s="238" t="s">
        <v>2441</v>
      </c>
      <c r="Q317" s="1" t="s">
        <v>2442</v>
      </c>
      <c r="R317" s="239" t="s">
        <v>2443</v>
      </c>
      <c r="S317" s="238" t="s">
        <v>2444</v>
      </c>
      <c r="T317" s="238" t="s">
        <v>2445</v>
      </c>
      <c r="V317" s="238" t="s">
        <v>2446</v>
      </c>
      <c r="W317" s="236">
        <v>1302</v>
      </c>
      <c r="X317" s="233">
        <v>41129</v>
      </c>
      <c r="Y317" s="242">
        <v>568105803534</v>
      </c>
      <c r="Z317" s="239"/>
      <c r="AB317" s="1" t="s">
        <v>2416</v>
      </c>
    </row>
    <row r="318" spans="1:28" ht="11.25" customHeight="1">
      <c r="A318" s="233">
        <v>41086</v>
      </c>
      <c r="B318" s="1" t="s">
        <v>2440</v>
      </c>
      <c r="C318" s="1" t="s">
        <v>2403</v>
      </c>
      <c r="D318" s="1" t="s">
        <v>240</v>
      </c>
      <c r="E318" s="1">
        <v>6200</v>
      </c>
      <c r="F318" s="1">
        <v>3</v>
      </c>
      <c r="G318" s="1" t="s">
        <v>229</v>
      </c>
      <c r="H318" s="234">
        <v>70</v>
      </c>
      <c r="I318" s="236">
        <f t="shared" si="19"/>
        <v>210</v>
      </c>
      <c r="J318" s="354">
        <v>45.8</v>
      </c>
      <c r="K318" s="241" t="e">
        <f>#REF!*F318</f>
        <v>#REF!</v>
      </c>
      <c r="L318" s="237">
        <v>41086</v>
      </c>
      <c r="M318" s="1" t="s">
        <v>2407</v>
      </c>
      <c r="N318" s="235">
        <f t="shared" si="16"/>
        <v>210</v>
      </c>
      <c r="O318" s="235">
        <f t="shared" si="17"/>
        <v>0</v>
      </c>
      <c r="P318" s="238" t="s">
        <v>2441</v>
      </c>
      <c r="Q318" s="1" t="s">
        <v>2442</v>
      </c>
      <c r="R318" s="239" t="s">
        <v>2443</v>
      </c>
      <c r="S318" s="238" t="s">
        <v>2444</v>
      </c>
      <c r="T318" s="238" t="s">
        <v>2445</v>
      </c>
      <c r="V318" s="238" t="s">
        <v>2446</v>
      </c>
      <c r="W318" s="236">
        <v>1302</v>
      </c>
      <c r="X318" s="233">
        <v>41129</v>
      </c>
      <c r="Y318" s="242">
        <v>568105803534</v>
      </c>
      <c r="Z318" s="239"/>
      <c r="AB318" s="1" t="s">
        <v>2416</v>
      </c>
    </row>
    <row r="319" spans="1:28" ht="11.25" customHeight="1">
      <c r="A319" s="233">
        <v>41086</v>
      </c>
      <c r="B319" s="1" t="s">
        <v>2440</v>
      </c>
      <c r="C319" s="1" t="s">
        <v>2403</v>
      </c>
      <c r="D319" s="1" t="s">
        <v>2432</v>
      </c>
      <c r="E319" s="1" t="s">
        <v>2433</v>
      </c>
      <c r="F319" s="1">
        <v>12</v>
      </c>
      <c r="G319" s="1" t="s">
        <v>229</v>
      </c>
      <c r="H319" s="234">
        <v>30</v>
      </c>
      <c r="I319" s="236">
        <f t="shared" si="19"/>
        <v>360</v>
      </c>
      <c r="J319" s="351">
        <v>18.37</v>
      </c>
      <c r="K319" s="241">
        <f>18.37*12</f>
        <v>220.44</v>
      </c>
      <c r="L319" s="237">
        <v>41086</v>
      </c>
      <c r="M319" s="1" t="s">
        <v>2407</v>
      </c>
      <c r="N319" s="235">
        <f t="shared" si="16"/>
        <v>360</v>
      </c>
      <c r="O319" s="235">
        <f t="shared" si="17"/>
        <v>0</v>
      </c>
      <c r="P319" s="238" t="s">
        <v>2441</v>
      </c>
      <c r="Q319" s="1" t="s">
        <v>2442</v>
      </c>
      <c r="R319" s="239" t="s">
        <v>2443</v>
      </c>
      <c r="S319" s="238" t="s">
        <v>2444</v>
      </c>
      <c r="T319" s="238" t="s">
        <v>2445</v>
      </c>
      <c r="V319" s="238" t="s">
        <v>2446</v>
      </c>
      <c r="W319" s="236">
        <v>1302</v>
      </c>
      <c r="X319" s="233">
        <v>41129</v>
      </c>
      <c r="Y319" s="242">
        <v>568105803534</v>
      </c>
      <c r="Z319" s="239"/>
      <c r="AB319" s="1" t="s">
        <v>2416</v>
      </c>
    </row>
    <row r="320" spans="1:28" ht="11.25" customHeight="1">
      <c r="A320" s="233">
        <v>41086</v>
      </c>
      <c r="B320" s="1" t="s">
        <v>2440</v>
      </c>
      <c r="C320" s="1" t="s">
        <v>2403</v>
      </c>
      <c r="D320" s="1" t="s">
        <v>232</v>
      </c>
      <c r="E320" s="1" t="s">
        <v>2409</v>
      </c>
      <c r="F320" s="1">
        <v>30</v>
      </c>
      <c r="G320" s="1" t="s">
        <v>231</v>
      </c>
      <c r="H320" s="234">
        <v>8</v>
      </c>
      <c r="I320" s="236">
        <f t="shared" si="19"/>
        <v>240</v>
      </c>
      <c r="J320" s="351">
        <v>5.0999999999999996</v>
      </c>
      <c r="K320" s="241">
        <f>5.1*30</f>
        <v>153</v>
      </c>
      <c r="L320" s="237">
        <v>41086</v>
      </c>
      <c r="M320" s="1" t="s">
        <v>2407</v>
      </c>
      <c r="N320" s="235">
        <f t="shared" si="16"/>
        <v>240</v>
      </c>
      <c r="O320" s="235">
        <f t="shared" si="17"/>
        <v>0</v>
      </c>
      <c r="P320" s="238" t="s">
        <v>2441</v>
      </c>
      <c r="Q320" s="1" t="s">
        <v>2442</v>
      </c>
      <c r="R320" s="239" t="s">
        <v>2443</v>
      </c>
      <c r="S320" s="238" t="s">
        <v>2444</v>
      </c>
      <c r="T320" s="238" t="s">
        <v>2445</v>
      </c>
      <c r="V320" s="238" t="s">
        <v>2446</v>
      </c>
      <c r="W320" s="236">
        <v>1302</v>
      </c>
      <c r="X320" s="233">
        <v>41129</v>
      </c>
      <c r="Y320" s="242">
        <v>568105803534</v>
      </c>
      <c r="Z320" s="239"/>
      <c r="AB320" s="1" t="s">
        <v>2416</v>
      </c>
    </row>
    <row r="321" spans="1:28" ht="11.25" customHeight="1">
      <c r="A321" s="233">
        <v>41086</v>
      </c>
      <c r="B321" s="1" t="s">
        <v>2440</v>
      </c>
      <c r="C321" s="1" t="s">
        <v>2403</v>
      </c>
      <c r="D321" s="1" t="s">
        <v>2410</v>
      </c>
      <c r="E321" s="1">
        <v>501</v>
      </c>
      <c r="F321" s="1">
        <v>6</v>
      </c>
      <c r="G321" s="1" t="s">
        <v>2406</v>
      </c>
      <c r="H321" s="234">
        <v>2</v>
      </c>
      <c r="I321" s="236">
        <f t="shared" si="19"/>
        <v>12</v>
      </c>
      <c r="J321" s="351">
        <v>1.4</v>
      </c>
      <c r="K321" s="241">
        <f>1.4*6</f>
        <v>8.3999999999999986</v>
      </c>
      <c r="L321" s="237">
        <v>41086</v>
      </c>
      <c r="M321" s="1" t="s">
        <v>2407</v>
      </c>
      <c r="N321" s="235">
        <f t="shared" si="16"/>
        <v>12</v>
      </c>
      <c r="O321" s="235">
        <f t="shared" si="17"/>
        <v>0</v>
      </c>
      <c r="P321" s="238" t="s">
        <v>2441</v>
      </c>
      <c r="Q321" s="1" t="s">
        <v>2442</v>
      </c>
      <c r="R321" s="239" t="s">
        <v>2443</v>
      </c>
      <c r="S321" s="238" t="s">
        <v>2444</v>
      </c>
      <c r="T321" s="238" t="s">
        <v>2445</v>
      </c>
      <c r="V321" s="238" t="s">
        <v>2446</v>
      </c>
      <c r="W321" s="236">
        <v>1302</v>
      </c>
      <c r="X321" s="233">
        <v>41129</v>
      </c>
      <c r="Y321" s="242">
        <v>568105803534</v>
      </c>
      <c r="Z321" s="239"/>
      <c r="AB321" s="1" t="s">
        <v>2416</v>
      </c>
    </row>
    <row r="322" spans="1:28" ht="11.25" customHeight="1">
      <c r="A322" s="233">
        <v>41086</v>
      </c>
      <c r="B322" s="1" t="s">
        <v>2447</v>
      </c>
      <c r="C322" s="1" t="s">
        <v>2403</v>
      </c>
      <c r="D322" s="1" t="s">
        <v>240</v>
      </c>
      <c r="E322" s="1">
        <v>6200</v>
      </c>
      <c r="F322" s="1">
        <v>40</v>
      </c>
      <c r="G322" s="1" t="s">
        <v>229</v>
      </c>
      <c r="H322" s="234">
        <v>79.400000000000006</v>
      </c>
      <c r="I322" s="236">
        <f t="shared" si="19"/>
        <v>3176</v>
      </c>
      <c r="J322" s="354">
        <v>45.8</v>
      </c>
      <c r="K322" s="241">
        <f>45.8*F322</f>
        <v>1832</v>
      </c>
      <c r="L322" s="237">
        <v>41222</v>
      </c>
      <c r="M322" s="1" t="s">
        <v>2448</v>
      </c>
      <c r="N322" s="235">
        <f t="shared" si="16"/>
        <v>3176</v>
      </c>
      <c r="O322" s="235">
        <f t="shared" si="17"/>
        <v>0</v>
      </c>
      <c r="P322" s="238" t="s">
        <v>4886</v>
      </c>
      <c r="Q322" s="1" t="s">
        <v>2449</v>
      </c>
      <c r="R322" s="239" t="s">
        <v>2450</v>
      </c>
      <c r="S322" s="238" t="s">
        <v>865</v>
      </c>
      <c r="T322" s="238" t="s">
        <v>2451</v>
      </c>
      <c r="U322" s="238" t="s">
        <v>2452</v>
      </c>
      <c r="V322" s="238" t="s">
        <v>2453</v>
      </c>
      <c r="W322" s="236">
        <v>9200</v>
      </c>
      <c r="X322" s="233">
        <v>41149</v>
      </c>
      <c r="Y322" s="238" t="s">
        <v>2454</v>
      </c>
      <c r="Z322" s="239"/>
      <c r="AA322" s="240" t="s">
        <v>591</v>
      </c>
      <c r="AB322" s="1" t="s">
        <v>2416</v>
      </c>
    </row>
    <row r="323" spans="1:28" ht="11.25" customHeight="1">
      <c r="A323" s="233">
        <v>41086</v>
      </c>
      <c r="B323" s="1" t="s">
        <v>2447</v>
      </c>
      <c r="C323" s="1" t="s">
        <v>2403</v>
      </c>
      <c r="D323" s="1" t="s">
        <v>2432</v>
      </c>
      <c r="E323" s="1" t="s">
        <v>2433</v>
      </c>
      <c r="F323" s="1">
        <v>160</v>
      </c>
      <c r="G323" s="1" t="s">
        <v>229</v>
      </c>
      <c r="H323" s="234">
        <v>28.6</v>
      </c>
      <c r="I323" s="236">
        <f t="shared" si="19"/>
        <v>4576</v>
      </c>
      <c r="J323" s="351">
        <v>18.37</v>
      </c>
      <c r="K323" s="241">
        <f>18.37*160</f>
        <v>2939.2000000000003</v>
      </c>
      <c r="L323" s="237">
        <v>41222</v>
      </c>
      <c r="M323" s="1" t="s">
        <v>2448</v>
      </c>
      <c r="N323" s="235">
        <f t="shared" ref="N323:N386" si="20">I323</f>
        <v>4576</v>
      </c>
      <c r="O323" s="235">
        <f t="shared" ref="O323:O386" si="21">I323-N323</f>
        <v>0</v>
      </c>
      <c r="P323" s="238" t="s">
        <v>4886</v>
      </c>
      <c r="Q323" s="1" t="s">
        <v>2449</v>
      </c>
      <c r="R323" s="239" t="s">
        <v>2450</v>
      </c>
      <c r="S323" s="238" t="s">
        <v>865</v>
      </c>
      <c r="T323" s="238" t="s">
        <v>797</v>
      </c>
      <c r="U323" s="238" t="s">
        <v>2452</v>
      </c>
      <c r="V323" s="238" t="s">
        <v>2453</v>
      </c>
      <c r="W323" s="236">
        <v>9200</v>
      </c>
      <c r="X323" s="233">
        <v>41149</v>
      </c>
      <c r="Y323" s="238" t="s">
        <v>2454</v>
      </c>
      <c r="Z323" s="239"/>
      <c r="AA323" s="240" t="s">
        <v>591</v>
      </c>
      <c r="AB323" s="1" t="s">
        <v>2416</v>
      </c>
    </row>
    <row r="324" spans="1:28" ht="11.25" customHeight="1">
      <c r="A324" s="233">
        <v>41086</v>
      </c>
      <c r="B324" s="1" t="s">
        <v>2447</v>
      </c>
      <c r="C324" s="1" t="s">
        <v>2403</v>
      </c>
      <c r="D324" s="1" t="s">
        <v>232</v>
      </c>
      <c r="E324" s="1" t="s">
        <v>2409</v>
      </c>
      <c r="F324" s="1">
        <v>160</v>
      </c>
      <c r="G324" s="1" t="s">
        <v>231</v>
      </c>
      <c r="H324" s="234">
        <v>7.99</v>
      </c>
      <c r="I324" s="236">
        <f t="shared" si="19"/>
        <v>1278.4000000000001</v>
      </c>
      <c r="J324" s="351">
        <v>5.0999999999999996</v>
      </c>
      <c r="K324" s="241">
        <f>5.1*160</f>
        <v>816</v>
      </c>
      <c r="L324" s="237">
        <v>41222</v>
      </c>
      <c r="M324" s="1" t="s">
        <v>2448</v>
      </c>
      <c r="N324" s="235">
        <f t="shared" si="20"/>
        <v>1278.4000000000001</v>
      </c>
      <c r="O324" s="235">
        <f t="shared" si="21"/>
        <v>0</v>
      </c>
      <c r="P324" s="238" t="s">
        <v>4886</v>
      </c>
      <c r="Q324" s="1" t="s">
        <v>2449</v>
      </c>
      <c r="R324" s="239" t="s">
        <v>2450</v>
      </c>
      <c r="S324" s="238" t="s">
        <v>865</v>
      </c>
      <c r="T324" s="238" t="s">
        <v>797</v>
      </c>
      <c r="U324" s="238" t="s">
        <v>2452</v>
      </c>
      <c r="V324" s="238" t="s">
        <v>2453</v>
      </c>
      <c r="W324" s="236">
        <v>9200</v>
      </c>
      <c r="X324" s="233">
        <v>41149</v>
      </c>
      <c r="Y324" s="238" t="s">
        <v>2454</v>
      </c>
      <c r="Z324" s="239"/>
      <c r="AA324" s="240" t="s">
        <v>591</v>
      </c>
      <c r="AB324" s="1" t="s">
        <v>2416</v>
      </c>
    </row>
    <row r="325" spans="1:28" ht="11.25" customHeight="1">
      <c r="A325" s="233">
        <v>41086</v>
      </c>
      <c r="B325" s="1" t="s">
        <v>2447</v>
      </c>
      <c r="C325" s="1" t="s">
        <v>2403</v>
      </c>
      <c r="D325" s="1" t="s">
        <v>2410</v>
      </c>
      <c r="E325" s="1">
        <v>501</v>
      </c>
      <c r="F325" s="1">
        <v>80</v>
      </c>
      <c r="G325" s="1" t="s">
        <v>2406</v>
      </c>
      <c r="H325" s="234">
        <v>2.12</v>
      </c>
      <c r="I325" s="236">
        <f t="shared" si="19"/>
        <v>169.60000000000002</v>
      </c>
      <c r="J325" s="351">
        <v>1.4</v>
      </c>
      <c r="K325" s="241">
        <f>1.4*80</f>
        <v>112</v>
      </c>
      <c r="L325" s="237">
        <v>41222</v>
      </c>
      <c r="M325" s="1" t="s">
        <v>2448</v>
      </c>
      <c r="N325" s="235">
        <f t="shared" si="20"/>
        <v>169.60000000000002</v>
      </c>
      <c r="O325" s="235">
        <f t="shared" si="21"/>
        <v>0</v>
      </c>
      <c r="P325" s="238" t="s">
        <v>4886</v>
      </c>
      <c r="Q325" s="1" t="s">
        <v>2449</v>
      </c>
      <c r="R325" s="239" t="s">
        <v>2450</v>
      </c>
      <c r="S325" s="238" t="s">
        <v>865</v>
      </c>
      <c r="T325" s="238" t="s">
        <v>797</v>
      </c>
      <c r="U325" s="238" t="s">
        <v>2452</v>
      </c>
      <c r="V325" s="238" t="s">
        <v>2453</v>
      </c>
      <c r="W325" s="236">
        <v>9200</v>
      </c>
      <c r="X325" s="233">
        <v>41149</v>
      </c>
      <c r="Y325" s="238" t="s">
        <v>2454</v>
      </c>
      <c r="Z325" s="239"/>
      <c r="AA325" s="240" t="s">
        <v>591</v>
      </c>
      <c r="AB325" s="1" t="s">
        <v>2416</v>
      </c>
    </row>
    <row r="326" spans="1:28" ht="11.25" customHeight="1">
      <c r="A326" s="233">
        <v>41087</v>
      </c>
      <c r="B326" s="1" t="s">
        <v>2455</v>
      </c>
      <c r="C326" s="1" t="s">
        <v>2403</v>
      </c>
      <c r="D326" s="1" t="s">
        <v>2456</v>
      </c>
      <c r="E326" s="1">
        <v>4680</v>
      </c>
      <c r="F326" s="1">
        <v>2</v>
      </c>
      <c r="G326" s="1" t="s">
        <v>2457</v>
      </c>
      <c r="H326" s="234">
        <v>100</v>
      </c>
      <c r="I326" s="256">
        <f t="shared" si="19"/>
        <v>200</v>
      </c>
      <c r="J326" s="356"/>
      <c r="K326" s="241">
        <v>192</v>
      </c>
      <c r="L326" s="237">
        <v>41080</v>
      </c>
      <c r="M326" s="1" t="s">
        <v>2448</v>
      </c>
      <c r="N326" s="235">
        <f t="shared" si="20"/>
        <v>200</v>
      </c>
      <c r="O326" s="235">
        <f t="shared" si="21"/>
        <v>0</v>
      </c>
      <c r="P326" s="238" t="s">
        <v>2458</v>
      </c>
      <c r="Q326" s="1" t="s">
        <v>2419</v>
      </c>
      <c r="R326" s="239" t="s">
        <v>727</v>
      </c>
      <c r="S326" s="238" t="s">
        <v>728</v>
      </c>
      <c r="T326" s="238" t="s">
        <v>796</v>
      </c>
      <c r="U326" s="238" t="s">
        <v>2459</v>
      </c>
      <c r="V326" s="238" t="s">
        <v>2460</v>
      </c>
      <c r="W326" s="236">
        <v>926.5</v>
      </c>
      <c r="X326" s="233">
        <v>41113</v>
      </c>
      <c r="Y326" s="255">
        <v>468490602772</v>
      </c>
      <c r="AB326" s="1" t="s">
        <v>2401</v>
      </c>
    </row>
    <row r="327" spans="1:28" ht="11.25" customHeight="1">
      <c r="A327" s="233">
        <v>41087</v>
      </c>
      <c r="B327" s="1" t="s">
        <v>2455</v>
      </c>
      <c r="C327" s="1" t="s">
        <v>2403</v>
      </c>
      <c r="D327" s="1" t="s">
        <v>2461</v>
      </c>
      <c r="E327" s="1">
        <v>4680</v>
      </c>
      <c r="F327" s="1">
        <v>2</v>
      </c>
      <c r="G327" s="1" t="s">
        <v>2457</v>
      </c>
      <c r="H327" s="234">
        <v>87.75</v>
      </c>
      <c r="I327" s="236">
        <f t="shared" si="19"/>
        <v>175.5</v>
      </c>
      <c r="J327" s="351"/>
      <c r="K327" s="241">
        <v>156.78</v>
      </c>
      <c r="L327" s="237">
        <v>41080</v>
      </c>
      <c r="M327" s="1" t="s">
        <v>2448</v>
      </c>
      <c r="N327" s="235">
        <f t="shared" si="20"/>
        <v>175.5</v>
      </c>
      <c r="O327" s="235">
        <f t="shared" si="21"/>
        <v>0</v>
      </c>
      <c r="P327" s="238" t="s">
        <v>2458</v>
      </c>
      <c r="Q327" s="1" t="s">
        <v>2419</v>
      </c>
      <c r="R327" s="239" t="s">
        <v>727</v>
      </c>
      <c r="S327" s="238" t="s">
        <v>728</v>
      </c>
      <c r="T327" s="238" t="s">
        <v>796</v>
      </c>
      <c r="U327" s="238" t="s">
        <v>2459</v>
      </c>
      <c r="V327" s="238" t="s">
        <v>2460</v>
      </c>
      <c r="W327" s="236">
        <v>926.5</v>
      </c>
      <c r="X327" s="233">
        <v>41113</v>
      </c>
      <c r="Y327" s="255">
        <v>468490602772</v>
      </c>
      <c r="AB327" s="1" t="s">
        <v>2401</v>
      </c>
    </row>
    <row r="328" spans="1:28" ht="11.25" customHeight="1">
      <c r="A328" s="233">
        <v>41087</v>
      </c>
      <c r="B328" s="1" t="s">
        <v>2455</v>
      </c>
      <c r="C328" s="1" t="s">
        <v>2403</v>
      </c>
      <c r="D328" s="1" t="s">
        <v>2462</v>
      </c>
      <c r="E328" s="1">
        <v>4680</v>
      </c>
      <c r="F328" s="1">
        <v>2</v>
      </c>
      <c r="G328" s="1" t="s">
        <v>2457</v>
      </c>
      <c r="H328" s="234">
        <v>100</v>
      </c>
      <c r="I328" s="236">
        <f t="shared" si="19"/>
        <v>200</v>
      </c>
      <c r="J328" s="351"/>
      <c r="K328" s="241">
        <v>156.78</v>
      </c>
      <c r="L328" s="237">
        <v>41085</v>
      </c>
      <c r="M328" s="1" t="s">
        <v>2448</v>
      </c>
      <c r="N328" s="235">
        <f t="shared" si="20"/>
        <v>200</v>
      </c>
      <c r="O328" s="235">
        <f t="shared" si="21"/>
        <v>0</v>
      </c>
      <c r="P328" s="238" t="s">
        <v>2458</v>
      </c>
      <c r="Q328" s="1" t="s">
        <v>2419</v>
      </c>
      <c r="R328" s="239" t="s">
        <v>727</v>
      </c>
      <c r="S328" s="238" t="s">
        <v>728</v>
      </c>
      <c r="T328" s="238" t="s">
        <v>796</v>
      </c>
      <c r="U328" s="238" t="s">
        <v>2459</v>
      </c>
      <c r="V328" s="238" t="s">
        <v>2460</v>
      </c>
      <c r="W328" s="236">
        <v>926.5</v>
      </c>
      <c r="X328" s="233">
        <v>41113</v>
      </c>
      <c r="Y328" s="255">
        <v>468490602772</v>
      </c>
      <c r="AB328" s="1" t="s">
        <v>2401</v>
      </c>
    </row>
    <row r="329" spans="1:28" ht="11.25" customHeight="1">
      <c r="A329" s="233">
        <v>41089</v>
      </c>
      <c r="B329" s="1" t="s">
        <v>2463</v>
      </c>
      <c r="C329" s="1" t="s">
        <v>2403</v>
      </c>
      <c r="D329" s="1" t="s">
        <v>2464</v>
      </c>
      <c r="E329" s="1">
        <v>8247</v>
      </c>
      <c r="F329" s="1">
        <v>120</v>
      </c>
      <c r="G329" s="1" t="s">
        <v>6152</v>
      </c>
      <c r="H329" s="234">
        <v>13.1</v>
      </c>
      <c r="I329" s="236">
        <f t="shared" si="19"/>
        <v>1572</v>
      </c>
      <c r="J329" s="351"/>
      <c r="K329" s="241">
        <f>12.7*F329</f>
        <v>1524</v>
      </c>
      <c r="L329" s="237">
        <v>41089</v>
      </c>
      <c r="M329" s="1" t="s">
        <v>2434</v>
      </c>
      <c r="N329" s="235">
        <f t="shared" si="20"/>
        <v>1572</v>
      </c>
      <c r="O329" s="235">
        <f t="shared" si="21"/>
        <v>0</v>
      </c>
      <c r="P329" s="238" t="s">
        <v>2465</v>
      </c>
      <c r="Q329" s="1" t="s">
        <v>2466</v>
      </c>
      <c r="R329" s="239" t="s">
        <v>2467</v>
      </c>
      <c r="S329" s="238" t="s">
        <v>733</v>
      </c>
      <c r="T329" s="238" t="s">
        <v>734</v>
      </c>
      <c r="U329" s="238" t="s">
        <v>2468</v>
      </c>
      <c r="V329" s="238" t="s">
        <v>2430</v>
      </c>
      <c r="Y329" s="239"/>
      <c r="Z329" s="239"/>
      <c r="AB329" s="1" t="s">
        <v>2401</v>
      </c>
    </row>
    <row r="330" spans="1:28" ht="11.25" customHeight="1">
      <c r="A330" s="233">
        <v>41090</v>
      </c>
      <c r="B330" s="1" t="s">
        <v>2469</v>
      </c>
      <c r="C330" s="1" t="s">
        <v>2403</v>
      </c>
      <c r="D330" s="5" t="s">
        <v>2012</v>
      </c>
      <c r="E330" s="1" t="s">
        <v>2422</v>
      </c>
      <c r="F330" s="5">
        <v>500</v>
      </c>
      <c r="G330" s="1" t="s">
        <v>4970</v>
      </c>
      <c r="H330" s="234">
        <v>1.59</v>
      </c>
      <c r="I330" s="236">
        <f t="shared" si="19"/>
        <v>795</v>
      </c>
      <c r="J330" s="351">
        <v>1.49</v>
      </c>
      <c r="K330" s="241">
        <f>1.49*F330</f>
        <v>745</v>
      </c>
      <c r="L330" s="237">
        <v>41163</v>
      </c>
      <c r="M330" s="1" t="s">
        <v>2424</v>
      </c>
      <c r="N330" s="235">
        <f t="shared" si="20"/>
        <v>795</v>
      </c>
      <c r="O330" s="235">
        <f t="shared" si="21"/>
        <v>0</v>
      </c>
      <c r="P330" s="238" t="s">
        <v>4886</v>
      </c>
      <c r="Q330" s="1" t="s">
        <v>2419</v>
      </c>
      <c r="R330" s="239" t="s">
        <v>2470</v>
      </c>
      <c r="S330" s="238" t="s">
        <v>2471</v>
      </c>
      <c r="T330" s="238" t="s">
        <v>773</v>
      </c>
      <c r="U330" s="238" t="s">
        <v>2472</v>
      </c>
      <c r="V330" s="238" t="s">
        <v>2430</v>
      </c>
      <c r="Y330" s="239"/>
      <c r="Z330" s="239"/>
      <c r="AA330" s="240" t="s">
        <v>2473</v>
      </c>
      <c r="AB330" s="1" t="s">
        <v>2401</v>
      </c>
    </row>
    <row r="331" spans="1:28" ht="11.25" customHeight="1">
      <c r="A331" s="233">
        <v>41090</v>
      </c>
      <c r="B331" s="1" t="s">
        <v>2469</v>
      </c>
      <c r="C331" s="1" t="s">
        <v>2403</v>
      </c>
      <c r="D331" s="1" t="s">
        <v>6623</v>
      </c>
      <c r="E331" s="1" t="s">
        <v>2474</v>
      </c>
      <c r="F331" s="1">
        <v>20</v>
      </c>
      <c r="G331" s="1" t="s">
        <v>2475</v>
      </c>
      <c r="H331" s="234">
        <v>14.65</v>
      </c>
      <c r="I331" s="236">
        <f t="shared" si="19"/>
        <v>293</v>
      </c>
      <c r="J331" s="351"/>
      <c r="K331" s="241">
        <f>13.91*F331</f>
        <v>278.2</v>
      </c>
      <c r="L331" s="237">
        <v>41163</v>
      </c>
      <c r="M331" s="1" t="s">
        <v>2424</v>
      </c>
      <c r="N331" s="235">
        <f t="shared" si="20"/>
        <v>293</v>
      </c>
      <c r="O331" s="235">
        <f t="shared" si="21"/>
        <v>0</v>
      </c>
      <c r="P331" s="238" t="s">
        <v>4886</v>
      </c>
      <c r="Q331" s="1" t="s">
        <v>2419</v>
      </c>
      <c r="R331" s="239" t="s">
        <v>2470</v>
      </c>
      <c r="S331" s="238" t="s">
        <v>2471</v>
      </c>
      <c r="T331" s="238" t="s">
        <v>773</v>
      </c>
      <c r="U331" s="238" t="s">
        <v>2472</v>
      </c>
      <c r="V331" s="238" t="s">
        <v>2430</v>
      </c>
      <c r="Y331" s="239"/>
      <c r="Z331" s="239"/>
      <c r="AA331" s="240" t="s">
        <v>2473</v>
      </c>
      <c r="AB331" s="1" t="s">
        <v>2401</v>
      </c>
    </row>
    <row r="332" spans="1:28" ht="11.25" customHeight="1">
      <c r="A332" s="233">
        <v>41090</v>
      </c>
      <c r="B332" s="1" t="s">
        <v>2469</v>
      </c>
      <c r="C332" s="1" t="s">
        <v>2403</v>
      </c>
      <c r="D332" s="1" t="s">
        <v>268</v>
      </c>
      <c r="E332" s="1" t="s">
        <v>2476</v>
      </c>
      <c r="F332" s="1">
        <v>300</v>
      </c>
      <c r="G332" s="1" t="s">
        <v>231</v>
      </c>
      <c r="H332" s="234">
        <v>1.45</v>
      </c>
      <c r="I332" s="236">
        <f t="shared" si="19"/>
        <v>435</v>
      </c>
      <c r="J332" s="352">
        <v>1.43</v>
      </c>
      <c r="K332" s="241">
        <f>1.43*F332</f>
        <v>429</v>
      </c>
      <c r="L332" s="237">
        <v>41163</v>
      </c>
      <c r="M332" s="1" t="s">
        <v>2424</v>
      </c>
      <c r="N332" s="235">
        <f t="shared" si="20"/>
        <v>435</v>
      </c>
      <c r="O332" s="235">
        <f t="shared" si="21"/>
        <v>0</v>
      </c>
      <c r="P332" s="238" t="s">
        <v>4886</v>
      </c>
      <c r="Q332" s="1" t="s">
        <v>2419</v>
      </c>
      <c r="R332" s="239" t="s">
        <v>2470</v>
      </c>
      <c r="S332" s="238" t="s">
        <v>2471</v>
      </c>
      <c r="T332" s="238" t="s">
        <v>773</v>
      </c>
      <c r="U332" s="238" t="s">
        <v>2472</v>
      </c>
      <c r="V332" s="238" t="s">
        <v>2430</v>
      </c>
      <c r="Y332" s="239"/>
      <c r="Z332" s="239"/>
      <c r="AA332" s="240" t="s">
        <v>2473</v>
      </c>
      <c r="AB332" s="1" t="s">
        <v>2401</v>
      </c>
    </row>
    <row r="333" spans="1:28" ht="11.25" customHeight="1">
      <c r="A333" s="233">
        <v>41090</v>
      </c>
      <c r="B333" s="1" t="s">
        <v>2469</v>
      </c>
      <c r="C333" s="1" t="s">
        <v>2403</v>
      </c>
      <c r="D333" s="1" t="s">
        <v>1210</v>
      </c>
      <c r="E333" s="1">
        <v>3200</v>
      </c>
      <c r="F333" s="1">
        <v>40</v>
      </c>
      <c r="G333" s="1" t="s">
        <v>2406</v>
      </c>
      <c r="H333" s="234">
        <v>28.58</v>
      </c>
      <c r="I333" s="236">
        <f t="shared" si="19"/>
        <v>1143.1999999999998</v>
      </c>
      <c r="J333" s="351">
        <v>28</v>
      </c>
      <c r="K333" s="241">
        <f>28*F333</f>
        <v>1120</v>
      </c>
      <c r="L333" s="237">
        <v>41163</v>
      </c>
      <c r="M333" s="1" t="s">
        <v>2424</v>
      </c>
      <c r="N333" s="235">
        <f t="shared" si="20"/>
        <v>1143.1999999999998</v>
      </c>
      <c r="O333" s="235">
        <f t="shared" si="21"/>
        <v>0</v>
      </c>
      <c r="P333" s="238" t="s">
        <v>4886</v>
      </c>
      <c r="Q333" s="1" t="s">
        <v>1257</v>
      </c>
      <c r="R333" s="239" t="s">
        <v>2470</v>
      </c>
      <c r="S333" s="238" t="s">
        <v>2471</v>
      </c>
      <c r="T333" s="238" t="s">
        <v>773</v>
      </c>
      <c r="U333" s="238" t="s">
        <v>2472</v>
      </c>
      <c r="V333" s="238" t="s">
        <v>2430</v>
      </c>
      <c r="Y333" s="239"/>
      <c r="Z333" s="239"/>
      <c r="AA333" s="240" t="s">
        <v>603</v>
      </c>
      <c r="AB333" s="1" t="s">
        <v>2401</v>
      </c>
    </row>
    <row r="334" spans="1:28" ht="11.25" customHeight="1">
      <c r="A334" s="233">
        <v>41090</v>
      </c>
      <c r="B334" s="1" t="s">
        <v>2469</v>
      </c>
      <c r="C334" s="1" t="s">
        <v>2403</v>
      </c>
      <c r="D334" s="1" t="s">
        <v>2410</v>
      </c>
      <c r="E334" s="1" t="s">
        <v>2477</v>
      </c>
      <c r="F334" s="1">
        <v>20</v>
      </c>
      <c r="G334" s="1" t="s">
        <v>2406</v>
      </c>
      <c r="H334" s="234">
        <v>1.94</v>
      </c>
      <c r="I334" s="236">
        <f t="shared" si="19"/>
        <v>38.799999999999997</v>
      </c>
      <c r="J334" s="351">
        <v>1.92</v>
      </c>
      <c r="K334" s="241">
        <f>1.92*F334</f>
        <v>38.4</v>
      </c>
      <c r="L334" s="237">
        <v>41163</v>
      </c>
      <c r="M334" s="1" t="s">
        <v>2424</v>
      </c>
      <c r="N334" s="235">
        <f t="shared" si="20"/>
        <v>38.799999999999997</v>
      </c>
      <c r="O334" s="235">
        <f t="shared" si="21"/>
        <v>0</v>
      </c>
      <c r="P334" s="238" t="s">
        <v>4886</v>
      </c>
      <c r="Q334" s="1" t="s">
        <v>2419</v>
      </c>
      <c r="R334" s="239" t="s">
        <v>2470</v>
      </c>
      <c r="S334" s="238" t="s">
        <v>2471</v>
      </c>
      <c r="T334" s="238" t="s">
        <v>773</v>
      </c>
      <c r="U334" s="238" t="s">
        <v>2472</v>
      </c>
      <c r="V334" s="238" t="s">
        <v>2430</v>
      </c>
      <c r="Y334" s="239"/>
      <c r="Z334" s="239"/>
      <c r="AA334" s="240" t="s">
        <v>2473</v>
      </c>
      <c r="AB334" s="1" t="s">
        <v>2401</v>
      </c>
    </row>
    <row r="335" spans="1:28" ht="11.25" customHeight="1">
      <c r="A335" s="233">
        <v>41090</v>
      </c>
      <c r="B335" s="1" t="s">
        <v>2469</v>
      </c>
      <c r="C335" s="1" t="s">
        <v>2403</v>
      </c>
      <c r="D335" s="1" t="s">
        <v>2432</v>
      </c>
      <c r="E335" s="1" t="s">
        <v>2478</v>
      </c>
      <c r="F335" s="1">
        <v>40</v>
      </c>
      <c r="G335" s="1" t="s">
        <v>2406</v>
      </c>
      <c r="H335" s="234">
        <v>13.45</v>
      </c>
      <c r="I335" s="236">
        <f t="shared" si="19"/>
        <v>538</v>
      </c>
      <c r="J335" s="352">
        <v>13.33</v>
      </c>
      <c r="K335" s="241">
        <f>13.33*F335</f>
        <v>533.20000000000005</v>
      </c>
      <c r="L335" s="237">
        <v>41163</v>
      </c>
      <c r="M335" s="1" t="s">
        <v>2424</v>
      </c>
      <c r="N335" s="235">
        <f t="shared" si="20"/>
        <v>538</v>
      </c>
      <c r="O335" s="235">
        <f t="shared" si="21"/>
        <v>0</v>
      </c>
      <c r="P335" s="238" t="s">
        <v>4886</v>
      </c>
      <c r="Q335" s="1" t="s">
        <v>2419</v>
      </c>
      <c r="R335" s="239" t="s">
        <v>2470</v>
      </c>
      <c r="S335" s="238" t="s">
        <v>2471</v>
      </c>
      <c r="T335" s="238" t="s">
        <v>773</v>
      </c>
      <c r="U335" s="238" t="s">
        <v>2472</v>
      </c>
      <c r="V335" s="238" t="s">
        <v>2430</v>
      </c>
      <c r="Y335" s="239"/>
      <c r="Z335" s="239"/>
      <c r="AA335" s="240" t="s">
        <v>2473</v>
      </c>
      <c r="AB335" s="1" t="s">
        <v>2401</v>
      </c>
    </row>
    <row r="336" spans="1:28" ht="11.25" customHeight="1">
      <c r="A336" s="233">
        <v>41090</v>
      </c>
      <c r="B336" s="1" t="s">
        <v>2469</v>
      </c>
      <c r="C336" s="1" t="s">
        <v>2403</v>
      </c>
      <c r="D336" s="1" t="s">
        <v>331</v>
      </c>
      <c r="E336" s="1" t="s">
        <v>2479</v>
      </c>
      <c r="F336" s="1">
        <v>25</v>
      </c>
      <c r="G336" s="1" t="s">
        <v>231</v>
      </c>
      <c r="H336" s="234">
        <v>2.4500000000000002</v>
      </c>
      <c r="I336" s="236">
        <f t="shared" si="19"/>
        <v>61.250000000000007</v>
      </c>
      <c r="J336" s="351"/>
      <c r="K336" s="241">
        <f>2.4*F336</f>
        <v>60</v>
      </c>
      <c r="L336" s="237">
        <v>41163</v>
      </c>
      <c r="M336" s="1" t="s">
        <v>2424</v>
      </c>
      <c r="N336" s="235">
        <f t="shared" si="20"/>
        <v>61.250000000000007</v>
      </c>
      <c r="O336" s="235">
        <f t="shared" si="21"/>
        <v>0</v>
      </c>
      <c r="P336" s="238" t="s">
        <v>4886</v>
      </c>
      <c r="Q336" s="1" t="s">
        <v>2419</v>
      </c>
      <c r="R336" s="239" t="s">
        <v>2470</v>
      </c>
      <c r="S336" s="238" t="s">
        <v>2471</v>
      </c>
      <c r="T336" s="238" t="s">
        <v>773</v>
      </c>
      <c r="U336" s="238" t="s">
        <v>2472</v>
      </c>
      <c r="V336" s="238" t="s">
        <v>2430</v>
      </c>
      <c r="Y336" s="239"/>
      <c r="Z336" s="239"/>
      <c r="AA336" s="240" t="s">
        <v>2473</v>
      </c>
      <c r="AB336" s="1" t="s">
        <v>2401</v>
      </c>
    </row>
    <row r="337" spans="1:28" ht="11.25" customHeight="1">
      <c r="A337" s="233">
        <v>41090</v>
      </c>
      <c r="B337" s="1" t="s">
        <v>2469</v>
      </c>
      <c r="C337" s="1" t="s">
        <v>2403</v>
      </c>
      <c r="D337" s="1" t="s">
        <v>825</v>
      </c>
      <c r="E337" s="1" t="s">
        <v>2480</v>
      </c>
      <c r="F337" s="1">
        <v>300</v>
      </c>
      <c r="G337" s="1" t="s">
        <v>2423</v>
      </c>
      <c r="H337" s="234">
        <v>5.6</v>
      </c>
      <c r="I337" s="236">
        <f t="shared" si="19"/>
        <v>1680</v>
      </c>
      <c r="J337" s="351"/>
      <c r="K337" s="241">
        <f>5.06*F337</f>
        <v>1517.9999999999998</v>
      </c>
      <c r="L337" s="237">
        <v>41163</v>
      </c>
      <c r="M337" s="1" t="s">
        <v>2424</v>
      </c>
      <c r="N337" s="235">
        <f t="shared" si="20"/>
        <v>1680</v>
      </c>
      <c r="O337" s="235">
        <f t="shared" si="21"/>
        <v>0</v>
      </c>
      <c r="P337" s="238" t="s">
        <v>4886</v>
      </c>
      <c r="Q337" s="1" t="s">
        <v>2419</v>
      </c>
      <c r="R337" s="239" t="s">
        <v>2470</v>
      </c>
      <c r="S337" s="238" t="s">
        <v>2471</v>
      </c>
      <c r="T337" s="238" t="s">
        <v>773</v>
      </c>
      <c r="U337" s="238" t="s">
        <v>2472</v>
      </c>
      <c r="V337" s="238" t="s">
        <v>2430</v>
      </c>
      <c r="Y337" s="239"/>
      <c r="Z337" s="239"/>
      <c r="AA337" s="240" t="s">
        <v>2473</v>
      </c>
      <c r="AB337" s="1" t="s">
        <v>2401</v>
      </c>
    </row>
    <row r="338" spans="1:28" ht="11.25" customHeight="1">
      <c r="A338" s="233">
        <v>41090</v>
      </c>
      <c r="B338" s="1" t="s">
        <v>2469</v>
      </c>
      <c r="C338" s="1" t="s">
        <v>2403</v>
      </c>
      <c r="D338" s="1" t="s">
        <v>2481</v>
      </c>
      <c r="E338" s="1">
        <v>8515</v>
      </c>
      <c r="F338" s="1">
        <v>5</v>
      </c>
      <c r="G338" s="5" t="s">
        <v>231</v>
      </c>
      <c r="H338" s="234">
        <v>17.25</v>
      </c>
      <c r="I338" s="236">
        <f t="shared" si="19"/>
        <v>86.25</v>
      </c>
      <c r="J338" s="351"/>
      <c r="K338" s="241">
        <f>17*F338</f>
        <v>85</v>
      </c>
      <c r="L338" s="237">
        <v>41163</v>
      </c>
      <c r="M338" s="1" t="s">
        <v>2424</v>
      </c>
      <c r="N338" s="235">
        <f t="shared" si="20"/>
        <v>86.25</v>
      </c>
      <c r="O338" s="235">
        <f t="shared" si="21"/>
        <v>0</v>
      </c>
      <c r="P338" s="238" t="s">
        <v>4886</v>
      </c>
      <c r="Q338" s="1" t="s">
        <v>2419</v>
      </c>
      <c r="R338" s="239" t="s">
        <v>2470</v>
      </c>
      <c r="S338" s="238" t="s">
        <v>2471</v>
      </c>
      <c r="T338" s="238" t="s">
        <v>773</v>
      </c>
      <c r="U338" s="238" t="s">
        <v>2472</v>
      </c>
      <c r="V338" s="238" t="s">
        <v>2430</v>
      </c>
      <c r="Y338" s="239"/>
      <c r="Z338" s="239"/>
      <c r="AA338" s="240" t="s">
        <v>2473</v>
      </c>
      <c r="AB338" s="1" t="s">
        <v>2401</v>
      </c>
    </row>
    <row r="339" spans="1:28" ht="11.25" customHeight="1">
      <c r="A339" s="233">
        <v>41092</v>
      </c>
      <c r="B339" s="1" t="s">
        <v>986</v>
      </c>
      <c r="C339" s="1" t="s">
        <v>2403</v>
      </c>
      <c r="D339" s="1" t="s">
        <v>268</v>
      </c>
      <c r="E339" s="1" t="s">
        <v>2476</v>
      </c>
      <c r="F339" s="1">
        <v>240</v>
      </c>
      <c r="G339" s="1" t="s">
        <v>231</v>
      </c>
      <c r="H339" s="234">
        <v>1.65</v>
      </c>
      <c r="I339" s="236">
        <f t="shared" si="19"/>
        <v>396</v>
      </c>
      <c r="J339" s="352">
        <v>1.42</v>
      </c>
      <c r="K339" s="241">
        <f>1.42*F339</f>
        <v>340.79999999999995</v>
      </c>
      <c r="L339" s="237">
        <v>41092</v>
      </c>
      <c r="M339" s="1" t="s">
        <v>2407</v>
      </c>
      <c r="N339" s="235">
        <f t="shared" si="20"/>
        <v>396</v>
      </c>
      <c r="O339" s="235">
        <f t="shared" si="21"/>
        <v>0</v>
      </c>
      <c r="P339" s="238" t="s">
        <v>2482</v>
      </c>
      <c r="Q339" s="1" t="s">
        <v>2442</v>
      </c>
      <c r="R339" s="239" t="s">
        <v>2483</v>
      </c>
      <c r="S339" s="238" t="s">
        <v>2484</v>
      </c>
      <c r="T339" s="238" t="s">
        <v>2443</v>
      </c>
      <c r="V339" s="238" t="s">
        <v>2430</v>
      </c>
      <c r="Y339" s="239"/>
      <c r="Z339" s="239"/>
      <c r="AB339" s="1" t="s">
        <v>2416</v>
      </c>
    </row>
    <row r="340" spans="1:28" ht="11.25" customHeight="1">
      <c r="A340" s="233">
        <v>41092</v>
      </c>
      <c r="B340" s="1" t="s">
        <v>986</v>
      </c>
      <c r="C340" s="1" t="s">
        <v>2403</v>
      </c>
      <c r="D340" s="1" t="s">
        <v>263</v>
      </c>
      <c r="E340" s="1" t="s">
        <v>2118</v>
      </c>
      <c r="F340" s="1">
        <v>40</v>
      </c>
      <c r="G340" s="1" t="s">
        <v>2086</v>
      </c>
      <c r="H340" s="234">
        <v>2.85</v>
      </c>
      <c r="I340" s="236">
        <f t="shared" si="19"/>
        <v>114</v>
      </c>
      <c r="J340" s="351">
        <v>1.92</v>
      </c>
      <c r="K340" s="241">
        <f>1.92*F340</f>
        <v>76.8</v>
      </c>
      <c r="L340" s="237">
        <v>41092</v>
      </c>
      <c r="M340" s="1" t="s">
        <v>2390</v>
      </c>
      <c r="N340" s="235">
        <f t="shared" si="20"/>
        <v>114</v>
      </c>
      <c r="O340" s="235">
        <f t="shared" si="21"/>
        <v>0</v>
      </c>
      <c r="P340" s="238" t="s">
        <v>2485</v>
      </c>
      <c r="Q340" s="1" t="s">
        <v>2212</v>
      </c>
      <c r="R340" s="239" t="s">
        <v>2486</v>
      </c>
      <c r="S340" s="238" t="s">
        <v>2487</v>
      </c>
      <c r="T340" s="238" t="s">
        <v>2082</v>
      </c>
      <c r="V340" s="238" t="s">
        <v>2488</v>
      </c>
      <c r="Y340" s="239"/>
      <c r="Z340" s="239"/>
      <c r="AB340" s="1" t="s">
        <v>2079</v>
      </c>
    </row>
    <row r="341" spans="1:28" ht="11.25" customHeight="1">
      <c r="A341" s="233">
        <v>41092</v>
      </c>
      <c r="B341" s="1" t="s">
        <v>986</v>
      </c>
      <c r="C341" s="1" t="s">
        <v>2080</v>
      </c>
      <c r="D341" s="1" t="s">
        <v>353</v>
      </c>
      <c r="E341" s="1" t="s">
        <v>2397</v>
      </c>
      <c r="F341" s="1">
        <v>40</v>
      </c>
      <c r="G341" s="1" t="s">
        <v>2086</v>
      </c>
      <c r="H341" s="234">
        <v>14.5</v>
      </c>
      <c r="I341" s="236">
        <f t="shared" si="19"/>
        <v>580</v>
      </c>
      <c r="J341" s="352">
        <v>13.33</v>
      </c>
      <c r="K341" s="241">
        <f>13.33*F341</f>
        <v>533.20000000000005</v>
      </c>
      <c r="L341" s="237">
        <v>41092</v>
      </c>
      <c r="M341" s="1" t="s">
        <v>2390</v>
      </c>
      <c r="N341" s="235">
        <f t="shared" si="20"/>
        <v>580</v>
      </c>
      <c r="O341" s="235">
        <f t="shared" si="21"/>
        <v>0</v>
      </c>
      <c r="P341" s="238" t="s">
        <v>2485</v>
      </c>
      <c r="Q341" s="1" t="s">
        <v>2212</v>
      </c>
      <c r="R341" s="239" t="s">
        <v>2486</v>
      </c>
      <c r="S341" s="238" t="s">
        <v>2487</v>
      </c>
      <c r="T341" s="238" t="s">
        <v>2082</v>
      </c>
      <c r="V341" s="238" t="s">
        <v>2488</v>
      </c>
      <c r="Y341" s="239"/>
      <c r="Z341" s="239"/>
      <c r="AB341" s="1" t="s">
        <v>2079</v>
      </c>
    </row>
    <row r="342" spans="1:28" ht="11.25" customHeight="1">
      <c r="A342" s="233">
        <v>41092</v>
      </c>
      <c r="B342" s="1" t="s">
        <v>986</v>
      </c>
      <c r="C342" s="1" t="s">
        <v>2080</v>
      </c>
      <c r="D342" s="1" t="s">
        <v>1210</v>
      </c>
      <c r="E342" s="1">
        <v>3200</v>
      </c>
      <c r="F342" s="1">
        <v>40</v>
      </c>
      <c r="G342" s="1" t="s">
        <v>2086</v>
      </c>
      <c r="H342" s="234">
        <v>29</v>
      </c>
      <c r="I342" s="236">
        <f t="shared" si="19"/>
        <v>1160</v>
      </c>
      <c r="J342" s="351">
        <v>28.73</v>
      </c>
      <c r="K342" s="241">
        <f>28.73*F342</f>
        <v>1149.2</v>
      </c>
      <c r="L342" s="237">
        <v>41092</v>
      </c>
      <c r="M342" s="1" t="s">
        <v>2390</v>
      </c>
      <c r="N342" s="235">
        <f t="shared" si="20"/>
        <v>1160</v>
      </c>
      <c r="O342" s="235">
        <f t="shared" si="21"/>
        <v>0</v>
      </c>
      <c r="P342" s="238" t="s">
        <v>2485</v>
      </c>
      <c r="Q342" s="1" t="s">
        <v>2212</v>
      </c>
      <c r="R342" s="239" t="s">
        <v>2486</v>
      </c>
      <c r="S342" s="238" t="s">
        <v>2487</v>
      </c>
      <c r="T342" s="238" t="s">
        <v>2082</v>
      </c>
      <c r="V342" s="238" t="s">
        <v>2488</v>
      </c>
      <c r="Y342" s="239"/>
      <c r="Z342" s="239"/>
      <c r="AB342" s="1" t="s">
        <v>2079</v>
      </c>
    </row>
    <row r="343" spans="1:28" ht="11.25" customHeight="1">
      <c r="A343" s="233">
        <v>41092</v>
      </c>
      <c r="B343" s="1" t="s">
        <v>986</v>
      </c>
      <c r="C343" s="1" t="s">
        <v>2080</v>
      </c>
      <c r="D343" s="5" t="s">
        <v>2012</v>
      </c>
      <c r="E343" s="1" t="s">
        <v>2489</v>
      </c>
      <c r="F343" s="5">
        <v>1000</v>
      </c>
      <c r="G343" s="1" t="s">
        <v>4970</v>
      </c>
      <c r="H343" s="234">
        <v>1.9</v>
      </c>
      <c r="I343" s="236">
        <f t="shared" si="19"/>
        <v>1900</v>
      </c>
      <c r="J343" s="351">
        <v>1.55</v>
      </c>
      <c r="K343" s="241">
        <f>1.55*F343</f>
        <v>1550</v>
      </c>
      <c r="L343" s="237">
        <v>41092</v>
      </c>
      <c r="M343" s="1" t="s">
        <v>2390</v>
      </c>
      <c r="N343" s="235">
        <f t="shared" si="20"/>
        <v>1900</v>
      </c>
      <c r="O343" s="235">
        <f t="shared" si="21"/>
        <v>0</v>
      </c>
      <c r="P343" s="238" t="s">
        <v>2485</v>
      </c>
      <c r="Q343" s="1" t="s">
        <v>2212</v>
      </c>
      <c r="R343" s="239" t="s">
        <v>2486</v>
      </c>
      <c r="S343" s="238" t="s">
        <v>2487</v>
      </c>
      <c r="T343" s="238" t="s">
        <v>2082</v>
      </c>
      <c r="V343" s="238" t="s">
        <v>2488</v>
      </c>
      <c r="Y343" s="239"/>
      <c r="Z343" s="239"/>
      <c r="AB343" s="1" t="s">
        <v>2079</v>
      </c>
    </row>
    <row r="344" spans="1:28" ht="11.25" customHeight="1">
      <c r="A344" s="233">
        <v>41092</v>
      </c>
      <c r="B344" s="1" t="s">
        <v>2491</v>
      </c>
      <c r="C344" s="1" t="s">
        <v>2080</v>
      </c>
      <c r="D344" s="1" t="s">
        <v>353</v>
      </c>
      <c r="E344" s="1" t="s">
        <v>2492</v>
      </c>
      <c r="F344" s="5">
        <v>4</v>
      </c>
      <c r="G344" s="1" t="s">
        <v>229</v>
      </c>
      <c r="H344" s="234">
        <v>25</v>
      </c>
      <c r="I344" s="236">
        <v>100</v>
      </c>
      <c r="J344" s="351">
        <v>18.5</v>
      </c>
      <c r="K344" s="241">
        <f>18.5*F344</f>
        <v>74</v>
      </c>
      <c r="L344" s="237">
        <v>41092</v>
      </c>
      <c r="M344" s="1" t="s">
        <v>2390</v>
      </c>
      <c r="N344" s="235">
        <f t="shared" si="20"/>
        <v>100</v>
      </c>
      <c r="O344" s="235">
        <f t="shared" si="21"/>
        <v>0</v>
      </c>
      <c r="P344" s="238" t="s">
        <v>2493</v>
      </c>
      <c r="Q344" s="1" t="s">
        <v>2212</v>
      </c>
      <c r="R344" s="239" t="s">
        <v>2494</v>
      </c>
      <c r="S344" s="238" t="s">
        <v>2495</v>
      </c>
      <c r="T344" s="238" t="s">
        <v>2082</v>
      </c>
      <c r="V344" s="238" t="s">
        <v>2488</v>
      </c>
      <c r="Y344" s="239"/>
      <c r="Z344" s="239"/>
      <c r="AB344" s="1" t="s">
        <v>2079</v>
      </c>
    </row>
    <row r="345" spans="1:28" ht="11.25" customHeight="1">
      <c r="A345" s="233">
        <v>41092</v>
      </c>
      <c r="B345" s="1" t="s">
        <v>2491</v>
      </c>
      <c r="C345" s="1" t="s">
        <v>2080</v>
      </c>
      <c r="D345" s="1" t="s">
        <v>353</v>
      </c>
      <c r="E345" s="1" t="s">
        <v>2492</v>
      </c>
      <c r="F345" s="5">
        <v>2</v>
      </c>
      <c r="G345" s="1" t="s">
        <v>229</v>
      </c>
      <c r="H345" s="234">
        <v>25</v>
      </c>
      <c r="I345" s="236">
        <v>50</v>
      </c>
      <c r="J345" s="351">
        <v>19</v>
      </c>
      <c r="K345" s="241">
        <f>19*F345</f>
        <v>38</v>
      </c>
      <c r="L345" s="237">
        <v>41092</v>
      </c>
      <c r="M345" s="1" t="s">
        <v>2390</v>
      </c>
      <c r="N345" s="235">
        <f t="shared" si="20"/>
        <v>50</v>
      </c>
      <c r="O345" s="235">
        <f t="shared" si="21"/>
        <v>0</v>
      </c>
      <c r="P345" s="238" t="s">
        <v>2493</v>
      </c>
      <c r="Q345" s="1" t="s">
        <v>2212</v>
      </c>
      <c r="R345" s="239" t="s">
        <v>2494</v>
      </c>
      <c r="S345" s="238" t="s">
        <v>2495</v>
      </c>
      <c r="T345" s="238" t="s">
        <v>2082</v>
      </c>
      <c r="V345" s="238" t="s">
        <v>2488</v>
      </c>
      <c r="Y345" s="239"/>
      <c r="Z345" s="239"/>
      <c r="AB345" s="1" t="s">
        <v>2079</v>
      </c>
    </row>
    <row r="346" spans="1:28" ht="11.25" customHeight="1">
      <c r="A346" s="233">
        <v>41092</v>
      </c>
      <c r="B346" s="1" t="s">
        <v>2491</v>
      </c>
      <c r="C346" s="1" t="s">
        <v>2080</v>
      </c>
      <c r="D346" s="1" t="s">
        <v>232</v>
      </c>
      <c r="E346" s="1" t="s">
        <v>2107</v>
      </c>
      <c r="F346" s="5">
        <v>6</v>
      </c>
      <c r="G346" s="1" t="s">
        <v>231</v>
      </c>
      <c r="H346" s="234">
        <v>7.9</v>
      </c>
      <c r="I346" s="236">
        <v>47.4</v>
      </c>
      <c r="J346" s="351">
        <v>5.0999999999999996</v>
      </c>
      <c r="K346" s="241">
        <f>5.1*F346</f>
        <v>30.599999999999998</v>
      </c>
      <c r="L346" s="237">
        <v>41092</v>
      </c>
      <c r="M346" s="1" t="s">
        <v>2390</v>
      </c>
      <c r="N346" s="235">
        <f t="shared" si="20"/>
        <v>47.4</v>
      </c>
      <c r="O346" s="235">
        <f t="shared" si="21"/>
        <v>0</v>
      </c>
      <c r="P346" s="238" t="s">
        <v>2493</v>
      </c>
      <c r="Q346" s="1" t="s">
        <v>2212</v>
      </c>
      <c r="R346" s="239" t="s">
        <v>2494</v>
      </c>
      <c r="S346" s="238" t="s">
        <v>2495</v>
      </c>
      <c r="T346" s="238" t="s">
        <v>2082</v>
      </c>
      <c r="V346" s="238" t="s">
        <v>2488</v>
      </c>
      <c r="Y346" s="239"/>
      <c r="Z346" s="239"/>
      <c r="AB346" s="1" t="s">
        <v>2079</v>
      </c>
    </row>
    <row r="347" spans="1:28" ht="11.25" customHeight="1">
      <c r="A347" s="233">
        <v>41092</v>
      </c>
      <c r="B347" s="1" t="s">
        <v>2491</v>
      </c>
      <c r="C347" s="1" t="s">
        <v>2080</v>
      </c>
      <c r="D347" s="1" t="s">
        <v>263</v>
      </c>
      <c r="E347" s="1">
        <v>501</v>
      </c>
      <c r="F347" s="5">
        <v>6</v>
      </c>
      <c r="G347" s="1" t="s">
        <v>229</v>
      </c>
      <c r="H347" s="234">
        <v>1.99</v>
      </c>
      <c r="I347" s="236">
        <v>11.94</v>
      </c>
      <c r="J347" s="351">
        <v>1.4</v>
      </c>
      <c r="K347" s="241">
        <f>1.4*F347</f>
        <v>8.3999999999999986</v>
      </c>
      <c r="L347" s="237">
        <v>41092</v>
      </c>
      <c r="M347" s="1" t="s">
        <v>2390</v>
      </c>
      <c r="N347" s="235">
        <f t="shared" si="20"/>
        <v>11.94</v>
      </c>
      <c r="O347" s="235">
        <f t="shared" si="21"/>
        <v>0</v>
      </c>
      <c r="P347" s="238" t="s">
        <v>2493</v>
      </c>
      <c r="Q347" s="1" t="s">
        <v>2212</v>
      </c>
      <c r="R347" s="239" t="s">
        <v>2494</v>
      </c>
      <c r="S347" s="238" t="s">
        <v>2495</v>
      </c>
      <c r="T347" s="238" t="s">
        <v>2082</v>
      </c>
      <c r="V347" s="238" t="s">
        <v>2488</v>
      </c>
      <c r="Y347" s="239"/>
      <c r="Z347" s="239"/>
      <c r="AB347" s="1" t="s">
        <v>2079</v>
      </c>
    </row>
    <row r="348" spans="1:28" ht="11.25" customHeight="1">
      <c r="A348" s="233">
        <v>41092</v>
      </c>
      <c r="B348" s="1" t="s">
        <v>2491</v>
      </c>
      <c r="C348" s="1" t="s">
        <v>2080</v>
      </c>
      <c r="D348" s="1" t="s">
        <v>240</v>
      </c>
      <c r="E348" s="1">
        <v>6200</v>
      </c>
      <c r="F348" s="5">
        <v>3</v>
      </c>
      <c r="G348" s="1" t="s">
        <v>229</v>
      </c>
      <c r="H348" s="234">
        <v>70.22</v>
      </c>
      <c r="I348" s="236">
        <v>210.66</v>
      </c>
      <c r="J348" s="351">
        <v>45.8</v>
      </c>
      <c r="K348" s="241" t="e">
        <f>#REF!*F348</f>
        <v>#REF!</v>
      </c>
      <c r="L348" s="237">
        <v>41092</v>
      </c>
      <c r="M348" s="1" t="s">
        <v>2390</v>
      </c>
      <c r="N348" s="235">
        <f t="shared" si="20"/>
        <v>210.66</v>
      </c>
      <c r="O348" s="235">
        <f t="shared" si="21"/>
        <v>0</v>
      </c>
      <c r="P348" s="238" t="s">
        <v>2493</v>
      </c>
      <c r="Q348" s="1" t="s">
        <v>2212</v>
      </c>
      <c r="R348" s="239" t="s">
        <v>2494</v>
      </c>
      <c r="S348" s="238" t="s">
        <v>2495</v>
      </c>
      <c r="T348" s="238" t="s">
        <v>2082</v>
      </c>
      <c r="V348" s="238" t="s">
        <v>2488</v>
      </c>
      <c r="Y348" s="239"/>
      <c r="Z348" s="239"/>
      <c r="AB348" s="1" t="s">
        <v>2079</v>
      </c>
    </row>
    <row r="349" spans="1:28" ht="11.25" customHeight="1">
      <c r="A349" s="233">
        <v>41092</v>
      </c>
      <c r="B349" s="1" t="s">
        <v>2491</v>
      </c>
      <c r="C349" s="1" t="s">
        <v>2080</v>
      </c>
      <c r="D349" s="5" t="s">
        <v>2012</v>
      </c>
      <c r="E349" s="1" t="s">
        <v>2489</v>
      </c>
      <c r="F349" s="5">
        <v>100</v>
      </c>
      <c r="G349" s="1" t="s">
        <v>4970</v>
      </c>
      <c r="H349" s="234">
        <v>2.4</v>
      </c>
      <c r="I349" s="236">
        <f>H349*F349</f>
        <v>240</v>
      </c>
      <c r="J349" s="351" t="s">
        <v>6038</v>
      </c>
      <c r="K349" s="241">
        <f>1.55*10+1.6*90</f>
        <v>159.5</v>
      </c>
      <c r="L349" s="237">
        <v>41092</v>
      </c>
      <c r="M349" s="1" t="s">
        <v>2390</v>
      </c>
      <c r="N349" s="235">
        <f t="shared" si="20"/>
        <v>240</v>
      </c>
      <c r="O349" s="235">
        <f t="shared" si="21"/>
        <v>0</v>
      </c>
      <c r="P349" s="238" t="s">
        <v>2493</v>
      </c>
      <c r="Q349" s="1" t="s">
        <v>2212</v>
      </c>
      <c r="R349" s="239" t="s">
        <v>2494</v>
      </c>
      <c r="S349" s="238" t="s">
        <v>2495</v>
      </c>
      <c r="T349" s="238" t="s">
        <v>2082</v>
      </c>
      <c r="V349" s="238" t="s">
        <v>2488</v>
      </c>
      <c r="Y349" s="239"/>
      <c r="Z349" s="239"/>
      <c r="AB349" s="1" t="s">
        <v>2079</v>
      </c>
    </row>
    <row r="350" spans="1:28" ht="11.25" customHeight="1">
      <c r="A350" s="233">
        <v>41092</v>
      </c>
      <c r="B350" s="1" t="s">
        <v>2491</v>
      </c>
      <c r="C350" s="1" t="s">
        <v>2080</v>
      </c>
      <c r="D350" s="1" t="s">
        <v>232</v>
      </c>
      <c r="E350" s="1" t="s">
        <v>2107</v>
      </c>
      <c r="F350" s="5">
        <v>6</v>
      </c>
      <c r="G350" s="1" t="s">
        <v>231</v>
      </c>
      <c r="H350" s="234">
        <v>7.84</v>
      </c>
      <c r="I350" s="236">
        <v>47</v>
      </c>
      <c r="J350" s="351">
        <v>5.0999999999999996</v>
      </c>
      <c r="K350" s="241">
        <f>5.1*F350</f>
        <v>30.599999999999998</v>
      </c>
      <c r="L350" s="237">
        <v>41092</v>
      </c>
      <c r="M350" s="1" t="s">
        <v>2390</v>
      </c>
      <c r="N350" s="235">
        <f t="shared" si="20"/>
        <v>47</v>
      </c>
      <c r="O350" s="235">
        <f t="shared" si="21"/>
        <v>0</v>
      </c>
      <c r="P350" s="238" t="s">
        <v>2493</v>
      </c>
      <c r="Q350" s="1" t="s">
        <v>2212</v>
      </c>
      <c r="R350" s="239" t="s">
        <v>2494</v>
      </c>
      <c r="S350" s="238" t="s">
        <v>2495</v>
      </c>
      <c r="T350" s="238" t="s">
        <v>2082</v>
      </c>
      <c r="V350" s="238" t="s">
        <v>2488</v>
      </c>
      <c r="Y350" s="239"/>
      <c r="Z350" s="239"/>
      <c r="AB350" s="1" t="s">
        <v>2079</v>
      </c>
    </row>
    <row r="351" spans="1:28" ht="11.25" customHeight="1">
      <c r="A351" s="233">
        <v>41093</v>
      </c>
      <c r="B351" s="1" t="s">
        <v>2496</v>
      </c>
      <c r="C351" s="1" t="s">
        <v>2080</v>
      </c>
      <c r="D351" s="5" t="s">
        <v>2012</v>
      </c>
      <c r="E351" s="1" t="s">
        <v>2489</v>
      </c>
      <c r="F351" s="5">
        <v>500</v>
      </c>
      <c r="G351" s="1" t="s">
        <v>4970</v>
      </c>
      <c r="H351" s="234">
        <v>2.2999999999999998</v>
      </c>
      <c r="I351" s="236">
        <f t="shared" ref="I351:I358" si="22">H351*F351</f>
        <v>1150</v>
      </c>
      <c r="J351" s="351">
        <v>1.55</v>
      </c>
      <c r="K351" s="241">
        <f>1.55*F351</f>
        <v>775</v>
      </c>
      <c r="L351" s="237">
        <v>41090</v>
      </c>
      <c r="M351" s="1" t="s">
        <v>2327</v>
      </c>
      <c r="N351" s="235">
        <f t="shared" si="20"/>
        <v>1150</v>
      </c>
      <c r="O351" s="235">
        <f t="shared" si="21"/>
        <v>0</v>
      </c>
      <c r="P351" s="238" t="s">
        <v>2497</v>
      </c>
      <c r="Q351" s="1" t="s">
        <v>2498</v>
      </c>
      <c r="R351" s="239" t="s">
        <v>2499</v>
      </c>
      <c r="S351" s="238" t="s">
        <v>2500</v>
      </c>
      <c r="T351" s="238" t="s">
        <v>2501</v>
      </c>
      <c r="U351" s="238" t="s">
        <v>2502</v>
      </c>
      <c r="V351" s="238" t="s">
        <v>2488</v>
      </c>
      <c r="Y351" s="239"/>
      <c r="Z351" s="239"/>
      <c r="AB351" s="1" t="s">
        <v>2079</v>
      </c>
    </row>
    <row r="352" spans="1:28" ht="11.25" customHeight="1">
      <c r="A352" s="233">
        <v>41093</v>
      </c>
      <c r="B352" s="1" t="s">
        <v>2503</v>
      </c>
      <c r="C352" s="1" t="s">
        <v>2080</v>
      </c>
      <c r="D352" s="5" t="s">
        <v>2012</v>
      </c>
      <c r="E352" s="1" t="s">
        <v>2489</v>
      </c>
      <c r="F352" s="5">
        <v>500</v>
      </c>
      <c r="G352" s="1" t="s">
        <v>4970</v>
      </c>
      <c r="H352" s="234">
        <v>2.2999999999999998</v>
      </c>
      <c r="I352" s="236">
        <f t="shared" si="22"/>
        <v>1150</v>
      </c>
      <c r="J352" s="351">
        <v>1.55</v>
      </c>
      <c r="K352" s="241">
        <f>1.55*F352</f>
        <v>775</v>
      </c>
      <c r="L352" s="237">
        <v>41093</v>
      </c>
      <c r="M352" s="1" t="s">
        <v>2390</v>
      </c>
      <c r="N352" s="235">
        <f t="shared" si="20"/>
        <v>1150</v>
      </c>
      <c r="O352" s="235">
        <f t="shared" si="21"/>
        <v>0</v>
      </c>
      <c r="P352" s="238" t="s">
        <v>2504</v>
      </c>
      <c r="Q352" s="1" t="s">
        <v>2505</v>
      </c>
      <c r="R352" s="239" t="s">
        <v>2082</v>
      </c>
      <c r="S352" s="238" t="s">
        <v>2506</v>
      </c>
      <c r="T352" s="238" t="s">
        <v>2507</v>
      </c>
      <c r="V352" s="238" t="s">
        <v>2488</v>
      </c>
      <c r="Y352" s="239"/>
      <c r="Z352" s="239"/>
      <c r="AB352" s="1" t="s">
        <v>2079</v>
      </c>
    </row>
    <row r="353" spans="1:28" ht="11.25" customHeight="1">
      <c r="A353" s="233">
        <v>41093</v>
      </c>
      <c r="B353" s="1" t="s">
        <v>2508</v>
      </c>
      <c r="C353" s="1" t="s">
        <v>2080</v>
      </c>
      <c r="D353" s="1" t="s">
        <v>1213</v>
      </c>
      <c r="E353" s="1" t="s">
        <v>2509</v>
      </c>
      <c r="F353" s="5">
        <v>3</v>
      </c>
      <c r="G353" s="1" t="s">
        <v>2398</v>
      </c>
      <c r="H353" s="234">
        <v>17</v>
      </c>
      <c r="I353" s="236">
        <f t="shared" si="22"/>
        <v>51</v>
      </c>
      <c r="J353" s="351">
        <v>13.4</v>
      </c>
      <c r="K353" s="250">
        <f>13.4*F353</f>
        <v>40.200000000000003</v>
      </c>
      <c r="L353" s="237">
        <v>41093</v>
      </c>
      <c r="M353" s="1" t="s">
        <v>2390</v>
      </c>
      <c r="N353" s="235">
        <f t="shared" si="20"/>
        <v>51</v>
      </c>
      <c r="O353" s="235">
        <f t="shared" si="21"/>
        <v>0</v>
      </c>
      <c r="P353" s="238" t="s">
        <v>2510</v>
      </c>
      <c r="Q353" s="1" t="s">
        <v>2511</v>
      </c>
      <c r="R353" s="239" t="s">
        <v>2512</v>
      </c>
      <c r="S353" s="238" t="s">
        <v>2513</v>
      </c>
      <c r="T353" s="238" t="s">
        <v>802</v>
      </c>
      <c r="U353" s="238" t="s">
        <v>2514</v>
      </c>
      <c r="V353" s="238" t="s">
        <v>2515</v>
      </c>
      <c r="W353" s="236">
        <v>849</v>
      </c>
      <c r="X353" s="233">
        <v>41103</v>
      </c>
      <c r="Y353" s="238" t="s">
        <v>2516</v>
      </c>
      <c r="Z353" s="238"/>
      <c r="AB353" s="1" t="s">
        <v>2079</v>
      </c>
    </row>
    <row r="354" spans="1:28" ht="11.25" customHeight="1">
      <c r="A354" s="233">
        <v>41093</v>
      </c>
      <c r="B354" s="1" t="s">
        <v>2508</v>
      </c>
      <c r="C354" s="1" t="s">
        <v>2080</v>
      </c>
      <c r="D354" s="1" t="s">
        <v>240</v>
      </c>
      <c r="E354" s="1">
        <v>6200</v>
      </c>
      <c r="F354" s="5">
        <v>3</v>
      </c>
      <c r="G354" s="1" t="s">
        <v>229</v>
      </c>
      <c r="H354" s="234">
        <v>65.400000000000006</v>
      </c>
      <c r="I354" s="236">
        <f t="shared" si="22"/>
        <v>196.20000000000002</v>
      </c>
      <c r="J354" s="351">
        <v>45.8</v>
      </c>
      <c r="K354" s="241" t="e">
        <f>#REF!*F354</f>
        <v>#REF!</v>
      </c>
      <c r="L354" s="237">
        <v>41093</v>
      </c>
      <c r="M354" s="1" t="s">
        <v>2390</v>
      </c>
      <c r="N354" s="235">
        <f t="shared" si="20"/>
        <v>196.20000000000002</v>
      </c>
      <c r="O354" s="235">
        <f t="shared" si="21"/>
        <v>0</v>
      </c>
      <c r="P354" s="238" t="s">
        <v>2510</v>
      </c>
      <c r="Q354" s="1" t="s">
        <v>2511</v>
      </c>
      <c r="R354" s="239" t="s">
        <v>2512</v>
      </c>
      <c r="S354" s="238" t="s">
        <v>2513</v>
      </c>
      <c r="T354" s="238" t="s">
        <v>802</v>
      </c>
      <c r="U354" s="238" t="s">
        <v>2514</v>
      </c>
      <c r="V354" s="238" t="s">
        <v>2515</v>
      </c>
      <c r="W354" s="236">
        <v>849</v>
      </c>
      <c r="X354" s="233">
        <v>41103</v>
      </c>
      <c r="Y354" s="238" t="s">
        <v>2516</v>
      </c>
      <c r="Z354" s="238"/>
      <c r="AB354" s="1" t="s">
        <v>2079</v>
      </c>
    </row>
    <row r="355" spans="1:28" ht="11.25" customHeight="1">
      <c r="A355" s="233">
        <v>41093</v>
      </c>
      <c r="B355" s="1" t="s">
        <v>2508</v>
      </c>
      <c r="C355" s="1" t="s">
        <v>2080</v>
      </c>
      <c r="D355" s="1" t="s">
        <v>353</v>
      </c>
      <c r="E355" s="1" t="s">
        <v>2492</v>
      </c>
      <c r="F355" s="5">
        <v>16</v>
      </c>
      <c r="G355" s="1" t="s">
        <v>229</v>
      </c>
      <c r="H355" s="234">
        <v>29</v>
      </c>
      <c r="I355" s="236">
        <f t="shared" si="22"/>
        <v>464</v>
      </c>
      <c r="J355" s="351">
        <v>18.5</v>
      </c>
      <c r="K355" s="241">
        <f>18.37*10+18.5*6</f>
        <v>294.70000000000005</v>
      </c>
      <c r="L355" s="237">
        <v>41093</v>
      </c>
      <c r="M355" s="1" t="s">
        <v>2390</v>
      </c>
      <c r="N355" s="235">
        <f t="shared" si="20"/>
        <v>464</v>
      </c>
      <c r="O355" s="235">
        <f t="shared" si="21"/>
        <v>0</v>
      </c>
      <c r="P355" s="238" t="s">
        <v>2510</v>
      </c>
      <c r="Q355" s="1" t="s">
        <v>2511</v>
      </c>
      <c r="R355" s="239" t="s">
        <v>2512</v>
      </c>
      <c r="S355" s="238" t="s">
        <v>2513</v>
      </c>
      <c r="T355" s="238" t="s">
        <v>802</v>
      </c>
      <c r="U355" s="238" t="s">
        <v>2514</v>
      </c>
      <c r="V355" s="238" t="s">
        <v>2515</v>
      </c>
      <c r="W355" s="236">
        <v>849</v>
      </c>
      <c r="X355" s="233">
        <v>41103</v>
      </c>
      <c r="Y355" s="238" t="s">
        <v>2516</v>
      </c>
      <c r="Z355" s="238"/>
      <c r="AB355" s="1" t="s">
        <v>2079</v>
      </c>
    </row>
    <row r="356" spans="1:28" ht="11.25" customHeight="1">
      <c r="A356" s="233">
        <v>41093</v>
      </c>
      <c r="B356" s="1" t="s">
        <v>2508</v>
      </c>
      <c r="C356" s="1" t="s">
        <v>2080</v>
      </c>
      <c r="D356" s="1" t="s">
        <v>232</v>
      </c>
      <c r="E356" s="1" t="s">
        <v>2107</v>
      </c>
      <c r="F356" s="5">
        <v>16</v>
      </c>
      <c r="G356" s="1" t="s">
        <v>231</v>
      </c>
      <c r="H356" s="234">
        <v>7.9</v>
      </c>
      <c r="I356" s="236">
        <f t="shared" si="22"/>
        <v>126.4</v>
      </c>
      <c r="J356" s="351">
        <v>5.0999999999999996</v>
      </c>
      <c r="K356" s="241">
        <f>5.1*F356</f>
        <v>81.599999999999994</v>
      </c>
      <c r="L356" s="237">
        <v>41093</v>
      </c>
      <c r="M356" s="1" t="s">
        <v>2390</v>
      </c>
      <c r="N356" s="235">
        <f t="shared" si="20"/>
        <v>126.4</v>
      </c>
      <c r="O356" s="235">
        <f t="shared" si="21"/>
        <v>0</v>
      </c>
      <c r="P356" s="238" t="s">
        <v>2510</v>
      </c>
      <c r="Q356" s="1" t="s">
        <v>2511</v>
      </c>
      <c r="R356" s="239" t="s">
        <v>2512</v>
      </c>
      <c r="S356" s="238" t="s">
        <v>2513</v>
      </c>
      <c r="T356" s="238" t="s">
        <v>802</v>
      </c>
      <c r="U356" s="238" t="s">
        <v>2514</v>
      </c>
      <c r="V356" s="238" t="s">
        <v>2515</v>
      </c>
      <c r="W356" s="236">
        <v>849</v>
      </c>
      <c r="X356" s="233">
        <v>41103</v>
      </c>
      <c r="Y356" s="238" t="s">
        <v>2516</v>
      </c>
      <c r="Z356" s="238"/>
      <c r="AB356" s="1" t="s">
        <v>2079</v>
      </c>
    </row>
    <row r="357" spans="1:28" ht="11.25" customHeight="1">
      <c r="A357" s="233">
        <v>41093</v>
      </c>
      <c r="B357" s="1" t="s">
        <v>2508</v>
      </c>
      <c r="C357" s="1" t="s">
        <v>2080</v>
      </c>
      <c r="D357" s="1" t="s">
        <v>263</v>
      </c>
      <c r="E357" s="1">
        <v>501</v>
      </c>
      <c r="F357" s="5">
        <v>6</v>
      </c>
      <c r="G357" s="1" t="s">
        <v>229</v>
      </c>
      <c r="H357" s="234">
        <v>1.9</v>
      </c>
      <c r="I357" s="236">
        <f t="shared" si="22"/>
        <v>11.399999999999999</v>
      </c>
      <c r="J357" s="351">
        <v>1.4</v>
      </c>
      <c r="K357" s="241">
        <f>1.4*F357</f>
        <v>8.3999999999999986</v>
      </c>
      <c r="L357" s="237">
        <v>41093</v>
      </c>
      <c r="M357" s="1" t="s">
        <v>2390</v>
      </c>
      <c r="N357" s="235">
        <f t="shared" si="20"/>
        <v>11.399999999999999</v>
      </c>
      <c r="O357" s="235">
        <f t="shared" si="21"/>
        <v>0</v>
      </c>
      <c r="P357" s="238" t="s">
        <v>2510</v>
      </c>
      <c r="Q357" s="1" t="s">
        <v>2511</v>
      </c>
      <c r="R357" s="239" t="s">
        <v>2512</v>
      </c>
      <c r="S357" s="238" t="s">
        <v>2513</v>
      </c>
      <c r="T357" s="238" t="s">
        <v>802</v>
      </c>
      <c r="U357" s="238" t="s">
        <v>2514</v>
      </c>
      <c r="V357" s="238" t="s">
        <v>2515</v>
      </c>
      <c r="W357" s="236">
        <v>849</v>
      </c>
      <c r="X357" s="233">
        <v>41103</v>
      </c>
      <c r="Y357" s="238" t="s">
        <v>2516</v>
      </c>
      <c r="Z357" s="238"/>
      <c r="AB357" s="1" t="s">
        <v>2079</v>
      </c>
    </row>
    <row r="358" spans="1:28" ht="11.25" customHeight="1">
      <c r="A358" s="233">
        <v>41093</v>
      </c>
      <c r="B358" s="1" t="s">
        <v>2517</v>
      </c>
      <c r="C358" s="1" t="s">
        <v>2080</v>
      </c>
      <c r="D358" s="5" t="s">
        <v>2012</v>
      </c>
      <c r="E358" s="1" t="s">
        <v>2489</v>
      </c>
      <c r="F358" s="5">
        <v>1000</v>
      </c>
      <c r="G358" s="1" t="s">
        <v>4970</v>
      </c>
      <c r="H358" s="234">
        <v>1.7</v>
      </c>
      <c r="I358" s="236">
        <f t="shared" si="22"/>
        <v>1700</v>
      </c>
      <c r="J358" s="351">
        <v>1.55</v>
      </c>
      <c r="K358" s="241">
        <f>1.55*F358</f>
        <v>1550</v>
      </c>
      <c r="L358" s="237">
        <v>41093</v>
      </c>
      <c r="M358" s="1" t="s">
        <v>2390</v>
      </c>
      <c r="N358" s="235">
        <f t="shared" si="20"/>
        <v>1700</v>
      </c>
      <c r="O358" s="235">
        <f t="shared" si="21"/>
        <v>0</v>
      </c>
      <c r="P358" s="238" t="s">
        <v>2518</v>
      </c>
      <c r="Q358" s="1" t="s">
        <v>2212</v>
      </c>
      <c r="R358" s="239" t="s">
        <v>2519</v>
      </c>
      <c r="S358" s="238" t="s">
        <v>2520</v>
      </c>
      <c r="T358" s="238" t="s">
        <v>2082</v>
      </c>
      <c r="V358" s="238" t="s">
        <v>2488</v>
      </c>
      <c r="Y358" s="239"/>
      <c r="Z358" s="239"/>
      <c r="AB358" s="1" t="s">
        <v>2079</v>
      </c>
    </row>
    <row r="359" spans="1:28" ht="11.25" customHeight="1">
      <c r="A359" s="233">
        <v>41093</v>
      </c>
      <c r="B359" s="1" t="s">
        <v>2521</v>
      </c>
      <c r="C359" s="1" t="s">
        <v>2080</v>
      </c>
      <c r="D359" s="1" t="s">
        <v>1763</v>
      </c>
      <c r="E359" s="1" t="s">
        <v>2522</v>
      </c>
      <c r="F359" s="5">
        <v>600</v>
      </c>
      <c r="G359" s="1" t="s">
        <v>231</v>
      </c>
      <c r="H359" s="234">
        <v>3.65</v>
      </c>
      <c r="I359" s="236">
        <f t="shared" ref="I359:I370" si="23">H359*F359</f>
        <v>2190</v>
      </c>
      <c r="J359" s="351"/>
      <c r="K359" s="241">
        <f>2.6*F359</f>
        <v>1560</v>
      </c>
      <c r="L359" s="237">
        <v>41093</v>
      </c>
      <c r="M359" s="1" t="s">
        <v>2390</v>
      </c>
      <c r="N359" s="235">
        <f t="shared" si="20"/>
        <v>2190</v>
      </c>
      <c r="O359" s="235">
        <f t="shared" si="21"/>
        <v>0</v>
      </c>
      <c r="P359" s="238" t="s">
        <v>2523</v>
      </c>
      <c r="Q359" s="1" t="s">
        <v>2505</v>
      </c>
      <c r="R359" s="239" t="s">
        <v>2524</v>
      </c>
      <c r="S359" s="238" t="s">
        <v>2525</v>
      </c>
      <c r="T359" s="238" t="s">
        <v>2526</v>
      </c>
      <c r="V359" s="238" t="s">
        <v>2488</v>
      </c>
      <c r="Y359" s="239"/>
      <c r="Z359" s="239"/>
      <c r="AB359" s="1" t="s">
        <v>2527</v>
      </c>
    </row>
    <row r="360" spans="1:28" ht="11.25" customHeight="1">
      <c r="A360" s="233">
        <v>41093</v>
      </c>
      <c r="B360" s="1" t="s">
        <v>2528</v>
      </c>
      <c r="C360" s="1" t="s">
        <v>2080</v>
      </c>
      <c r="D360" s="1" t="s">
        <v>2019</v>
      </c>
      <c r="E360" s="1">
        <v>4690</v>
      </c>
      <c r="F360" s="5">
        <v>1</v>
      </c>
      <c r="G360" s="1" t="s">
        <v>2529</v>
      </c>
      <c r="H360" s="234">
        <v>228</v>
      </c>
      <c r="I360" s="236">
        <f t="shared" si="23"/>
        <v>228</v>
      </c>
      <c r="J360" s="351"/>
      <c r="K360" s="241">
        <f>212.43*F360</f>
        <v>212.43</v>
      </c>
      <c r="L360" s="237">
        <v>41094</v>
      </c>
      <c r="M360" s="1" t="s">
        <v>2390</v>
      </c>
      <c r="N360" s="235">
        <f t="shared" si="20"/>
        <v>228</v>
      </c>
      <c r="O360" s="235">
        <f t="shared" si="21"/>
        <v>0</v>
      </c>
      <c r="P360" s="238" t="s">
        <v>2530</v>
      </c>
      <c r="Q360" s="1" t="s">
        <v>2505</v>
      </c>
      <c r="R360" s="239" t="s">
        <v>2531</v>
      </c>
      <c r="S360" s="238" t="s">
        <v>2532</v>
      </c>
      <c r="T360" s="238" t="s">
        <v>2533</v>
      </c>
      <c r="V360" s="238" t="s">
        <v>2488</v>
      </c>
      <c r="Y360" s="239"/>
      <c r="Z360" s="239"/>
      <c r="AB360" s="1" t="s">
        <v>2527</v>
      </c>
    </row>
    <row r="361" spans="1:28" ht="11.25" customHeight="1">
      <c r="A361" s="233">
        <v>41093</v>
      </c>
      <c r="B361" s="1" t="s">
        <v>2528</v>
      </c>
      <c r="C361" s="1" t="s">
        <v>2080</v>
      </c>
      <c r="D361" s="1" t="s">
        <v>2020</v>
      </c>
      <c r="E361" s="1">
        <v>4690</v>
      </c>
      <c r="F361" s="5">
        <v>1</v>
      </c>
      <c r="G361" s="1" t="s">
        <v>2529</v>
      </c>
      <c r="H361" s="234">
        <v>228</v>
      </c>
      <c r="I361" s="236">
        <f t="shared" si="23"/>
        <v>228</v>
      </c>
      <c r="J361" s="351"/>
      <c r="K361" s="241">
        <f>212.43*F361</f>
        <v>212.43</v>
      </c>
      <c r="L361" s="237">
        <v>41094</v>
      </c>
      <c r="M361" s="1" t="s">
        <v>2390</v>
      </c>
      <c r="N361" s="235">
        <f t="shared" si="20"/>
        <v>228</v>
      </c>
      <c r="O361" s="235">
        <f t="shared" si="21"/>
        <v>0</v>
      </c>
      <c r="P361" s="238" t="s">
        <v>2530</v>
      </c>
      <c r="Q361" s="1" t="s">
        <v>2505</v>
      </c>
      <c r="R361" s="239" t="s">
        <v>2531</v>
      </c>
      <c r="S361" s="238" t="s">
        <v>2532</v>
      </c>
      <c r="T361" s="238" t="s">
        <v>2533</v>
      </c>
      <c r="V361" s="238" t="s">
        <v>2488</v>
      </c>
      <c r="Y361" s="239"/>
      <c r="Z361" s="239"/>
      <c r="AB361" s="1" t="s">
        <v>2527</v>
      </c>
    </row>
    <row r="362" spans="1:28" ht="11.25" customHeight="1">
      <c r="A362" s="233">
        <v>41095</v>
      </c>
      <c r="B362" s="1" t="s">
        <v>2534</v>
      </c>
      <c r="C362" s="1" t="s">
        <v>2080</v>
      </c>
      <c r="D362" s="1" t="s">
        <v>353</v>
      </c>
      <c r="E362" s="1" t="s">
        <v>2492</v>
      </c>
      <c r="F362" s="5">
        <v>4</v>
      </c>
      <c r="G362" s="1" t="s">
        <v>229</v>
      </c>
      <c r="H362" s="234">
        <v>25.9</v>
      </c>
      <c r="I362" s="236">
        <f t="shared" si="23"/>
        <v>103.6</v>
      </c>
      <c r="J362" s="351">
        <v>18.5</v>
      </c>
      <c r="K362" s="241">
        <f>18.5*F362</f>
        <v>74</v>
      </c>
      <c r="L362" s="237">
        <v>41095</v>
      </c>
      <c r="M362" s="1" t="s">
        <v>2390</v>
      </c>
      <c r="N362" s="235">
        <f t="shared" si="20"/>
        <v>103.6</v>
      </c>
      <c r="O362" s="235">
        <f t="shared" si="21"/>
        <v>0</v>
      </c>
      <c r="P362" s="238" t="s">
        <v>2535</v>
      </c>
      <c r="Q362" s="1" t="s">
        <v>2212</v>
      </c>
      <c r="R362" s="239" t="s">
        <v>2536</v>
      </c>
      <c r="S362" s="238" t="s">
        <v>2537</v>
      </c>
      <c r="T362" s="238" t="s">
        <v>2538</v>
      </c>
      <c r="V362" s="238" t="s">
        <v>2488</v>
      </c>
      <c r="Y362" s="239"/>
      <c r="Z362" s="239"/>
      <c r="AB362" s="1" t="s">
        <v>2079</v>
      </c>
    </row>
    <row r="363" spans="1:28" ht="11.25" customHeight="1">
      <c r="A363" s="233">
        <v>41095</v>
      </c>
      <c r="B363" s="1" t="s">
        <v>2534</v>
      </c>
      <c r="C363" s="1" t="s">
        <v>2080</v>
      </c>
      <c r="D363" s="1" t="s">
        <v>232</v>
      </c>
      <c r="E363" s="1" t="s">
        <v>2107</v>
      </c>
      <c r="F363" s="5">
        <v>4</v>
      </c>
      <c r="G363" s="1" t="s">
        <v>231</v>
      </c>
      <c r="H363" s="234">
        <v>7.3</v>
      </c>
      <c r="I363" s="236">
        <f t="shared" si="23"/>
        <v>29.2</v>
      </c>
      <c r="J363" s="351">
        <v>5.0999999999999996</v>
      </c>
      <c r="K363" s="241">
        <f>5.1*F363</f>
        <v>20.399999999999999</v>
      </c>
      <c r="L363" s="237">
        <v>41095</v>
      </c>
      <c r="M363" s="1" t="s">
        <v>2390</v>
      </c>
      <c r="N363" s="235">
        <f t="shared" si="20"/>
        <v>29.2</v>
      </c>
      <c r="O363" s="235">
        <f t="shared" si="21"/>
        <v>0</v>
      </c>
      <c r="P363" s="238" t="s">
        <v>2535</v>
      </c>
      <c r="Q363" s="1" t="s">
        <v>2212</v>
      </c>
      <c r="R363" s="239" t="s">
        <v>2536</v>
      </c>
      <c r="S363" s="238" t="s">
        <v>2537</v>
      </c>
      <c r="T363" s="238" t="s">
        <v>2538</v>
      </c>
      <c r="V363" s="238" t="s">
        <v>2488</v>
      </c>
      <c r="Y363" s="239"/>
      <c r="Z363" s="239"/>
      <c r="AB363" s="1" t="s">
        <v>2079</v>
      </c>
    </row>
    <row r="364" spans="1:28" ht="11.25" customHeight="1">
      <c r="A364" s="233">
        <v>41095</v>
      </c>
      <c r="B364" s="1" t="s">
        <v>2534</v>
      </c>
      <c r="C364" s="1" t="s">
        <v>2080</v>
      </c>
      <c r="D364" s="1" t="s">
        <v>263</v>
      </c>
      <c r="E364" s="1">
        <v>501</v>
      </c>
      <c r="F364" s="5">
        <v>4</v>
      </c>
      <c r="G364" s="1" t="s">
        <v>229</v>
      </c>
      <c r="H364" s="234">
        <v>1.8</v>
      </c>
      <c r="I364" s="236">
        <f t="shared" si="23"/>
        <v>7.2</v>
      </c>
      <c r="J364" s="351">
        <v>1.4</v>
      </c>
      <c r="K364" s="241">
        <f>1.4*F364</f>
        <v>5.6</v>
      </c>
      <c r="L364" s="237">
        <v>41095</v>
      </c>
      <c r="M364" s="1" t="s">
        <v>2390</v>
      </c>
      <c r="N364" s="235">
        <f t="shared" si="20"/>
        <v>7.2</v>
      </c>
      <c r="O364" s="235">
        <f t="shared" si="21"/>
        <v>0</v>
      </c>
      <c r="P364" s="238" t="s">
        <v>2535</v>
      </c>
      <c r="Q364" s="1" t="s">
        <v>2212</v>
      </c>
      <c r="R364" s="239" t="s">
        <v>2536</v>
      </c>
      <c r="S364" s="238" t="s">
        <v>2537</v>
      </c>
      <c r="T364" s="238" t="s">
        <v>2538</v>
      </c>
      <c r="V364" s="238" t="s">
        <v>2488</v>
      </c>
      <c r="Y364" s="239"/>
      <c r="Z364" s="239"/>
      <c r="AB364" s="1" t="s">
        <v>2079</v>
      </c>
    </row>
    <row r="365" spans="1:28" ht="11.25" customHeight="1">
      <c r="A365" s="233">
        <v>41096</v>
      </c>
      <c r="B365" s="1" t="s">
        <v>2108</v>
      </c>
      <c r="C365" s="1" t="s">
        <v>2080</v>
      </c>
      <c r="D365" s="1" t="s">
        <v>1867</v>
      </c>
      <c r="E365" s="1">
        <v>6006</v>
      </c>
      <c r="F365" s="5">
        <v>20</v>
      </c>
      <c r="G365" s="1" t="s">
        <v>229</v>
      </c>
      <c r="H365" s="234">
        <v>60.11</v>
      </c>
      <c r="I365" s="236">
        <f t="shared" si="23"/>
        <v>1202.2</v>
      </c>
      <c r="J365" s="351"/>
      <c r="K365" s="241">
        <f>57.708*F365</f>
        <v>1154.1599999999999</v>
      </c>
      <c r="L365" s="237">
        <v>41096</v>
      </c>
      <c r="M365" s="1" t="s">
        <v>2390</v>
      </c>
      <c r="N365" s="235">
        <f t="shared" si="20"/>
        <v>1202.2</v>
      </c>
      <c r="O365" s="235">
        <f t="shared" si="21"/>
        <v>0</v>
      </c>
      <c r="P365" s="238" t="s">
        <v>2539</v>
      </c>
      <c r="Q365" s="1" t="s">
        <v>2212</v>
      </c>
      <c r="R365" s="239" t="s">
        <v>2540</v>
      </c>
      <c r="S365" s="238" t="s">
        <v>2541</v>
      </c>
      <c r="T365" s="238" t="s">
        <v>795</v>
      </c>
      <c r="V365" s="238" t="s">
        <v>7000</v>
      </c>
      <c r="W365" s="236">
        <v>5687</v>
      </c>
      <c r="X365" s="233">
        <v>41417</v>
      </c>
      <c r="Y365" s="239" t="s">
        <v>6988</v>
      </c>
      <c r="Z365" s="239"/>
      <c r="AB365" s="1" t="s">
        <v>2527</v>
      </c>
    </row>
    <row r="366" spans="1:28" ht="11.25" customHeight="1">
      <c r="A366" s="233">
        <v>41096</v>
      </c>
      <c r="B366" s="1" t="s">
        <v>2108</v>
      </c>
      <c r="C366" s="1" t="s">
        <v>2080</v>
      </c>
      <c r="D366" s="1" t="s">
        <v>232</v>
      </c>
      <c r="E366" s="1" t="s">
        <v>2107</v>
      </c>
      <c r="F366" s="5">
        <v>50</v>
      </c>
      <c r="G366" s="1" t="s">
        <v>231</v>
      </c>
      <c r="H366" s="234">
        <v>5.52</v>
      </c>
      <c r="I366" s="236">
        <f t="shared" si="23"/>
        <v>276</v>
      </c>
      <c r="J366" s="351">
        <v>5.0999999999999996</v>
      </c>
      <c r="K366" s="241">
        <f>5.1*F366</f>
        <v>254.99999999999997</v>
      </c>
      <c r="L366" s="237">
        <v>41096</v>
      </c>
      <c r="M366" s="1" t="s">
        <v>2390</v>
      </c>
      <c r="N366" s="235">
        <f t="shared" si="20"/>
        <v>276</v>
      </c>
      <c r="O366" s="235">
        <f t="shared" si="21"/>
        <v>0</v>
      </c>
      <c r="P366" s="238" t="s">
        <v>2539</v>
      </c>
      <c r="Q366" s="1" t="s">
        <v>2212</v>
      </c>
      <c r="R366" s="239" t="s">
        <v>2540</v>
      </c>
      <c r="S366" s="238" t="s">
        <v>2541</v>
      </c>
      <c r="T366" s="238" t="s">
        <v>795</v>
      </c>
      <c r="V366" s="238" t="s">
        <v>7000</v>
      </c>
      <c r="W366" s="236">
        <v>5687</v>
      </c>
      <c r="X366" s="233">
        <v>41417</v>
      </c>
      <c r="Y366" s="239" t="s">
        <v>6988</v>
      </c>
      <c r="Z366" s="239"/>
      <c r="AB366" s="1" t="s">
        <v>2527</v>
      </c>
    </row>
    <row r="367" spans="1:28" ht="11.25" customHeight="1">
      <c r="A367" s="257">
        <v>41096</v>
      </c>
      <c r="B367" s="229" t="s">
        <v>2108</v>
      </c>
      <c r="C367" s="1" t="s">
        <v>2080</v>
      </c>
      <c r="D367" s="229" t="s">
        <v>273</v>
      </c>
      <c r="E367" s="229" t="s">
        <v>2110</v>
      </c>
      <c r="F367" s="5">
        <v>-20</v>
      </c>
      <c r="G367" s="229" t="s">
        <v>2086</v>
      </c>
      <c r="H367" s="258">
        <v>35</v>
      </c>
      <c r="I367" s="236">
        <f t="shared" si="23"/>
        <v>-700</v>
      </c>
      <c r="J367" s="351">
        <v>32</v>
      </c>
      <c r="K367" s="241">
        <v>-640</v>
      </c>
      <c r="L367" s="237" t="s">
        <v>2082</v>
      </c>
      <c r="M367" s="229" t="s">
        <v>2542</v>
      </c>
      <c r="N367" s="235">
        <f t="shared" si="20"/>
        <v>-700</v>
      </c>
      <c r="O367" s="235">
        <f t="shared" si="21"/>
        <v>0</v>
      </c>
      <c r="P367" s="238" t="s">
        <v>4886</v>
      </c>
      <c r="Q367" s="229" t="s">
        <v>2505</v>
      </c>
      <c r="R367" s="239" t="s">
        <v>2540</v>
      </c>
      <c r="S367" s="238" t="s">
        <v>2541</v>
      </c>
      <c r="T367" s="238" t="s">
        <v>795</v>
      </c>
      <c r="V367" s="238" t="s">
        <v>7000</v>
      </c>
      <c r="W367" s="236">
        <v>5687</v>
      </c>
      <c r="X367" s="233">
        <v>41417</v>
      </c>
      <c r="Y367" s="239" t="s">
        <v>6988</v>
      </c>
      <c r="Z367" s="239"/>
      <c r="AB367" s="1" t="s">
        <v>2527</v>
      </c>
    </row>
    <row r="368" spans="1:28" ht="11.25" customHeight="1">
      <c r="A368" s="233">
        <v>41097</v>
      </c>
      <c r="B368" s="1" t="s">
        <v>2543</v>
      </c>
      <c r="C368" s="1" t="s">
        <v>2080</v>
      </c>
      <c r="D368" s="1" t="s">
        <v>692</v>
      </c>
      <c r="E368" s="1" t="s">
        <v>2544</v>
      </c>
      <c r="F368" s="5">
        <v>2</v>
      </c>
      <c r="G368" s="1" t="s">
        <v>2398</v>
      </c>
      <c r="H368" s="234">
        <v>2.4</v>
      </c>
      <c r="I368" s="236">
        <f t="shared" si="23"/>
        <v>4.8</v>
      </c>
      <c r="J368" s="351"/>
      <c r="K368" s="254">
        <v>0</v>
      </c>
      <c r="L368" s="237">
        <v>41097</v>
      </c>
      <c r="M368" s="1" t="s">
        <v>2390</v>
      </c>
      <c r="N368" s="235">
        <f t="shared" si="20"/>
        <v>4.8</v>
      </c>
      <c r="O368" s="235">
        <f t="shared" si="21"/>
        <v>0</v>
      </c>
      <c r="P368" s="238" t="s">
        <v>2545</v>
      </c>
      <c r="Q368" s="1" t="s">
        <v>2212</v>
      </c>
      <c r="R368" s="239" t="s">
        <v>2546</v>
      </c>
      <c r="S368" s="238" t="s">
        <v>2547</v>
      </c>
      <c r="T368" s="238" t="s">
        <v>2548</v>
      </c>
      <c r="V368" s="238" t="s">
        <v>2488</v>
      </c>
      <c r="Y368" s="239"/>
      <c r="Z368" s="239" t="s">
        <v>2549</v>
      </c>
      <c r="AB368" s="1" t="s">
        <v>2079</v>
      </c>
    </row>
    <row r="369" spans="1:28" ht="11.25" customHeight="1">
      <c r="A369" s="233">
        <v>41097</v>
      </c>
      <c r="B369" s="1" t="s">
        <v>2543</v>
      </c>
      <c r="C369" s="1" t="s">
        <v>2080</v>
      </c>
      <c r="D369" s="1" t="s">
        <v>2009</v>
      </c>
      <c r="E369" s="1" t="s">
        <v>2081</v>
      </c>
      <c r="F369" s="5">
        <v>2</v>
      </c>
      <c r="G369" s="1" t="s">
        <v>2398</v>
      </c>
      <c r="H369" s="234">
        <v>42</v>
      </c>
      <c r="I369" s="236">
        <f t="shared" si="23"/>
        <v>84</v>
      </c>
      <c r="J369" s="351">
        <v>30.15</v>
      </c>
      <c r="K369" s="241">
        <f>30.15*F369</f>
        <v>60.3</v>
      </c>
      <c r="L369" s="237">
        <v>41097</v>
      </c>
      <c r="M369" s="1" t="s">
        <v>2390</v>
      </c>
      <c r="N369" s="235">
        <f t="shared" si="20"/>
        <v>84</v>
      </c>
      <c r="O369" s="235">
        <f t="shared" si="21"/>
        <v>0</v>
      </c>
      <c r="P369" s="238" t="s">
        <v>2545</v>
      </c>
      <c r="Q369" s="1" t="s">
        <v>2212</v>
      </c>
      <c r="R369" s="239" t="s">
        <v>2546</v>
      </c>
      <c r="S369" s="238" t="s">
        <v>2547</v>
      </c>
      <c r="T369" s="238" t="s">
        <v>2548</v>
      </c>
      <c r="V369" s="238" t="s">
        <v>2488</v>
      </c>
      <c r="Y369" s="239"/>
      <c r="Z369" s="239"/>
      <c r="AB369" s="1" t="s">
        <v>2079</v>
      </c>
    </row>
    <row r="370" spans="1:28" ht="11.25" customHeight="1">
      <c r="A370" s="233">
        <v>41097</v>
      </c>
      <c r="B370" s="1" t="s">
        <v>2543</v>
      </c>
      <c r="C370" s="1" t="s">
        <v>2080</v>
      </c>
      <c r="D370" s="5" t="s">
        <v>2012</v>
      </c>
      <c r="E370" s="1" t="s">
        <v>2489</v>
      </c>
      <c r="F370" s="5">
        <v>50</v>
      </c>
      <c r="G370" s="1" t="s">
        <v>4970</v>
      </c>
      <c r="H370" s="234">
        <v>2.2999999999999998</v>
      </c>
      <c r="I370" s="236">
        <f t="shared" si="23"/>
        <v>114.99999999999999</v>
      </c>
      <c r="J370" s="351">
        <v>1.58</v>
      </c>
      <c r="K370" s="241">
        <f>1.58*F370</f>
        <v>79</v>
      </c>
      <c r="L370" s="237">
        <v>41097</v>
      </c>
      <c r="M370" s="1" t="s">
        <v>2390</v>
      </c>
      <c r="N370" s="235">
        <f t="shared" si="20"/>
        <v>114.99999999999999</v>
      </c>
      <c r="O370" s="235">
        <f t="shared" si="21"/>
        <v>0</v>
      </c>
      <c r="P370" s="238" t="s">
        <v>2545</v>
      </c>
      <c r="Q370" s="1" t="s">
        <v>2212</v>
      </c>
      <c r="R370" s="239" t="s">
        <v>2546</v>
      </c>
      <c r="S370" s="238" t="s">
        <v>2547</v>
      </c>
      <c r="T370" s="238" t="s">
        <v>2548</v>
      </c>
      <c r="V370" s="238" t="s">
        <v>2488</v>
      </c>
      <c r="Y370" s="239"/>
      <c r="Z370" s="239"/>
      <c r="AB370" s="1" t="s">
        <v>2079</v>
      </c>
    </row>
    <row r="371" spans="1:28" ht="11.25" customHeight="1">
      <c r="A371" s="233">
        <v>41099</v>
      </c>
      <c r="B371" s="1" t="s">
        <v>2550</v>
      </c>
      <c r="C371" s="1" t="s">
        <v>2080</v>
      </c>
      <c r="D371" s="1" t="s">
        <v>268</v>
      </c>
      <c r="E371" s="1" t="s">
        <v>2120</v>
      </c>
      <c r="F371" s="5">
        <v>5</v>
      </c>
      <c r="G371" s="1" t="s">
        <v>231</v>
      </c>
      <c r="H371" s="234">
        <v>2</v>
      </c>
      <c r="I371" s="236">
        <f t="shared" ref="I371:I421" si="24">H371*F371</f>
        <v>10</v>
      </c>
      <c r="J371" s="352">
        <v>1.43</v>
      </c>
      <c r="K371" s="241">
        <f>1.43*F371</f>
        <v>7.1499999999999995</v>
      </c>
      <c r="L371" s="237">
        <v>41099</v>
      </c>
      <c r="M371" s="1" t="s">
        <v>2390</v>
      </c>
      <c r="N371" s="235">
        <f t="shared" si="20"/>
        <v>10</v>
      </c>
      <c r="O371" s="235">
        <f t="shared" si="21"/>
        <v>0</v>
      </c>
      <c r="P371" s="238" t="s">
        <v>2551</v>
      </c>
      <c r="Q371" s="1" t="s">
        <v>2212</v>
      </c>
      <c r="R371" s="239" t="s">
        <v>2552</v>
      </c>
      <c r="S371" s="238" t="s">
        <v>2553</v>
      </c>
      <c r="T371" s="238" t="s">
        <v>2554</v>
      </c>
      <c r="V371" s="238" t="s">
        <v>2488</v>
      </c>
      <c r="Y371" s="239"/>
      <c r="Z371" s="239"/>
      <c r="AB371" s="1" t="s">
        <v>2079</v>
      </c>
    </row>
    <row r="372" spans="1:28" ht="11.25" customHeight="1">
      <c r="A372" s="233">
        <v>41099</v>
      </c>
      <c r="B372" s="1" t="s">
        <v>2550</v>
      </c>
      <c r="C372" s="1" t="s">
        <v>2080</v>
      </c>
      <c r="D372" s="1" t="s">
        <v>1210</v>
      </c>
      <c r="E372" s="1">
        <v>3200</v>
      </c>
      <c r="F372" s="5">
        <v>5</v>
      </c>
      <c r="G372" s="1" t="s">
        <v>2086</v>
      </c>
      <c r="H372" s="234">
        <v>40.5</v>
      </c>
      <c r="I372" s="236">
        <f t="shared" si="24"/>
        <v>202.5</v>
      </c>
      <c r="J372" s="351">
        <v>28</v>
      </c>
      <c r="K372" s="241">
        <f>28*3+28.73*2</f>
        <v>141.46</v>
      </c>
      <c r="L372" s="237">
        <v>41099</v>
      </c>
      <c r="M372" s="1" t="s">
        <v>2390</v>
      </c>
      <c r="N372" s="235">
        <f t="shared" si="20"/>
        <v>202.5</v>
      </c>
      <c r="O372" s="235">
        <f t="shared" si="21"/>
        <v>0</v>
      </c>
      <c r="P372" s="238" t="s">
        <v>2551</v>
      </c>
      <c r="Q372" s="1" t="s">
        <v>2212</v>
      </c>
      <c r="R372" s="239" t="s">
        <v>2552</v>
      </c>
      <c r="S372" s="238" t="s">
        <v>2553</v>
      </c>
      <c r="T372" s="238" t="s">
        <v>2554</v>
      </c>
      <c r="V372" s="238" t="s">
        <v>2488</v>
      </c>
      <c r="Y372" s="239"/>
      <c r="Z372" s="239"/>
      <c r="AB372" s="1" t="s">
        <v>2079</v>
      </c>
    </row>
    <row r="373" spans="1:28" ht="11.25" customHeight="1">
      <c r="A373" s="233">
        <v>41099</v>
      </c>
      <c r="B373" s="1" t="s">
        <v>2550</v>
      </c>
      <c r="C373" s="1" t="s">
        <v>2080</v>
      </c>
      <c r="D373" s="1" t="s">
        <v>263</v>
      </c>
      <c r="E373" s="1" t="s">
        <v>2118</v>
      </c>
      <c r="F373" s="5">
        <v>5</v>
      </c>
      <c r="G373" s="1" t="s">
        <v>2086</v>
      </c>
      <c r="H373" s="234">
        <v>2.7</v>
      </c>
      <c r="I373" s="236">
        <f t="shared" si="24"/>
        <v>13.5</v>
      </c>
      <c r="J373" s="351">
        <v>1.92</v>
      </c>
      <c r="K373" s="241">
        <f>2*5</f>
        <v>10</v>
      </c>
      <c r="L373" s="237">
        <v>41099</v>
      </c>
      <c r="M373" s="1" t="s">
        <v>2390</v>
      </c>
      <c r="N373" s="235">
        <f t="shared" si="20"/>
        <v>13.5</v>
      </c>
      <c r="O373" s="235">
        <f t="shared" si="21"/>
        <v>0</v>
      </c>
      <c r="P373" s="238" t="s">
        <v>2551</v>
      </c>
      <c r="Q373" s="1" t="s">
        <v>2212</v>
      </c>
      <c r="R373" s="239" t="s">
        <v>2552</v>
      </c>
      <c r="S373" s="238" t="s">
        <v>2553</v>
      </c>
      <c r="T373" s="238" t="s">
        <v>2554</v>
      </c>
      <c r="V373" s="238" t="s">
        <v>2488</v>
      </c>
      <c r="Y373" s="239"/>
      <c r="Z373" s="239"/>
      <c r="AB373" s="1" t="s">
        <v>2079</v>
      </c>
    </row>
    <row r="374" spans="1:28" ht="11.25" customHeight="1">
      <c r="A374" s="233">
        <v>41099</v>
      </c>
      <c r="B374" s="1" t="s">
        <v>2550</v>
      </c>
      <c r="C374" s="1" t="s">
        <v>2080</v>
      </c>
      <c r="D374" s="1" t="s">
        <v>353</v>
      </c>
      <c r="E374" s="1" t="s">
        <v>2397</v>
      </c>
      <c r="F374" s="5">
        <v>5</v>
      </c>
      <c r="G374" s="1" t="s">
        <v>2086</v>
      </c>
      <c r="H374" s="234">
        <v>19.8</v>
      </c>
      <c r="I374" s="236">
        <f t="shared" si="24"/>
        <v>99</v>
      </c>
      <c r="J374" s="352">
        <v>13.33</v>
      </c>
      <c r="K374" s="241">
        <f>13.33*F374</f>
        <v>66.650000000000006</v>
      </c>
      <c r="L374" s="237">
        <v>41099</v>
      </c>
      <c r="M374" s="1" t="s">
        <v>2390</v>
      </c>
      <c r="N374" s="235">
        <f t="shared" si="20"/>
        <v>99</v>
      </c>
      <c r="O374" s="235">
        <f t="shared" si="21"/>
        <v>0</v>
      </c>
      <c r="P374" s="238" t="s">
        <v>2551</v>
      </c>
      <c r="Q374" s="1" t="s">
        <v>2212</v>
      </c>
      <c r="R374" s="239" t="s">
        <v>2552</v>
      </c>
      <c r="S374" s="238" t="s">
        <v>2553</v>
      </c>
      <c r="T374" s="238" t="s">
        <v>2554</v>
      </c>
      <c r="V374" s="238" t="s">
        <v>2488</v>
      </c>
      <c r="Y374" s="239"/>
      <c r="Z374" s="239"/>
      <c r="AB374" s="1" t="s">
        <v>2079</v>
      </c>
    </row>
    <row r="375" spans="1:28" ht="11.25" customHeight="1">
      <c r="A375" s="233">
        <v>41099</v>
      </c>
      <c r="B375" s="1" t="s">
        <v>2550</v>
      </c>
      <c r="C375" s="1" t="s">
        <v>2080</v>
      </c>
      <c r="D375" s="1" t="s">
        <v>268</v>
      </c>
      <c r="E375" s="1" t="s">
        <v>2120</v>
      </c>
      <c r="F375" s="5">
        <v>20</v>
      </c>
      <c r="G375" s="1" t="s">
        <v>231</v>
      </c>
      <c r="H375" s="234">
        <v>2</v>
      </c>
      <c r="I375" s="236">
        <f t="shared" si="24"/>
        <v>40</v>
      </c>
      <c r="J375" s="352">
        <v>1.43</v>
      </c>
      <c r="K375" s="241">
        <f>1.43*F375</f>
        <v>28.599999999999998</v>
      </c>
      <c r="L375" s="237">
        <v>41099</v>
      </c>
      <c r="M375" s="1" t="s">
        <v>2390</v>
      </c>
      <c r="N375" s="235">
        <f t="shared" si="20"/>
        <v>40</v>
      </c>
      <c r="O375" s="235">
        <f t="shared" si="21"/>
        <v>0</v>
      </c>
      <c r="P375" s="238" t="s">
        <v>2551</v>
      </c>
      <c r="Q375" s="1" t="s">
        <v>2212</v>
      </c>
      <c r="R375" s="239" t="s">
        <v>2552</v>
      </c>
      <c r="S375" s="238" t="s">
        <v>2553</v>
      </c>
      <c r="T375" s="238" t="s">
        <v>2554</v>
      </c>
      <c r="V375" s="238" t="s">
        <v>2488</v>
      </c>
      <c r="Y375" s="239"/>
      <c r="Z375" s="239"/>
      <c r="AB375" s="1" t="s">
        <v>2079</v>
      </c>
    </row>
    <row r="376" spans="1:28" ht="11.25" customHeight="1">
      <c r="A376" s="233">
        <v>41099</v>
      </c>
      <c r="B376" s="1" t="s">
        <v>2550</v>
      </c>
      <c r="C376" s="1" t="s">
        <v>2080</v>
      </c>
      <c r="D376" s="5" t="s">
        <v>2012</v>
      </c>
      <c r="E376" s="1" t="s">
        <v>2489</v>
      </c>
      <c r="F376" s="5">
        <v>50</v>
      </c>
      <c r="G376" s="1" t="s">
        <v>4970</v>
      </c>
      <c r="H376" s="234">
        <v>2.2999999999999998</v>
      </c>
      <c r="I376" s="236">
        <f t="shared" si="24"/>
        <v>114.99999999999999</v>
      </c>
      <c r="J376" s="351">
        <v>1.58</v>
      </c>
      <c r="K376" s="241">
        <f>1.58*F376</f>
        <v>79</v>
      </c>
      <c r="L376" s="237">
        <v>41097</v>
      </c>
      <c r="M376" s="1" t="s">
        <v>2390</v>
      </c>
      <c r="N376" s="235">
        <f t="shared" si="20"/>
        <v>114.99999999999999</v>
      </c>
      <c r="O376" s="235">
        <f t="shared" si="21"/>
        <v>0</v>
      </c>
      <c r="P376" s="238" t="s">
        <v>2545</v>
      </c>
      <c r="Q376" s="1" t="s">
        <v>2212</v>
      </c>
      <c r="R376" s="239" t="s">
        <v>2552</v>
      </c>
      <c r="S376" s="238" t="s">
        <v>2553</v>
      </c>
      <c r="T376" s="238" t="s">
        <v>2554</v>
      </c>
      <c r="V376" s="238" t="s">
        <v>2488</v>
      </c>
      <c r="Y376" s="239"/>
      <c r="Z376" s="239"/>
      <c r="AB376" s="1" t="s">
        <v>2079</v>
      </c>
    </row>
    <row r="377" spans="1:28" ht="11.25" customHeight="1">
      <c r="A377" s="233">
        <v>41100</v>
      </c>
      <c r="B377" s="1" t="s">
        <v>2555</v>
      </c>
      <c r="C377" s="1" t="s">
        <v>2080</v>
      </c>
      <c r="D377" s="1" t="s">
        <v>240</v>
      </c>
      <c r="E377" s="1">
        <v>6200</v>
      </c>
      <c r="F377" s="5">
        <v>100</v>
      </c>
      <c r="G377" s="1" t="s">
        <v>229</v>
      </c>
      <c r="H377" s="234">
        <v>44.54</v>
      </c>
      <c r="I377" s="236">
        <f t="shared" si="24"/>
        <v>4454</v>
      </c>
      <c r="J377" s="351">
        <v>42</v>
      </c>
      <c r="K377" s="241" t="e">
        <f>#REF!*F377</f>
        <v>#REF!</v>
      </c>
      <c r="L377" s="237">
        <v>41096</v>
      </c>
      <c r="M377" s="1" t="s">
        <v>2077</v>
      </c>
      <c r="N377" s="235">
        <f t="shared" si="20"/>
        <v>4454</v>
      </c>
      <c r="O377" s="235">
        <f t="shared" si="21"/>
        <v>0</v>
      </c>
      <c r="P377" s="238" t="s">
        <v>2082</v>
      </c>
      <c r="Q377" s="1" t="s">
        <v>1258</v>
      </c>
      <c r="R377" s="239" t="s">
        <v>2556</v>
      </c>
      <c r="S377" s="238" t="s">
        <v>784</v>
      </c>
      <c r="T377" s="238" t="s">
        <v>2557</v>
      </c>
      <c r="U377" s="238" t="s">
        <v>2558</v>
      </c>
      <c r="V377" s="115" t="s">
        <v>2559</v>
      </c>
      <c r="W377" s="259">
        <v>10671.9</v>
      </c>
      <c r="X377" s="233">
        <v>41117</v>
      </c>
      <c r="Y377" s="239"/>
      <c r="Z377" s="239"/>
      <c r="AB377" s="1" t="s">
        <v>2527</v>
      </c>
    </row>
    <row r="378" spans="1:28" ht="11.25" customHeight="1">
      <c r="A378" s="233">
        <v>41100</v>
      </c>
      <c r="B378" s="1" t="s">
        <v>2555</v>
      </c>
      <c r="C378" s="1" t="s">
        <v>2080</v>
      </c>
      <c r="D378" s="1" t="s">
        <v>353</v>
      </c>
      <c r="E378" s="1" t="s">
        <v>2492</v>
      </c>
      <c r="F378" s="5">
        <v>200</v>
      </c>
      <c r="G378" s="1" t="s">
        <v>229</v>
      </c>
      <c r="H378" s="234">
        <v>18.39</v>
      </c>
      <c r="I378" s="236">
        <f t="shared" si="24"/>
        <v>3678</v>
      </c>
      <c r="J378" s="351">
        <v>17.5</v>
      </c>
      <c r="K378" s="241">
        <f>17.5*F378</f>
        <v>3500</v>
      </c>
      <c r="L378" s="237">
        <v>41096</v>
      </c>
      <c r="M378" s="1" t="s">
        <v>2077</v>
      </c>
      <c r="N378" s="235">
        <f t="shared" si="20"/>
        <v>3678</v>
      </c>
      <c r="O378" s="235">
        <f t="shared" si="21"/>
        <v>0</v>
      </c>
      <c r="P378" s="238" t="s">
        <v>2082</v>
      </c>
      <c r="Q378" s="1" t="s">
        <v>2560</v>
      </c>
      <c r="R378" s="239" t="s">
        <v>2556</v>
      </c>
      <c r="S378" s="238" t="s">
        <v>784</v>
      </c>
      <c r="T378" s="238" t="s">
        <v>2557</v>
      </c>
      <c r="U378" s="238" t="s">
        <v>2558</v>
      </c>
      <c r="V378" s="115" t="s">
        <v>2559</v>
      </c>
      <c r="W378" s="259">
        <v>10671.9</v>
      </c>
      <c r="X378" s="233">
        <v>41117</v>
      </c>
      <c r="Y378" s="239"/>
      <c r="Z378" s="239"/>
      <c r="AB378" s="1" t="s">
        <v>2527</v>
      </c>
    </row>
    <row r="379" spans="1:28" ht="11.25" customHeight="1">
      <c r="A379" s="233">
        <v>41100</v>
      </c>
      <c r="B379" s="1" t="s">
        <v>2555</v>
      </c>
      <c r="C379" s="1" t="s">
        <v>2080</v>
      </c>
      <c r="D379" s="1" t="s">
        <v>232</v>
      </c>
      <c r="E379" s="1" t="s">
        <v>2107</v>
      </c>
      <c r="F379" s="5">
        <v>700</v>
      </c>
      <c r="G379" s="1" t="s">
        <v>231</v>
      </c>
      <c r="H379" s="234">
        <v>5.34</v>
      </c>
      <c r="I379" s="236">
        <f t="shared" si="24"/>
        <v>3738</v>
      </c>
      <c r="J379" s="351">
        <v>5.0599999999999996</v>
      </c>
      <c r="K379" s="241">
        <f>5.06*F379</f>
        <v>3541.9999999999995</v>
      </c>
      <c r="L379" s="237">
        <v>41096</v>
      </c>
      <c r="M379" s="1" t="s">
        <v>2077</v>
      </c>
      <c r="N379" s="235">
        <f t="shared" si="20"/>
        <v>3738</v>
      </c>
      <c r="O379" s="235">
        <f t="shared" si="21"/>
        <v>0</v>
      </c>
      <c r="P379" s="238" t="s">
        <v>2082</v>
      </c>
      <c r="Q379" s="1" t="s">
        <v>2560</v>
      </c>
      <c r="R379" s="239" t="s">
        <v>2556</v>
      </c>
      <c r="S379" s="238" t="s">
        <v>784</v>
      </c>
      <c r="T379" s="238" t="s">
        <v>2557</v>
      </c>
      <c r="U379" s="238" t="s">
        <v>2558</v>
      </c>
      <c r="V379" s="115" t="s">
        <v>837</v>
      </c>
      <c r="W379" s="260">
        <v>11145.68</v>
      </c>
      <c r="X379" s="233">
        <v>41117</v>
      </c>
      <c r="Y379" s="239"/>
      <c r="Z379" s="239"/>
      <c r="AB379" s="1" t="s">
        <v>2527</v>
      </c>
    </row>
    <row r="380" spans="1:28" ht="11.25" customHeight="1">
      <c r="A380" s="233">
        <v>41100</v>
      </c>
      <c r="B380" s="1" t="s">
        <v>2555</v>
      </c>
      <c r="C380" s="1" t="s">
        <v>2080</v>
      </c>
      <c r="D380" s="1" t="s">
        <v>263</v>
      </c>
      <c r="E380" s="1">
        <v>501</v>
      </c>
      <c r="F380" s="5">
        <v>200</v>
      </c>
      <c r="G380" s="1" t="s">
        <v>229</v>
      </c>
      <c r="H380" s="234">
        <v>1.47</v>
      </c>
      <c r="I380" s="236">
        <f t="shared" si="24"/>
        <v>294</v>
      </c>
      <c r="J380" s="351">
        <v>1.41</v>
      </c>
      <c r="K380" s="241">
        <f>1.41*F380</f>
        <v>282</v>
      </c>
      <c r="L380" s="237">
        <v>41096</v>
      </c>
      <c r="M380" s="1" t="s">
        <v>2077</v>
      </c>
      <c r="N380" s="235">
        <f t="shared" si="20"/>
        <v>294</v>
      </c>
      <c r="O380" s="235">
        <f t="shared" si="21"/>
        <v>0</v>
      </c>
      <c r="P380" s="238" t="s">
        <v>2082</v>
      </c>
      <c r="Q380" s="1" t="s">
        <v>2560</v>
      </c>
      <c r="R380" s="239" t="s">
        <v>2556</v>
      </c>
      <c r="S380" s="238" t="s">
        <v>784</v>
      </c>
      <c r="T380" s="238" t="s">
        <v>2557</v>
      </c>
      <c r="U380" s="238" t="s">
        <v>2558</v>
      </c>
      <c r="V380" s="115" t="s">
        <v>2559</v>
      </c>
      <c r="W380" s="259">
        <v>10671.9</v>
      </c>
      <c r="X380" s="233">
        <v>41117</v>
      </c>
      <c r="Y380" s="239"/>
      <c r="Z380" s="239"/>
      <c r="AB380" s="1" t="s">
        <v>2527</v>
      </c>
    </row>
    <row r="381" spans="1:28" ht="11.25" customHeight="1">
      <c r="A381" s="233">
        <v>41100</v>
      </c>
      <c r="B381" s="10" t="s">
        <v>2561</v>
      </c>
      <c r="C381" s="1" t="s">
        <v>2080</v>
      </c>
      <c r="D381" s="5" t="s">
        <v>2012</v>
      </c>
      <c r="E381" s="1" t="s">
        <v>2489</v>
      </c>
      <c r="F381" s="5">
        <v>100</v>
      </c>
      <c r="G381" s="1" t="s">
        <v>4970</v>
      </c>
      <c r="H381" s="234">
        <v>2.4</v>
      </c>
      <c r="I381" s="236">
        <f t="shared" si="24"/>
        <v>240</v>
      </c>
      <c r="J381" s="351">
        <v>1.58</v>
      </c>
      <c r="K381" s="241">
        <f>1.58*F381</f>
        <v>158</v>
      </c>
      <c r="L381" s="237">
        <v>41100</v>
      </c>
      <c r="M381" s="1" t="s">
        <v>2390</v>
      </c>
      <c r="N381" s="235">
        <f t="shared" si="20"/>
        <v>240</v>
      </c>
      <c r="O381" s="235">
        <f t="shared" si="21"/>
        <v>0</v>
      </c>
      <c r="P381" s="238" t="s">
        <v>2082</v>
      </c>
      <c r="Q381" s="1" t="s">
        <v>2562</v>
      </c>
      <c r="R381" s="239" t="s">
        <v>2563</v>
      </c>
      <c r="S381" s="238" t="s">
        <v>785</v>
      </c>
      <c r="T381" s="238" t="s">
        <v>786</v>
      </c>
      <c r="U381" s="238" t="s">
        <v>2564</v>
      </c>
      <c r="V381" s="238" t="s">
        <v>2488</v>
      </c>
      <c r="Y381" s="239"/>
      <c r="Z381" s="239"/>
      <c r="AB381" s="1" t="s">
        <v>2079</v>
      </c>
    </row>
    <row r="382" spans="1:28" ht="11.25" customHeight="1">
      <c r="A382" s="233">
        <v>41100</v>
      </c>
      <c r="B382" s="10" t="s">
        <v>2561</v>
      </c>
      <c r="C382" s="1" t="s">
        <v>2080</v>
      </c>
      <c r="D382" s="1" t="s">
        <v>1213</v>
      </c>
      <c r="E382" s="1" t="s">
        <v>2509</v>
      </c>
      <c r="F382" s="5">
        <v>1</v>
      </c>
      <c r="G382" s="1" t="s">
        <v>2398</v>
      </c>
      <c r="H382" s="234">
        <v>18</v>
      </c>
      <c r="I382" s="236">
        <f t="shared" si="24"/>
        <v>18</v>
      </c>
      <c r="J382" s="351">
        <v>13</v>
      </c>
      <c r="K382" s="250">
        <v>13</v>
      </c>
      <c r="L382" s="237">
        <v>41100</v>
      </c>
      <c r="M382" s="1" t="s">
        <v>2390</v>
      </c>
      <c r="N382" s="235">
        <f t="shared" si="20"/>
        <v>18</v>
      </c>
      <c r="O382" s="235">
        <f t="shared" si="21"/>
        <v>0</v>
      </c>
      <c r="P382" s="238" t="s">
        <v>2082</v>
      </c>
      <c r="Q382" s="1" t="s">
        <v>2562</v>
      </c>
      <c r="R382" s="239" t="s">
        <v>2563</v>
      </c>
      <c r="S382" s="238" t="s">
        <v>785</v>
      </c>
      <c r="T382" s="238" t="s">
        <v>786</v>
      </c>
      <c r="U382" s="238" t="s">
        <v>2564</v>
      </c>
      <c r="V382" s="238" t="s">
        <v>2488</v>
      </c>
      <c r="Y382" s="239"/>
      <c r="Z382" s="239"/>
      <c r="AB382" s="1" t="s">
        <v>2079</v>
      </c>
    </row>
    <row r="383" spans="1:28" ht="11.25" customHeight="1">
      <c r="A383" s="233">
        <v>41100</v>
      </c>
      <c r="B383" s="10" t="s">
        <v>2561</v>
      </c>
      <c r="C383" s="1" t="s">
        <v>2080</v>
      </c>
      <c r="D383" s="1" t="s">
        <v>2010</v>
      </c>
      <c r="E383" s="1">
        <v>10434</v>
      </c>
      <c r="F383" s="5">
        <v>2</v>
      </c>
      <c r="G383" s="1" t="s">
        <v>2398</v>
      </c>
      <c r="H383" s="234">
        <v>22</v>
      </c>
      <c r="I383" s="236">
        <f t="shared" si="24"/>
        <v>44</v>
      </c>
      <c r="J383" s="351"/>
      <c r="K383" s="241">
        <f>14.88*F383</f>
        <v>29.76</v>
      </c>
      <c r="L383" s="237">
        <v>41100</v>
      </c>
      <c r="M383" s="1" t="s">
        <v>2390</v>
      </c>
      <c r="N383" s="235">
        <f t="shared" si="20"/>
        <v>44</v>
      </c>
      <c r="O383" s="235">
        <f t="shared" si="21"/>
        <v>0</v>
      </c>
      <c r="P383" s="238" t="s">
        <v>2082</v>
      </c>
      <c r="Q383" s="1" t="s">
        <v>2562</v>
      </c>
      <c r="R383" s="239" t="s">
        <v>2563</v>
      </c>
      <c r="S383" s="238" t="s">
        <v>785</v>
      </c>
      <c r="T383" s="238" t="s">
        <v>786</v>
      </c>
      <c r="U383" s="238" t="s">
        <v>2564</v>
      </c>
      <c r="V383" s="238" t="s">
        <v>2488</v>
      </c>
      <c r="Y383" s="239"/>
      <c r="Z383" s="239"/>
      <c r="AB383" s="1" t="s">
        <v>2079</v>
      </c>
    </row>
    <row r="384" spans="1:28" ht="11.25" customHeight="1">
      <c r="A384" s="233">
        <v>41100</v>
      </c>
      <c r="B384" s="1" t="s">
        <v>2565</v>
      </c>
      <c r="C384" s="1" t="s">
        <v>2080</v>
      </c>
      <c r="D384" s="1" t="s">
        <v>2021</v>
      </c>
      <c r="E384" s="1" t="s">
        <v>2566</v>
      </c>
      <c r="F384" s="5">
        <v>1000</v>
      </c>
      <c r="G384" s="1" t="s">
        <v>231</v>
      </c>
      <c r="H384" s="234">
        <v>1.6</v>
      </c>
      <c r="I384" s="236">
        <f t="shared" si="24"/>
        <v>1600</v>
      </c>
      <c r="J384" s="351"/>
      <c r="K384" s="241">
        <f>1.5*F384</f>
        <v>1500</v>
      </c>
      <c r="L384" s="237">
        <v>41163</v>
      </c>
      <c r="M384" s="1" t="s">
        <v>2327</v>
      </c>
      <c r="N384" s="235">
        <f t="shared" si="20"/>
        <v>1600</v>
      </c>
      <c r="O384" s="235">
        <f t="shared" si="21"/>
        <v>0</v>
      </c>
      <c r="P384" s="238" t="s">
        <v>4886</v>
      </c>
      <c r="Q384" s="1" t="s">
        <v>2562</v>
      </c>
      <c r="R384" s="239" t="s">
        <v>2567</v>
      </c>
      <c r="S384" s="238" t="s">
        <v>2568</v>
      </c>
      <c r="T384" s="238" t="s">
        <v>773</v>
      </c>
      <c r="U384" s="238" t="s">
        <v>2569</v>
      </c>
      <c r="V384" s="238" t="s">
        <v>2488</v>
      </c>
      <c r="Y384" s="239"/>
      <c r="Z384" s="239"/>
      <c r="AA384" s="240" t="s">
        <v>2570</v>
      </c>
      <c r="AB384" s="1" t="s">
        <v>2527</v>
      </c>
    </row>
    <row r="385" spans="1:28" ht="11.25" customHeight="1">
      <c r="A385" s="233">
        <v>41102</v>
      </c>
      <c r="B385" s="1" t="s">
        <v>2565</v>
      </c>
      <c r="C385" s="1" t="s">
        <v>2080</v>
      </c>
      <c r="D385" s="1" t="s">
        <v>331</v>
      </c>
      <c r="E385" s="1" t="s">
        <v>2571</v>
      </c>
      <c r="F385" s="5">
        <v>1000</v>
      </c>
      <c r="G385" s="1" t="s">
        <v>231</v>
      </c>
      <c r="H385" s="234">
        <v>2.4</v>
      </c>
      <c r="I385" s="236">
        <f t="shared" si="24"/>
        <v>2400</v>
      </c>
      <c r="J385" s="351"/>
      <c r="K385" s="241">
        <f>2.25*F385</f>
        <v>2250</v>
      </c>
      <c r="L385" s="237">
        <v>41163</v>
      </c>
      <c r="M385" s="1" t="s">
        <v>2327</v>
      </c>
      <c r="N385" s="235">
        <f t="shared" si="20"/>
        <v>2400</v>
      </c>
      <c r="O385" s="235">
        <f t="shared" si="21"/>
        <v>0</v>
      </c>
      <c r="P385" s="238" t="s">
        <v>4886</v>
      </c>
      <c r="Q385" s="1" t="s">
        <v>2562</v>
      </c>
      <c r="R385" s="239" t="s">
        <v>2567</v>
      </c>
      <c r="S385" s="238" t="s">
        <v>2568</v>
      </c>
      <c r="T385" s="238" t="s">
        <v>773</v>
      </c>
      <c r="U385" s="238" t="s">
        <v>2572</v>
      </c>
      <c r="V385" s="238" t="s">
        <v>2488</v>
      </c>
      <c r="Y385" s="239"/>
      <c r="Z385" s="239"/>
      <c r="AA385" s="240" t="s">
        <v>2570</v>
      </c>
      <c r="AB385" s="1" t="s">
        <v>2527</v>
      </c>
    </row>
    <row r="386" spans="1:28" ht="11.25" customHeight="1">
      <c r="A386" s="233">
        <v>41102</v>
      </c>
      <c r="B386" s="1" t="s">
        <v>2573</v>
      </c>
      <c r="C386" s="1" t="s">
        <v>2080</v>
      </c>
      <c r="D386" s="5" t="s">
        <v>2012</v>
      </c>
      <c r="E386" s="1" t="s">
        <v>2489</v>
      </c>
      <c r="F386" s="5">
        <v>500</v>
      </c>
      <c r="G386" s="1" t="s">
        <v>4970</v>
      </c>
      <c r="H386" s="234">
        <v>2.2999999999999998</v>
      </c>
      <c r="I386" s="236">
        <f t="shared" si="24"/>
        <v>1150</v>
      </c>
      <c r="J386" s="351">
        <v>1.55</v>
      </c>
      <c r="K386" s="241">
        <f>1.55*F386</f>
        <v>775</v>
      </c>
      <c r="L386" s="237">
        <v>41101</v>
      </c>
      <c r="M386" s="1" t="s">
        <v>2327</v>
      </c>
      <c r="N386" s="235">
        <f t="shared" si="20"/>
        <v>1150</v>
      </c>
      <c r="O386" s="235">
        <f t="shared" si="21"/>
        <v>0</v>
      </c>
      <c r="P386" s="238" t="s">
        <v>2574</v>
      </c>
      <c r="Q386" s="1" t="s">
        <v>2575</v>
      </c>
      <c r="R386" s="239" t="s">
        <v>2576</v>
      </c>
      <c r="S386" s="238" t="s">
        <v>2577</v>
      </c>
      <c r="T386" s="238" t="s">
        <v>2578</v>
      </c>
      <c r="U386" s="238" t="s">
        <v>2579</v>
      </c>
      <c r="V386" s="238" t="s">
        <v>2488</v>
      </c>
      <c r="Y386" s="239"/>
      <c r="Z386" s="239"/>
      <c r="AB386" s="1" t="s">
        <v>2079</v>
      </c>
    </row>
    <row r="387" spans="1:28" ht="11.25" customHeight="1">
      <c r="A387" s="233">
        <v>41102</v>
      </c>
      <c r="B387" s="1" t="s">
        <v>2580</v>
      </c>
      <c r="C387" s="1" t="s">
        <v>2080</v>
      </c>
      <c r="D387" s="5" t="s">
        <v>2012</v>
      </c>
      <c r="E387" s="1" t="s">
        <v>2489</v>
      </c>
      <c r="F387" s="5">
        <v>50</v>
      </c>
      <c r="G387" s="1" t="s">
        <v>4970</v>
      </c>
      <c r="H387" s="234">
        <v>2.1</v>
      </c>
      <c r="I387" s="236">
        <f t="shared" si="24"/>
        <v>105</v>
      </c>
      <c r="J387" s="351">
        <v>1.55</v>
      </c>
      <c r="K387" s="241">
        <f>1.55*F387</f>
        <v>77.5</v>
      </c>
      <c r="L387" s="237">
        <v>41102</v>
      </c>
      <c r="M387" s="1" t="s">
        <v>2390</v>
      </c>
      <c r="N387" s="235">
        <f t="shared" ref="N387:N450" si="25">I387</f>
        <v>105</v>
      </c>
      <c r="O387" s="235">
        <f t="shared" ref="O387:O450" si="26">I387-N387</f>
        <v>0</v>
      </c>
      <c r="P387" s="238" t="s">
        <v>2581</v>
      </c>
      <c r="Q387" s="1" t="s">
        <v>2505</v>
      </c>
      <c r="R387" s="239" t="s">
        <v>2582</v>
      </c>
      <c r="S387" s="238" t="s">
        <v>2583</v>
      </c>
      <c r="T387" s="238" t="s">
        <v>2584</v>
      </c>
      <c r="V387" s="238" t="s">
        <v>2585</v>
      </c>
      <c r="W387" s="236">
        <v>1411</v>
      </c>
      <c r="X387" s="233">
        <v>41163</v>
      </c>
      <c r="Y387" s="239"/>
      <c r="Z387" s="239"/>
      <c r="AB387" s="1" t="s">
        <v>2527</v>
      </c>
    </row>
    <row r="388" spans="1:28" ht="11.25" customHeight="1">
      <c r="A388" s="233">
        <v>41102</v>
      </c>
      <c r="B388" s="1" t="s">
        <v>2580</v>
      </c>
      <c r="C388" s="1" t="s">
        <v>2080</v>
      </c>
      <c r="D388" s="1" t="s">
        <v>2010</v>
      </c>
      <c r="E388" s="1">
        <v>10434</v>
      </c>
      <c r="F388" s="5">
        <v>20</v>
      </c>
      <c r="G388" s="1" t="s">
        <v>2398</v>
      </c>
      <c r="H388" s="234">
        <v>17</v>
      </c>
      <c r="I388" s="236">
        <f t="shared" si="24"/>
        <v>340</v>
      </c>
      <c r="J388" s="351"/>
      <c r="K388" s="241">
        <f>14.88*F388</f>
        <v>297.60000000000002</v>
      </c>
      <c r="L388" s="237">
        <v>41102</v>
      </c>
      <c r="M388" s="1" t="s">
        <v>2390</v>
      </c>
      <c r="N388" s="235">
        <f t="shared" si="25"/>
        <v>340</v>
      </c>
      <c r="O388" s="235">
        <f t="shared" si="26"/>
        <v>0</v>
      </c>
      <c r="P388" s="238" t="s">
        <v>2581</v>
      </c>
      <c r="Q388" s="1" t="s">
        <v>2505</v>
      </c>
      <c r="R388" s="239" t="s">
        <v>2582</v>
      </c>
      <c r="S388" s="238" t="s">
        <v>2583</v>
      </c>
      <c r="T388" s="238" t="s">
        <v>2584</v>
      </c>
      <c r="V388" s="238" t="s">
        <v>2585</v>
      </c>
      <c r="W388" s="236">
        <v>1411</v>
      </c>
      <c r="X388" s="233">
        <v>41163</v>
      </c>
      <c r="Y388" s="239"/>
      <c r="Z388" s="239"/>
      <c r="AB388" s="1" t="s">
        <v>2527</v>
      </c>
    </row>
    <row r="389" spans="1:28" ht="11.25" customHeight="1">
      <c r="A389" s="233">
        <v>41102</v>
      </c>
      <c r="B389" s="1" t="s">
        <v>2580</v>
      </c>
      <c r="C389" s="1" t="s">
        <v>2080</v>
      </c>
      <c r="D389" s="1" t="s">
        <v>305</v>
      </c>
      <c r="E389" s="1">
        <v>1270</v>
      </c>
      <c r="F389" s="5">
        <v>200</v>
      </c>
      <c r="G389" s="1" t="s">
        <v>2398</v>
      </c>
      <c r="H389" s="234">
        <v>4.83</v>
      </c>
      <c r="I389" s="236">
        <f t="shared" si="24"/>
        <v>966</v>
      </c>
      <c r="J389" s="351"/>
      <c r="K389" s="241">
        <f>4.31*F389</f>
        <v>861.99999999999989</v>
      </c>
      <c r="L389" s="237">
        <v>41102</v>
      </c>
      <c r="M389" s="1" t="s">
        <v>2390</v>
      </c>
      <c r="N389" s="235">
        <f t="shared" si="25"/>
        <v>966</v>
      </c>
      <c r="O389" s="235">
        <f t="shared" si="26"/>
        <v>0</v>
      </c>
      <c r="P389" s="238" t="s">
        <v>2581</v>
      </c>
      <c r="Q389" s="1" t="s">
        <v>2505</v>
      </c>
      <c r="R389" s="239" t="s">
        <v>2582</v>
      </c>
      <c r="S389" s="238" t="s">
        <v>2583</v>
      </c>
      <c r="T389" s="238" t="s">
        <v>2584</v>
      </c>
      <c r="V389" s="238" t="s">
        <v>2585</v>
      </c>
      <c r="W389" s="236">
        <v>1411</v>
      </c>
      <c r="X389" s="233">
        <v>41163</v>
      </c>
      <c r="Y389" s="239"/>
      <c r="Z389" s="239"/>
      <c r="AB389" s="1" t="s">
        <v>2527</v>
      </c>
    </row>
    <row r="390" spans="1:28" ht="11.25" customHeight="1">
      <c r="A390" s="233">
        <v>41106</v>
      </c>
      <c r="B390" s="1" t="s">
        <v>1248</v>
      </c>
      <c r="C390" s="1" t="s">
        <v>2080</v>
      </c>
      <c r="D390" s="5" t="s">
        <v>2012</v>
      </c>
      <c r="E390" s="1" t="s">
        <v>2489</v>
      </c>
      <c r="F390" s="5">
        <v>500</v>
      </c>
      <c r="G390" s="1" t="s">
        <v>4970</v>
      </c>
      <c r="H390" s="234">
        <v>2.5</v>
      </c>
      <c r="I390" s="236">
        <f t="shared" si="24"/>
        <v>1250</v>
      </c>
      <c r="J390" s="351">
        <v>1.55</v>
      </c>
      <c r="K390" s="241">
        <f>1.55*F390</f>
        <v>775</v>
      </c>
      <c r="L390" s="237">
        <v>41106</v>
      </c>
      <c r="M390" s="1" t="s">
        <v>2327</v>
      </c>
      <c r="N390" s="235">
        <f t="shared" si="25"/>
        <v>1250</v>
      </c>
      <c r="O390" s="235">
        <f t="shared" si="26"/>
        <v>0</v>
      </c>
      <c r="P390" s="238" t="s">
        <v>2586</v>
      </c>
      <c r="Q390" s="1" t="s">
        <v>2511</v>
      </c>
      <c r="R390" s="239" t="s">
        <v>2587</v>
      </c>
      <c r="S390" s="238" t="s">
        <v>2588</v>
      </c>
      <c r="T390" s="238" t="s">
        <v>2589</v>
      </c>
      <c r="U390" s="238" t="s">
        <v>2590</v>
      </c>
      <c r="V390" s="238" t="s">
        <v>1283</v>
      </c>
      <c r="W390" s="236">
        <v>1250</v>
      </c>
      <c r="X390" s="233">
        <v>41106</v>
      </c>
      <c r="Y390" s="238" t="s">
        <v>2590</v>
      </c>
      <c r="Z390" s="238"/>
      <c r="AB390" s="1" t="s">
        <v>2079</v>
      </c>
    </row>
    <row r="391" spans="1:28" ht="11.25" customHeight="1">
      <c r="A391" s="233">
        <v>41106</v>
      </c>
      <c r="B391" s="1" t="s">
        <v>2591</v>
      </c>
      <c r="C391" s="1" t="s">
        <v>2080</v>
      </c>
      <c r="D391" s="5" t="s">
        <v>2012</v>
      </c>
      <c r="E391" s="1" t="s">
        <v>2489</v>
      </c>
      <c r="F391" s="5">
        <v>50</v>
      </c>
      <c r="G391" s="1" t="s">
        <v>4970</v>
      </c>
      <c r="H391" s="234">
        <v>2.5</v>
      </c>
      <c r="I391" s="236">
        <f t="shared" si="24"/>
        <v>125</v>
      </c>
      <c r="J391" s="351">
        <v>1.55</v>
      </c>
      <c r="K391" s="241">
        <f>1.55*F391</f>
        <v>77.5</v>
      </c>
      <c r="L391" s="237">
        <v>41106</v>
      </c>
      <c r="M391" s="1" t="s">
        <v>2327</v>
      </c>
      <c r="N391" s="235">
        <f t="shared" si="25"/>
        <v>125</v>
      </c>
      <c r="O391" s="235">
        <f t="shared" si="26"/>
        <v>0</v>
      </c>
      <c r="P391" s="238" t="s">
        <v>2592</v>
      </c>
      <c r="Q391" s="1" t="s">
        <v>2593</v>
      </c>
      <c r="R391" s="239" t="s">
        <v>2594</v>
      </c>
      <c r="S391" s="238" t="s">
        <v>2595</v>
      </c>
      <c r="T391" s="238" t="s">
        <v>2596</v>
      </c>
      <c r="V391" s="238" t="s">
        <v>2488</v>
      </c>
      <c r="Z391" s="238"/>
      <c r="AB391" s="1" t="s">
        <v>2079</v>
      </c>
    </row>
    <row r="392" spans="1:28" ht="11.25" customHeight="1">
      <c r="A392" s="233">
        <v>41107</v>
      </c>
      <c r="B392" s="1" t="s">
        <v>2555</v>
      </c>
      <c r="C392" s="1" t="s">
        <v>2080</v>
      </c>
      <c r="D392" s="1" t="s">
        <v>2018</v>
      </c>
      <c r="E392" s="1" t="s">
        <v>2597</v>
      </c>
      <c r="F392" s="5">
        <v>3144</v>
      </c>
      <c r="G392" s="1" t="s">
        <v>2086</v>
      </c>
      <c r="H392" s="234">
        <v>1.67</v>
      </c>
      <c r="I392" s="236">
        <f>H392*F392</f>
        <v>5250.48</v>
      </c>
      <c r="J392" s="351"/>
      <c r="K392" s="241">
        <f>1.65*F392</f>
        <v>5187.5999999999995</v>
      </c>
      <c r="L392" s="237">
        <v>41106</v>
      </c>
      <c r="M392" s="1" t="s">
        <v>2077</v>
      </c>
      <c r="N392" s="235">
        <f t="shared" si="25"/>
        <v>5250.48</v>
      </c>
      <c r="O392" s="235">
        <f t="shared" si="26"/>
        <v>0</v>
      </c>
      <c r="P392" s="238" t="s">
        <v>2598</v>
      </c>
      <c r="Q392" s="1" t="s">
        <v>2599</v>
      </c>
      <c r="R392" s="239" t="s">
        <v>2600</v>
      </c>
      <c r="S392" s="238" t="s">
        <v>2601</v>
      </c>
      <c r="T392" s="238" t="s">
        <v>2602</v>
      </c>
      <c r="U392" s="238" t="s">
        <v>2603</v>
      </c>
      <c r="V392" s="115" t="s">
        <v>837</v>
      </c>
      <c r="W392" s="260">
        <v>11145.68</v>
      </c>
      <c r="X392" s="233">
        <v>41117</v>
      </c>
      <c r="Z392" s="238"/>
      <c r="AB392" s="1" t="s">
        <v>2527</v>
      </c>
    </row>
    <row r="393" spans="1:28" ht="11.25" customHeight="1">
      <c r="A393" s="233">
        <v>41107</v>
      </c>
      <c r="B393" s="1" t="s">
        <v>2555</v>
      </c>
      <c r="C393" s="1" t="s">
        <v>2080</v>
      </c>
      <c r="D393" s="1" t="s">
        <v>1213</v>
      </c>
      <c r="E393" s="1" t="s">
        <v>2509</v>
      </c>
      <c r="F393" s="5">
        <v>37</v>
      </c>
      <c r="G393" s="1" t="s">
        <v>2398</v>
      </c>
      <c r="H393" s="234">
        <v>13.2</v>
      </c>
      <c r="I393" s="236">
        <f t="shared" si="24"/>
        <v>488.4</v>
      </c>
      <c r="J393" s="351">
        <v>13</v>
      </c>
      <c r="K393" s="250">
        <f>13*F393</f>
        <v>481</v>
      </c>
      <c r="L393" s="237">
        <v>41106</v>
      </c>
      <c r="M393" s="1" t="s">
        <v>2077</v>
      </c>
      <c r="N393" s="235">
        <f t="shared" si="25"/>
        <v>488.4</v>
      </c>
      <c r="O393" s="235">
        <f t="shared" si="26"/>
        <v>0</v>
      </c>
      <c r="P393" s="238" t="s">
        <v>2598</v>
      </c>
      <c r="Q393" s="1" t="s">
        <v>2599</v>
      </c>
      <c r="R393" s="239" t="s">
        <v>2600</v>
      </c>
      <c r="S393" s="238" t="s">
        <v>2601</v>
      </c>
      <c r="T393" s="238" t="s">
        <v>2602</v>
      </c>
      <c r="U393" s="238" t="s">
        <v>2603</v>
      </c>
      <c r="V393" s="115" t="s">
        <v>2559</v>
      </c>
      <c r="W393" s="259">
        <v>10671.9</v>
      </c>
      <c r="X393" s="233">
        <v>41117</v>
      </c>
      <c r="Z393" s="238"/>
      <c r="AB393" s="1" t="s">
        <v>2527</v>
      </c>
    </row>
    <row r="394" spans="1:28" ht="11.25" customHeight="1">
      <c r="A394" s="233">
        <v>41108</v>
      </c>
      <c r="B394" s="1" t="s">
        <v>2604</v>
      </c>
      <c r="C394" s="1" t="s">
        <v>2080</v>
      </c>
      <c r="D394" s="5" t="s">
        <v>2012</v>
      </c>
      <c r="E394" s="1" t="s">
        <v>2489</v>
      </c>
      <c r="F394" s="5">
        <v>50</v>
      </c>
      <c r="G394" s="1" t="s">
        <v>4970</v>
      </c>
      <c r="H394" s="234">
        <v>2.2999999999999998</v>
      </c>
      <c r="I394" s="236">
        <f t="shared" si="24"/>
        <v>114.99999999999999</v>
      </c>
      <c r="J394" s="351">
        <v>1.55</v>
      </c>
      <c r="K394" s="241">
        <f>1.55*F394</f>
        <v>77.5</v>
      </c>
      <c r="L394" s="237">
        <v>41108</v>
      </c>
      <c r="M394" s="1" t="s">
        <v>2390</v>
      </c>
      <c r="N394" s="235">
        <f t="shared" si="25"/>
        <v>114.99999999999999</v>
      </c>
      <c r="O394" s="235">
        <f t="shared" si="26"/>
        <v>0</v>
      </c>
      <c r="P394" s="238" t="s">
        <v>2605</v>
      </c>
      <c r="Q394" s="1" t="s">
        <v>2212</v>
      </c>
      <c r="R394" s="239" t="s">
        <v>2606</v>
      </c>
      <c r="S394" s="238" t="s">
        <v>2607</v>
      </c>
      <c r="T394" s="238" t="s">
        <v>2608</v>
      </c>
      <c r="V394" s="238" t="s">
        <v>2488</v>
      </c>
      <c r="Z394" s="238"/>
      <c r="AB394" s="1" t="s">
        <v>2079</v>
      </c>
    </row>
    <row r="395" spans="1:28" ht="11.25" customHeight="1">
      <c r="A395" s="233">
        <v>41108</v>
      </c>
      <c r="B395" s="1" t="s">
        <v>2609</v>
      </c>
      <c r="C395" s="1" t="s">
        <v>2080</v>
      </c>
      <c r="D395" s="5" t="s">
        <v>2012</v>
      </c>
      <c r="E395" s="1" t="s">
        <v>2489</v>
      </c>
      <c r="F395" s="5">
        <v>100</v>
      </c>
      <c r="G395" s="1" t="s">
        <v>4970</v>
      </c>
      <c r="H395" s="234">
        <v>2.2999999999999998</v>
      </c>
      <c r="I395" s="236">
        <f t="shared" si="24"/>
        <v>229.99999999999997</v>
      </c>
      <c r="J395" s="351">
        <v>1.55</v>
      </c>
      <c r="K395" s="241">
        <f>1.55*F395</f>
        <v>155</v>
      </c>
      <c r="L395" s="237">
        <v>41108</v>
      </c>
      <c r="M395" s="1" t="s">
        <v>2390</v>
      </c>
      <c r="N395" s="235">
        <f t="shared" si="25"/>
        <v>229.99999999999997</v>
      </c>
      <c r="O395" s="235">
        <f t="shared" si="26"/>
        <v>0</v>
      </c>
      <c r="P395" s="238" t="s">
        <v>2610</v>
      </c>
      <c r="Q395" s="1" t="s">
        <v>2212</v>
      </c>
      <c r="R395" s="239" t="s">
        <v>2611</v>
      </c>
      <c r="S395" s="238" t="s">
        <v>2612</v>
      </c>
      <c r="T395" s="238" t="s">
        <v>2613</v>
      </c>
      <c r="V395" s="238" t="s">
        <v>2488</v>
      </c>
      <c r="Z395" s="238"/>
      <c r="AB395" s="1" t="s">
        <v>2079</v>
      </c>
    </row>
    <row r="396" spans="1:28" ht="11.25" customHeight="1">
      <c r="A396" s="233">
        <v>41108</v>
      </c>
      <c r="B396" s="1" t="s">
        <v>2609</v>
      </c>
      <c r="C396" s="1" t="s">
        <v>2080</v>
      </c>
      <c r="D396" s="1" t="s">
        <v>1213</v>
      </c>
      <c r="E396" s="1" t="s">
        <v>2509</v>
      </c>
      <c r="F396" s="5">
        <v>3</v>
      </c>
      <c r="G396" s="1" t="s">
        <v>2398</v>
      </c>
      <c r="H396" s="234">
        <v>20</v>
      </c>
      <c r="I396" s="236">
        <f t="shared" si="24"/>
        <v>60</v>
      </c>
      <c r="J396" s="351">
        <v>13.4</v>
      </c>
      <c r="K396" s="250">
        <f>13.4*F396</f>
        <v>40.200000000000003</v>
      </c>
      <c r="L396" s="237">
        <v>41108</v>
      </c>
      <c r="M396" s="1" t="s">
        <v>2390</v>
      </c>
      <c r="N396" s="235">
        <f t="shared" si="25"/>
        <v>60</v>
      </c>
      <c r="O396" s="235">
        <f t="shared" si="26"/>
        <v>0</v>
      </c>
      <c r="P396" s="238" t="s">
        <v>2610</v>
      </c>
      <c r="Q396" s="1" t="s">
        <v>2212</v>
      </c>
      <c r="R396" s="239" t="s">
        <v>2611</v>
      </c>
      <c r="S396" s="238" t="s">
        <v>2612</v>
      </c>
      <c r="T396" s="238" t="s">
        <v>2613</v>
      </c>
      <c r="V396" s="238" t="s">
        <v>2488</v>
      </c>
      <c r="Z396" s="238"/>
      <c r="AB396" s="1" t="s">
        <v>2079</v>
      </c>
    </row>
    <row r="397" spans="1:28" ht="11.25" customHeight="1">
      <c r="A397" s="233">
        <v>41108</v>
      </c>
      <c r="B397" s="1" t="s">
        <v>2565</v>
      </c>
      <c r="C397" s="1" t="s">
        <v>2080</v>
      </c>
      <c r="D397" s="1" t="s">
        <v>1902</v>
      </c>
      <c r="E397" s="1">
        <v>1270</v>
      </c>
      <c r="F397" s="5">
        <v>60</v>
      </c>
      <c r="G397" s="1" t="s">
        <v>2398</v>
      </c>
      <c r="H397" s="234">
        <v>4.5</v>
      </c>
      <c r="I397" s="236">
        <f t="shared" si="24"/>
        <v>270</v>
      </c>
      <c r="J397" s="351"/>
      <c r="K397" s="241">
        <f>4.14*F397</f>
        <v>248.39999999999998</v>
      </c>
      <c r="L397" s="237">
        <v>41169</v>
      </c>
      <c r="M397" s="1" t="s">
        <v>2327</v>
      </c>
      <c r="N397" s="235">
        <f t="shared" si="25"/>
        <v>270</v>
      </c>
      <c r="O397" s="235">
        <f t="shared" si="26"/>
        <v>0</v>
      </c>
      <c r="P397" s="238" t="s">
        <v>2614</v>
      </c>
      <c r="Q397" s="1" t="s">
        <v>2511</v>
      </c>
      <c r="R397" s="239" t="s">
        <v>2567</v>
      </c>
      <c r="S397" s="238" t="s">
        <v>2568</v>
      </c>
      <c r="T397" s="238" t="s">
        <v>773</v>
      </c>
      <c r="U397" s="238" t="s">
        <v>807</v>
      </c>
      <c r="V397" s="238" t="s">
        <v>2488</v>
      </c>
      <c r="Y397" s="239"/>
      <c r="Z397" s="239"/>
      <c r="AA397" s="240" t="s">
        <v>2570</v>
      </c>
      <c r="AB397" s="1" t="s">
        <v>2527</v>
      </c>
    </row>
    <row r="398" spans="1:28" ht="11.25" customHeight="1">
      <c r="A398" s="233">
        <v>41109</v>
      </c>
      <c r="B398" s="1" t="s">
        <v>2169</v>
      </c>
      <c r="C398" s="1" t="s">
        <v>2080</v>
      </c>
      <c r="D398" s="1" t="s">
        <v>1874</v>
      </c>
      <c r="E398" s="1" t="s">
        <v>2615</v>
      </c>
      <c r="F398" s="5">
        <v>900</v>
      </c>
      <c r="G398" s="1" t="s">
        <v>231</v>
      </c>
      <c r="H398" s="234">
        <v>1.8</v>
      </c>
      <c r="I398" s="236">
        <f t="shared" si="24"/>
        <v>1620</v>
      </c>
      <c r="J398" s="352">
        <v>1.73</v>
      </c>
      <c r="K398" s="241">
        <f>1.73*F398</f>
        <v>1557</v>
      </c>
      <c r="L398" s="237">
        <v>41108</v>
      </c>
      <c r="M398" s="1" t="s">
        <v>2077</v>
      </c>
      <c r="N398" s="235">
        <f t="shared" si="25"/>
        <v>1620</v>
      </c>
      <c r="O398" s="235">
        <f t="shared" si="26"/>
        <v>0</v>
      </c>
      <c r="P398" s="238" t="s">
        <v>2616</v>
      </c>
      <c r="Q398" s="1" t="s">
        <v>2617</v>
      </c>
      <c r="R398" s="239" t="s">
        <v>2618</v>
      </c>
      <c r="S398" s="238" t="s">
        <v>2619</v>
      </c>
      <c r="T398" s="238" t="s">
        <v>799</v>
      </c>
      <c r="U398" s="238" t="s">
        <v>2620</v>
      </c>
      <c r="V398" s="238" t="s">
        <v>2621</v>
      </c>
      <c r="W398" s="236">
        <v>8962.94</v>
      </c>
      <c r="X398" s="233">
        <v>41145</v>
      </c>
      <c r="Y398" s="238" t="s">
        <v>2622</v>
      </c>
      <c r="Z398" s="239"/>
      <c r="AB398" s="1" t="s">
        <v>2527</v>
      </c>
    </row>
    <row r="399" spans="1:28" ht="11.25" customHeight="1">
      <c r="A399" s="233">
        <v>41109</v>
      </c>
      <c r="B399" s="1" t="s">
        <v>2169</v>
      </c>
      <c r="C399" s="1" t="s">
        <v>2080</v>
      </c>
      <c r="D399" s="1" t="s">
        <v>1867</v>
      </c>
      <c r="E399" s="1">
        <v>6006</v>
      </c>
      <c r="F399" s="5">
        <v>74</v>
      </c>
      <c r="G399" s="1" t="s">
        <v>2086</v>
      </c>
      <c r="H399" s="234">
        <v>50</v>
      </c>
      <c r="I399" s="236">
        <f t="shared" si="24"/>
        <v>3700</v>
      </c>
      <c r="J399" s="351"/>
      <c r="K399" s="241">
        <f>49.8*F399</f>
        <v>3685.2</v>
      </c>
      <c r="L399" s="237">
        <v>41108</v>
      </c>
      <c r="M399" s="1" t="s">
        <v>2077</v>
      </c>
      <c r="N399" s="235">
        <f t="shared" si="25"/>
        <v>3700</v>
      </c>
      <c r="O399" s="235">
        <f t="shared" si="26"/>
        <v>0</v>
      </c>
      <c r="P399" s="238" t="s">
        <v>2616</v>
      </c>
      <c r="Q399" s="1" t="s">
        <v>2617</v>
      </c>
      <c r="R399" s="239" t="s">
        <v>2618</v>
      </c>
      <c r="S399" s="238" t="s">
        <v>2619</v>
      </c>
      <c r="T399" s="238" t="s">
        <v>799</v>
      </c>
      <c r="U399" s="238" t="s">
        <v>2620</v>
      </c>
      <c r="V399" s="238" t="s">
        <v>2621</v>
      </c>
      <c r="W399" s="236">
        <v>8962.94</v>
      </c>
      <c r="X399" s="233">
        <v>41145</v>
      </c>
      <c r="Y399" s="238" t="s">
        <v>2622</v>
      </c>
      <c r="Z399" s="239"/>
      <c r="AB399" s="1" t="s">
        <v>2527</v>
      </c>
    </row>
    <row r="400" spans="1:28" ht="11.25" customHeight="1">
      <c r="A400" s="233">
        <v>41109</v>
      </c>
      <c r="B400" s="1" t="s">
        <v>2169</v>
      </c>
      <c r="C400" s="1" t="s">
        <v>2080</v>
      </c>
      <c r="D400" s="1" t="s">
        <v>240</v>
      </c>
      <c r="E400" s="1">
        <v>6200</v>
      </c>
      <c r="F400" s="5">
        <v>37</v>
      </c>
      <c r="G400" s="1" t="s">
        <v>2086</v>
      </c>
      <c r="H400" s="234">
        <v>45.8</v>
      </c>
      <c r="I400" s="236">
        <f t="shared" si="24"/>
        <v>1694.6</v>
      </c>
      <c r="J400" s="351">
        <v>42</v>
      </c>
      <c r="K400" s="241" t="e">
        <f>#REF!*F400</f>
        <v>#REF!</v>
      </c>
      <c r="L400" s="237">
        <v>41108</v>
      </c>
      <c r="M400" s="1" t="s">
        <v>2077</v>
      </c>
      <c r="N400" s="235">
        <f t="shared" si="25"/>
        <v>1694.6</v>
      </c>
      <c r="O400" s="235">
        <f t="shared" si="26"/>
        <v>0</v>
      </c>
      <c r="P400" s="238" t="s">
        <v>2616</v>
      </c>
      <c r="Q400" s="1" t="s">
        <v>1259</v>
      </c>
      <c r="R400" s="239" t="s">
        <v>2618</v>
      </c>
      <c r="S400" s="238" t="s">
        <v>2619</v>
      </c>
      <c r="T400" s="238" t="s">
        <v>799</v>
      </c>
      <c r="U400" s="238" t="s">
        <v>2620</v>
      </c>
      <c r="V400" s="238" t="s">
        <v>2623</v>
      </c>
      <c r="W400" s="236">
        <v>11631.8</v>
      </c>
      <c r="X400" s="233">
        <v>41145</v>
      </c>
      <c r="Y400" s="238" t="s">
        <v>2622</v>
      </c>
      <c r="Z400" s="239"/>
      <c r="AB400" s="1" t="s">
        <v>2527</v>
      </c>
    </row>
    <row r="401" spans="1:28" ht="11.25" customHeight="1">
      <c r="A401" s="233">
        <v>41109</v>
      </c>
      <c r="B401" s="1" t="s">
        <v>2169</v>
      </c>
      <c r="C401" s="1" t="s">
        <v>2080</v>
      </c>
      <c r="D401" s="1" t="s">
        <v>1210</v>
      </c>
      <c r="E401" s="1">
        <v>3200</v>
      </c>
      <c r="F401" s="5">
        <v>100</v>
      </c>
      <c r="G401" s="1" t="s">
        <v>2086</v>
      </c>
      <c r="H401" s="234">
        <v>28.5</v>
      </c>
      <c r="I401" s="236">
        <f t="shared" si="24"/>
        <v>2850</v>
      </c>
      <c r="J401" s="351">
        <v>26.55</v>
      </c>
      <c r="K401" s="241">
        <f>26.55*F401</f>
        <v>2655</v>
      </c>
      <c r="L401" s="237">
        <v>41115</v>
      </c>
      <c r="M401" s="1" t="s">
        <v>2077</v>
      </c>
      <c r="N401" s="235">
        <f t="shared" si="25"/>
        <v>2850</v>
      </c>
      <c r="O401" s="235">
        <f t="shared" si="26"/>
        <v>0</v>
      </c>
      <c r="P401" s="238" t="s">
        <v>2624</v>
      </c>
      <c r="Q401" s="1" t="s">
        <v>1259</v>
      </c>
      <c r="R401" s="239" t="s">
        <v>2618</v>
      </c>
      <c r="S401" s="238" t="s">
        <v>2619</v>
      </c>
      <c r="T401" s="238" t="s">
        <v>799</v>
      </c>
      <c r="U401" s="238" t="s">
        <v>2620</v>
      </c>
      <c r="V401" s="238" t="s">
        <v>2621</v>
      </c>
      <c r="W401" s="236">
        <v>8962.94</v>
      </c>
      <c r="X401" s="233">
        <v>41145</v>
      </c>
      <c r="Y401" s="238" t="s">
        <v>2622</v>
      </c>
      <c r="Z401" s="239"/>
      <c r="AB401" s="1" t="s">
        <v>2527</v>
      </c>
    </row>
    <row r="402" spans="1:28" ht="11.25" customHeight="1">
      <c r="A402" s="233">
        <v>41109</v>
      </c>
      <c r="B402" s="1" t="s">
        <v>2169</v>
      </c>
      <c r="C402" s="1" t="s">
        <v>2080</v>
      </c>
      <c r="D402" s="1" t="s">
        <v>263</v>
      </c>
      <c r="E402" s="1" t="s">
        <v>2118</v>
      </c>
      <c r="F402" s="5">
        <v>100</v>
      </c>
      <c r="G402" s="1" t="s">
        <v>2086</v>
      </c>
      <c r="H402" s="234">
        <v>2.0099999999999998</v>
      </c>
      <c r="I402" s="236">
        <f t="shared" si="24"/>
        <v>200.99999999999997</v>
      </c>
      <c r="J402" s="351">
        <v>1.88</v>
      </c>
      <c r="K402" s="241">
        <f>1.88*F402</f>
        <v>188</v>
      </c>
      <c r="L402" s="237">
        <v>41115</v>
      </c>
      <c r="M402" s="1" t="s">
        <v>2077</v>
      </c>
      <c r="N402" s="235">
        <f t="shared" si="25"/>
        <v>200.99999999999997</v>
      </c>
      <c r="O402" s="235">
        <f t="shared" si="26"/>
        <v>0</v>
      </c>
      <c r="P402" s="238" t="s">
        <v>2624</v>
      </c>
      <c r="Q402" s="1" t="s">
        <v>2617</v>
      </c>
      <c r="R402" s="239" t="s">
        <v>2618</v>
      </c>
      <c r="S402" s="238" t="s">
        <v>2619</v>
      </c>
      <c r="T402" s="238" t="s">
        <v>799</v>
      </c>
      <c r="U402" s="238" t="s">
        <v>2620</v>
      </c>
      <c r="V402" s="238" t="s">
        <v>2621</v>
      </c>
      <c r="W402" s="236">
        <v>8962.94</v>
      </c>
      <c r="X402" s="233">
        <v>41145</v>
      </c>
      <c r="Y402" s="238" t="s">
        <v>2622</v>
      </c>
      <c r="Z402" s="239"/>
      <c r="AB402" s="1" t="s">
        <v>2527</v>
      </c>
    </row>
    <row r="403" spans="1:28" ht="11.25" customHeight="1">
      <c r="A403" s="233">
        <v>41109</v>
      </c>
      <c r="B403" s="1" t="s">
        <v>2169</v>
      </c>
      <c r="C403" s="1" t="s">
        <v>2080</v>
      </c>
      <c r="D403" s="5" t="s">
        <v>1221</v>
      </c>
      <c r="E403" s="1" t="s">
        <v>2625</v>
      </c>
      <c r="F403" s="5">
        <v>100</v>
      </c>
      <c r="G403" s="1" t="s">
        <v>2086</v>
      </c>
      <c r="H403" s="234">
        <v>37.65</v>
      </c>
      <c r="I403" s="236">
        <f t="shared" si="24"/>
        <v>3765</v>
      </c>
      <c r="J403" s="351"/>
      <c r="K403" s="241">
        <f>37*F403</f>
        <v>3700</v>
      </c>
      <c r="L403" s="237">
        <v>41115</v>
      </c>
      <c r="M403" s="1" t="s">
        <v>2077</v>
      </c>
      <c r="N403" s="235">
        <f t="shared" si="25"/>
        <v>3765</v>
      </c>
      <c r="O403" s="235">
        <f t="shared" si="26"/>
        <v>0</v>
      </c>
      <c r="P403" s="238" t="s">
        <v>2624</v>
      </c>
      <c r="Q403" s="1" t="s">
        <v>2617</v>
      </c>
      <c r="R403" s="239" t="s">
        <v>2618</v>
      </c>
      <c r="S403" s="238" t="s">
        <v>2619</v>
      </c>
      <c r="T403" s="238" t="s">
        <v>799</v>
      </c>
      <c r="U403" s="238" t="s">
        <v>2620</v>
      </c>
      <c r="V403" s="238" t="s">
        <v>2623</v>
      </c>
      <c r="W403" s="236">
        <v>11631.8</v>
      </c>
      <c r="X403" s="233">
        <v>41145</v>
      </c>
      <c r="Y403" s="238" t="s">
        <v>2622</v>
      </c>
      <c r="Z403" s="239"/>
      <c r="AB403" s="1" t="s">
        <v>2527</v>
      </c>
    </row>
    <row r="404" spans="1:28" ht="11.25" customHeight="1">
      <c r="A404" s="233">
        <v>41109</v>
      </c>
      <c r="B404" s="1" t="s">
        <v>2169</v>
      </c>
      <c r="C404" s="1" t="s">
        <v>2080</v>
      </c>
      <c r="D404" s="1" t="s">
        <v>268</v>
      </c>
      <c r="E404" s="1" t="s">
        <v>2120</v>
      </c>
      <c r="F404" s="5">
        <v>100</v>
      </c>
      <c r="G404" s="1" t="s">
        <v>231</v>
      </c>
      <c r="H404" s="234">
        <v>1.48</v>
      </c>
      <c r="I404" s="236">
        <f t="shared" si="24"/>
        <v>148</v>
      </c>
      <c r="J404" s="352">
        <v>1.4</v>
      </c>
      <c r="K404" s="241">
        <f>1.4*F404</f>
        <v>140</v>
      </c>
      <c r="L404" s="237">
        <v>41115</v>
      </c>
      <c r="M404" s="1" t="s">
        <v>2077</v>
      </c>
      <c r="N404" s="235">
        <f t="shared" si="25"/>
        <v>148</v>
      </c>
      <c r="O404" s="235">
        <f t="shared" si="26"/>
        <v>0</v>
      </c>
      <c r="P404" s="238" t="s">
        <v>2624</v>
      </c>
      <c r="Q404" s="1" t="s">
        <v>2617</v>
      </c>
      <c r="R404" s="239" t="s">
        <v>2618</v>
      </c>
      <c r="S404" s="238" t="s">
        <v>2619</v>
      </c>
      <c r="T404" s="238" t="s">
        <v>799</v>
      </c>
      <c r="U404" s="238" t="s">
        <v>2626</v>
      </c>
      <c r="V404" s="238" t="s">
        <v>2621</v>
      </c>
      <c r="W404" s="236">
        <v>8962.94</v>
      </c>
      <c r="X404" s="233">
        <v>41145</v>
      </c>
      <c r="Y404" s="238" t="s">
        <v>2622</v>
      </c>
      <c r="Z404" s="239"/>
      <c r="AB404" s="1" t="s">
        <v>2527</v>
      </c>
    </row>
    <row r="405" spans="1:28" ht="11.25" customHeight="1">
      <c r="A405" s="233">
        <v>41109</v>
      </c>
      <c r="B405" s="1" t="s">
        <v>2169</v>
      </c>
      <c r="C405" s="1" t="s">
        <v>2080</v>
      </c>
      <c r="D405" s="1" t="s">
        <v>1214</v>
      </c>
      <c r="E405" s="1">
        <v>4690</v>
      </c>
      <c r="F405" s="5">
        <v>1</v>
      </c>
      <c r="G405" s="1" t="s">
        <v>2529</v>
      </c>
      <c r="H405" s="234">
        <v>221.97</v>
      </c>
      <c r="I405" s="236">
        <f>H405*F405</f>
        <v>221.97</v>
      </c>
      <c r="J405" s="351"/>
      <c r="K405" s="241">
        <f>212.43*F405</f>
        <v>212.43</v>
      </c>
      <c r="L405" s="237">
        <v>41115</v>
      </c>
      <c r="M405" s="1" t="s">
        <v>2077</v>
      </c>
      <c r="N405" s="235">
        <f t="shared" si="25"/>
        <v>221.97</v>
      </c>
      <c r="O405" s="235">
        <f t="shared" si="26"/>
        <v>0</v>
      </c>
      <c r="P405" s="238" t="s">
        <v>2624</v>
      </c>
      <c r="Q405" s="1" t="s">
        <v>2575</v>
      </c>
      <c r="R405" s="239" t="s">
        <v>2618</v>
      </c>
      <c r="S405" s="238" t="s">
        <v>2619</v>
      </c>
      <c r="T405" s="238" t="s">
        <v>799</v>
      </c>
      <c r="U405" s="238" t="s">
        <v>2626</v>
      </c>
      <c r="V405" s="238" t="s">
        <v>2621</v>
      </c>
      <c r="W405" s="236">
        <v>8962.94</v>
      </c>
      <c r="X405" s="233">
        <v>41145</v>
      </c>
      <c r="Y405" s="238" t="s">
        <v>2622</v>
      </c>
      <c r="Z405" s="238"/>
      <c r="AB405" s="1" t="s">
        <v>2527</v>
      </c>
    </row>
    <row r="406" spans="1:28" ht="11.25" customHeight="1">
      <c r="A406" s="233">
        <v>41109</v>
      </c>
      <c r="B406" s="1" t="s">
        <v>2169</v>
      </c>
      <c r="C406" s="1" t="s">
        <v>2080</v>
      </c>
      <c r="D406" s="1" t="s">
        <v>1215</v>
      </c>
      <c r="E406" s="1">
        <v>4690</v>
      </c>
      <c r="F406" s="5">
        <v>1</v>
      </c>
      <c r="G406" s="1" t="s">
        <v>2529</v>
      </c>
      <c r="H406" s="234">
        <v>221.97</v>
      </c>
      <c r="I406" s="236">
        <f>H406*F406</f>
        <v>221.97</v>
      </c>
      <c r="J406" s="351"/>
      <c r="K406" s="241">
        <f>212.43*F406</f>
        <v>212.43</v>
      </c>
      <c r="L406" s="237">
        <v>41115</v>
      </c>
      <c r="M406" s="1" t="s">
        <v>2077</v>
      </c>
      <c r="N406" s="235">
        <f t="shared" si="25"/>
        <v>221.97</v>
      </c>
      <c r="O406" s="235">
        <f t="shared" si="26"/>
        <v>0</v>
      </c>
      <c r="P406" s="238" t="s">
        <v>2624</v>
      </c>
      <c r="Q406" s="1" t="s">
        <v>2575</v>
      </c>
      <c r="R406" s="239" t="s">
        <v>2618</v>
      </c>
      <c r="S406" s="238" t="s">
        <v>2619</v>
      </c>
      <c r="T406" s="238" t="s">
        <v>799</v>
      </c>
      <c r="V406" s="238" t="s">
        <v>2621</v>
      </c>
      <c r="W406" s="236">
        <v>8962.94</v>
      </c>
      <c r="X406" s="233">
        <v>41145</v>
      </c>
      <c r="Y406" s="238" t="s">
        <v>2622</v>
      </c>
      <c r="Z406" s="238"/>
      <c r="AB406" s="1" t="s">
        <v>2527</v>
      </c>
    </row>
    <row r="407" spans="1:28" ht="11.25" customHeight="1">
      <c r="A407" s="233">
        <v>41109</v>
      </c>
      <c r="B407" s="1" t="s">
        <v>2627</v>
      </c>
      <c r="C407" s="1" t="s">
        <v>2080</v>
      </c>
      <c r="D407" s="1" t="s">
        <v>2010</v>
      </c>
      <c r="E407" s="1">
        <v>10434</v>
      </c>
      <c r="F407" s="5">
        <v>3</v>
      </c>
      <c r="G407" s="1" t="s">
        <v>2398</v>
      </c>
      <c r="H407" s="234">
        <v>22</v>
      </c>
      <c r="I407" s="236">
        <f t="shared" si="24"/>
        <v>66</v>
      </c>
      <c r="J407" s="351"/>
      <c r="K407" s="241">
        <f>14.88*F407</f>
        <v>44.64</v>
      </c>
      <c r="L407" s="237">
        <v>41109</v>
      </c>
      <c r="M407" s="1" t="s">
        <v>2390</v>
      </c>
      <c r="N407" s="235">
        <f t="shared" si="25"/>
        <v>66</v>
      </c>
      <c r="O407" s="235">
        <f t="shared" si="26"/>
        <v>0</v>
      </c>
      <c r="P407" s="238" t="s">
        <v>2628</v>
      </c>
      <c r="Q407" s="1" t="s">
        <v>2212</v>
      </c>
      <c r="R407" s="239" t="s">
        <v>2629</v>
      </c>
      <c r="S407" s="238" t="s">
        <v>2630</v>
      </c>
      <c r="T407" s="238" t="s">
        <v>2631</v>
      </c>
      <c r="V407" s="238" t="s">
        <v>2488</v>
      </c>
      <c r="Z407" s="238"/>
      <c r="AB407" s="1" t="s">
        <v>2079</v>
      </c>
    </row>
    <row r="408" spans="1:28" ht="11.25" customHeight="1">
      <c r="A408" s="233">
        <v>41109</v>
      </c>
      <c r="B408" s="1" t="s">
        <v>2627</v>
      </c>
      <c r="C408" s="1" t="s">
        <v>2080</v>
      </c>
      <c r="D408" s="5" t="s">
        <v>2012</v>
      </c>
      <c r="E408" s="1" t="s">
        <v>2489</v>
      </c>
      <c r="F408" s="5">
        <v>100</v>
      </c>
      <c r="G408" s="1" t="s">
        <v>4970</v>
      </c>
      <c r="H408" s="234">
        <v>2.4</v>
      </c>
      <c r="I408" s="236">
        <f t="shared" si="24"/>
        <v>240</v>
      </c>
      <c r="J408" s="351">
        <v>1.55</v>
      </c>
      <c r="K408" s="241">
        <f>1.55*F408</f>
        <v>155</v>
      </c>
      <c r="L408" s="237">
        <v>41109</v>
      </c>
      <c r="M408" s="1" t="s">
        <v>2390</v>
      </c>
      <c r="N408" s="235">
        <f t="shared" si="25"/>
        <v>240</v>
      </c>
      <c r="O408" s="235">
        <f t="shared" si="26"/>
        <v>0</v>
      </c>
      <c r="P408" s="238" t="s">
        <v>2628</v>
      </c>
      <c r="Q408" s="1" t="s">
        <v>2212</v>
      </c>
      <c r="R408" s="239" t="s">
        <v>2629</v>
      </c>
      <c r="S408" s="238" t="s">
        <v>2630</v>
      </c>
      <c r="T408" s="238" t="s">
        <v>2631</v>
      </c>
      <c r="V408" s="238" t="s">
        <v>2488</v>
      </c>
      <c r="Z408" s="238"/>
      <c r="AB408" s="1" t="s">
        <v>2079</v>
      </c>
    </row>
    <row r="409" spans="1:28" ht="11.25" customHeight="1">
      <c r="A409" s="233">
        <v>41109</v>
      </c>
      <c r="B409" s="1" t="s">
        <v>2627</v>
      </c>
      <c r="C409" s="1" t="s">
        <v>2080</v>
      </c>
      <c r="D409" s="1" t="s">
        <v>232</v>
      </c>
      <c r="E409" s="1" t="s">
        <v>2107</v>
      </c>
      <c r="F409" s="5">
        <v>20</v>
      </c>
      <c r="G409" s="1" t="s">
        <v>231</v>
      </c>
      <c r="H409" s="234">
        <v>8.9</v>
      </c>
      <c r="I409" s="236">
        <f t="shared" si="24"/>
        <v>178</v>
      </c>
      <c r="J409" s="351">
        <v>5.0999999999999996</v>
      </c>
      <c r="K409" s="241">
        <f>5.1*F409</f>
        <v>102</v>
      </c>
      <c r="L409" s="237">
        <v>41109</v>
      </c>
      <c r="M409" s="1" t="s">
        <v>2390</v>
      </c>
      <c r="N409" s="235">
        <f t="shared" si="25"/>
        <v>178</v>
      </c>
      <c r="O409" s="235">
        <f t="shared" si="26"/>
        <v>0</v>
      </c>
      <c r="P409" s="238" t="s">
        <v>2628</v>
      </c>
      <c r="Q409" s="1" t="s">
        <v>2212</v>
      </c>
      <c r="R409" s="239" t="s">
        <v>2629</v>
      </c>
      <c r="S409" s="238" t="s">
        <v>2630</v>
      </c>
      <c r="T409" s="238" t="s">
        <v>2631</v>
      </c>
      <c r="V409" s="238" t="s">
        <v>2488</v>
      </c>
      <c r="Z409" s="238"/>
      <c r="AB409" s="1" t="s">
        <v>2079</v>
      </c>
    </row>
    <row r="410" spans="1:28" ht="11.25" customHeight="1">
      <c r="A410" s="233">
        <v>41109</v>
      </c>
      <c r="B410" s="1" t="s">
        <v>2627</v>
      </c>
      <c r="C410" s="1" t="s">
        <v>2080</v>
      </c>
      <c r="D410" s="1" t="s">
        <v>240</v>
      </c>
      <c r="E410" s="1">
        <v>6200</v>
      </c>
      <c r="F410" s="5">
        <v>4</v>
      </c>
      <c r="G410" s="1" t="s">
        <v>229</v>
      </c>
      <c r="H410" s="234">
        <v>65.400000000000006</v>
      </c>
      <c r="I410" s="236">
        <f t="shared" si="24"/>
        <v>261.60000000000002</v>
      </c>
      <c r="J410" s="351">
        <v>42</v>
      </c>
      <c r="K410" s="241" t="e">
        <f>#REF!*F410</f>
        <v>#REF!</v>
      </c>
      <c r="L410" s="237">
        <v>41109</v>
      </c>
      <c r="M410" s="1" t="s">
        <v>2390</v>
      </c>
      <c r="N410" s="235">
        <f t="shared" si="25"/>
        <v>261.60000000000002</v>
      </c>
      <c r="O410" s="235">
        <f t="shared" si="26"/>
        <v>0</v>
      </c>
      <c r="P410" s="238" t="s">
        <v>2628</v>
      </c>
      <c r="Q410" s="1" t="s">
        <v>2212</v>
      </c>
      <c r="R410" s="239" t="s">
        <v>2629</v>
      </c>
      <c r="S410" s="238" t="s">
        <v>2630</v>
      </c>
      <c r="T410" s="238" t="s">
        <v>2631</v>
      </c>
      <c r="V410" s="238" t="s">
        <v>2488</v>
      </c>
      <c r="Z410" s="238"/>
      <c r="AB410" s="1" t="s">
        <v>2079</v>
      </c>
    </row>
    <row r="411" spans="1:28" ht="11.25" customHeight="1">
      <c r="A411" s="233">
        <v>41109</v>
      </c>
      <c r="B411" s="1" t="s">
        <v>2627</v>
      </c>
      <c r="C411" s="1" t="s">
        <v>2080</v>
      </c>
      <c r="D411" s="1" t="s">
        <v>353</v>
      </c>
      <c r="E411" s="1" t="s">
        <v>2492</v>
      </c>
      <c r="F411" s="5">
        <v>8</v>
      </c>
      <c r="G411" s="1" t="s">
        <v>229</v>
      </c>
      <c r="H411" s="234">
        <v>29</v>
      </c>
      <c r="I411" s="236">
        <f t="shared" si="24"/>
        <v>232</v>
      </c>
      <c r="J411" s="351">
        <v>18.5</v>
      </c>
      <c r="K411" s="241">
        <f>18.5*F411</f>
        <v>148</v>
      </c>
      <c r="L411" s="237">
        <v>41109</v>
      </c>
      <c r="M411" s="1" t="s">
        <v>2390</v>
      </c>
      <c r="N411" s="235">
        <f t="shared" si="25"/>
        <v>232</v>
      </c>
      <c r="O411" s="235">
        <f t="shared" si="26"/>
        <v>0</v>
      </c>
      <c r="P411" s="238" t="s">
        <v>2628</v>
      </c>
      <c r="Q411" s="1" t="s">
        <v>2212</v>
      </c>
      <c r="R411" s="239" t="s">
        <v>2629</v>
      </c>
      <c r="S411" s="238" t="s">
        <v>2630</v>
      </c>
      <c r="T411" s="238" t="s">
        <v>2631</v>
      </c>
      <c r="V411" s="238" t="s">
        <v>2488</v>
      </c>
      <c r="Z411" s="238"/>
      <c r="AB411" s="1" t="s">
        <v>2079</v>
      </c>
    </row>
    <row r="412" spans="1:28" ht="11.25" customHeight="1">
      <c r="A412" s="233">
        <v>41109</v>
      </c>
      <c r="B412" s="1" t="s">
        <v>2627</v>
      </c>
      <c r="C412" s="1" t="s">
        <v>2080</v>
      </c>
      <c r="D412" s="1" t="s">
        <v>263</v>
      </c>
      <c r="E412" s="1">
        <v>501</v>
      </c>
      <c r="F412" s="5">
        <v>8</v>
      </c>
      <c r="G412" s="1" t="s">
        <v>229</v>
      </c>
      <c r="H412" s="234">
        <v>1.9</v>
      </c>
      <c r="I412" s="236">
        <f t="shared" si="24"/>
        <v>15.2</v>
      </c>
      <c r="J412" s="351">
        <v>17.5</v>
      </c>
      <c r="K412" s="241">
        <f>1.4*F412</f>
        <v>11.2</v>
      </c>
      <c r="L412" s="237">
        <v>41109</v>
      </c>
      <c r="M412" s="1" t="s">
        <v>2390</v>
      </c>
      <c r="N412" s="235">
        <f t="shared" si="25"/>
        <v>15.2</v>
      </c>
      <c r="O412" s="235">
        <f t="shared" si="26"/>
        <v>0</v>
      </c>
      <c r="P412" s="238" t="s">
        <v>2628</v>
      </c>
      <c r="Q412" s="1" t="s">
        <v>2212</v>
      </c>
      <c r="R412" s="239" t="s">
        <v>2629</v>
      </c>
      <c r="S412" s="238" t="s">
        <v>2630</v>
      </c>
      <c r="T412" s="238" t="s">
        <v>2631</v>
      </c>
      <c r="V412" s="238" t="s">
        <v>2488</v>
      </c>
      <c r="Z412" s="238"/>
      <c r="AB412" s="1" t="s">
        <v>2079</v>
      </c>
    </row>
    <row r="413" spans="1:28" ht="11.25" customHeight="1">
      <c r="A413" s="233">
        <v>41110</v>
      </c>
      <c r="B413" s="1" t="s">
        <v>2632</v>
      </c>
      <c r="C413" s="1" t="s">
        <v>2080</v>
      </c>
      <c r="D413" s="5" t="s">
        <v>2012</v>
      </c>
      <c r="E413" s="1" t="s">
        <v>2489</v>
      </c>
      <c r="F413" s="5">
        <v>200</v>
      </c>
      <c r="G413" s="1" t="s">
        <v>4970</v>
      </c>
      <c r="H413" s="234">
        <v>2.25</v>
      </c>
      <c r="I413" s="236">
        <f t="shared" si="24"/>
        <v>450</v>
      </c>
      <c r="J413" s="351">
        <v>1.55</v>
      </c>
      <c r="K413" s="241">
        <f>1.55*F413</f>
        <v>310</v>
      </c>
      <c r="L413" s="237">
        <v>41110</v>
      </c>
      <c r="M413" s="1" t="s">
        <v>2390</v>
      </c>
      <c r="N413" s="235">
        <f t="shared" si="25"/>
        <v>450</v>
      </c>
      <c r="O413" s="235">
        <f t="shared" si="26"/>
        <v>0</v>
      </c>
      <c r="P413" s="238" t="s">
        <v>2633</v>
      </c>
      <c r="Q413" s="1" t="s">
        <v>2212</v>
      </c>
      <c r="R413" s="239" t="s">
        <v>2634</v>
      </c>
      <c r="S413" s="238" t="s">
        <v>2635</v>
      </c>
      <c r="T413" s="238" t="s">
        <v>2636</v>
      </c>
      <c r="V413" s="238" t="s">
        <v>2488</v>
      </c>
      <c r="Z413" s="238"/>
      <c r="AB413" s="1" t="s">
        <v>2079</v>
      </c>
    </row>
    <row r="414" spans="1:28" ht="11.25" customHeight="1">
      <c r="A414" s="233">
        <v>41111</v>
      </c>
      <c r="B414" s="1" t="s">
        <v>2637</v>
      </c>
      <c r="C414" s="1" t="s">
        <v>2080</v>
      </c>
      <c r="D414" s="1" t="s">
        <v>240</v>
      </c>
      <c r="E414" s="1">
        <v>6200</v>
      </c>
      <c r="F414" s="5">
        <v>10</v>
      </c>
      <c r="G414" s="1" t="s">
        <v>229</v>
      </c>
      <c r="H414" s="234">
        <v>47.6</v>
      </c>
      <c r="I414" s="236">
        <f t="shared" si="24"/>
        <v>476</v>
      </c>
      <c r="J414" s="351" t="s">
        <v>6042</v>
      </c>
      <c r="K414" s="241">
        <f>45.8*7+42*3</f>
        <v>446.59999999999997</v>
      </c>
      <c r="L414" s="237">
        <v>41111</v>
      </c>
      <c r="M414" s="1" t="s">
        <v>2638</v>
      </c>
      <c r="N414" s="235">
        <f t="shared" si="25"/>
        <v>476</v>
      </c>
      <c r="O414" s="235">
        <f t="shared" si="26"/>
        <v>0</v>
      </c>
      <c r="P414" s="238" t="s">
        <v>2639</v>
      </c>
      <c r="Q414" s="1" t="s">
        <v>1257</v>
      </c>
      <c r="R414" s="239" t="s">
        <v>2640</v>
      </c>
      <c r="S414" s="238" t="s">
        <v>2641</v>
      </c>
      <c r="T414" s="238" t="s">
        <v>2642</v>
      </c>
      <c r="U414" s="238" t="s">
        <v>2643</v>
      </c>
      <c r="V414" s="238" t="s">
        <v>2488</v>
      </c>
      <c r="Z414" s="238"/>
      <c r="AB414" s="1" t="s">
        <v>2527</v>
      </c>
    </row>
    <row r="415" spans="1:28" ht="11.25" customHeight="1">
      <c r="A415" s="233">
        <v>41111</v>
      </c>
      <c r="B415" s="1" t="s">
        <v>2637</v>
      </c>
      <c r="C415" s="1" t="s">
        <v>2080</v>
      </c>
      <c r="D415" s="1" t="s">
        <v>353</v>
      </c>
      <c r="E415" s="1" t="s">
        <v>2492</v>
      </c>
      <c r="F415" s="5">
        <v>20</v>
      </c>
      <c r="G415" s="1" t="s">
        <v>229</v>
      </c>
      <c r="H415" s="234">
        <v>20.9</v>
      </c>
      <c r="I415" s="236">
        <f t="shared" si="24"/>
        <v>418</v>
      </c>
      <c r="J415" s="351">
        <v>17.5</v>
      </c>
      <c r="K415" s="241">
        <f>17.5*F415</f>
        <v>350</v>
      </c>
      <c r="L415" s="237">
        <v>41111</v>
      </c>
      <c r="M415" s="1" t="s">
        <v>2638</v>
      </c>
      <c r="N415" s="235">
        <f t="shared" si="25"/>
        <v>418</v>
      </c>
      <c r="O415" s="235">
        <f t="shared" si="26"/>
        <v>0</v>
      </c>
      <c r="P415" s="238" t="s">
        <v>2639</v>
      </c>
      <c r="Q415" s="1" t="s">
        <v>2562</v>
      </c>
      <c r="R415" s="239" t="s">
        <v>2640</v>
      </c>
      <c r="S415" s="238" t="s">
        <v>2641</v>
      </c>
      <c r="T415" s="238" t="s">
        <v>2642</v>
      </c>
      <c r="U415" s="238" t="s">
        <v>2643</v>
      </c>
      <c r="V415" s="238" t="s">
        <v>2488</v>
      </c>
      <c r="Z415" s="238"/>
      <c r="AB415" s="1" t="s">
        <v>2527</v>
      </c>
    </row>
    <row r="416" spans="1:28" ht="11.25" customHeight="1">
      <c r="A416" s="233">
        <v>41111</v>
      </c>
      <c r="B416" s="1" t="s">
        <v>2637</v>
      </c>
      <c r="C416" s="1" t="s">
        <v>2080</v>
      </c>
      <c r="D416" s="1" t="s">
        <v>232</v>
      </c>
      <c r="E416" s="1" t="s">
        <v>2107</v>
      </c>
      <c r="F416" s="5">
        <v>70</v>
      </c>
      <c r="G416" s="1" t="s">
        <v>231</v>
      </c>
      <c r="H416" s="234">
        <v>6.3</v>
      </c>
      <c r="I416" s="236">
        <f t="shared" si="24"/>
        <v>441</v>
      </c>
      <c r="J416" s="351">
        <v>5.0999999999999996</v>
      </c>
      <c r="K416" s="241">
        <f>5.1*F416</f>
        <v>357</v>
      </c>
      <c r="L416" s="237">
        <v>41111</v>
      </c>
      <c r="M416" s="1" t="s">
        <v>2638</v>
      </c>
      <c r="N416" s="235">
        <f t="shared" si="25"/>
        <v>441</v>
      </c>
      <c r="O416" s="235">
        <f t="shared" si="26"/>
        <v>0</v>
      </c>
      <c r="P416" s="238" t="s">
        <v>2639</v>
      </c>
      <c r="Q416" s="1" t="s">
        <v>2562</v>
      </c>
      <c r="R416" s="239" t="s">
        <v>2640</v>
      </c>
      <c r="S416" s="238" t="s">
        <v>2641</v>
      </c>
      <c r="T416" s="238" t="s">
        <v>2642</v>
      </c>
      <c r="U416" s="238" t="s">
        <v>2643</v>
      </c>
      <c r="V416" s="238" t="s">
        <v>2488</v>
      </c>
      <c r="Z416" s="238"/>
      <c r="AB416" s="1" t="s">
        <v>2527</v>
      </c>
    </row>
    <row r="417" spans="1:28" ht="11.25" customHeight="1">
      <c r="A417" s="233">
        <v>41111</v>
      </c>
      <c r="B417" s="1" t="s">
        <v>2637</v>
      </c>
      <c r="C417" s="1" t="s">
        <v>2080</v>
      </c>
      <c r="D417" s="1" t="s">
        <v>263</v>
      </c>
      <c r="E417" s="1">
        <v>501</v>
      </c>
      <c r="F417" s="5">
        <v>20</v>
      </c>
      <c r="G417" s="1" t="s">
        <v>229</v>
      </c>
      <c r="H417" s="234">
        <v>1.5</v>
      </c>
      <c r="I417" s="236">
        <f t="shared" si="24"/>
        <v>30</v>
      </c>
      <c r="J417" s="351">
        <v>1.4</v>
      </c>
      <c r="K417" s="241">
        <f>1.4*F417</f>
        <v>28</v>
      </c>
      <c r="L417" s="237">
        <v>41111</v>
      </c>
      <c r="M417" s="1" t="s">
        <v>2638</v>
      </c>
      <c r="N417" s="235">
        <f t="shared" si="25"/>
        <v>30</v>
      </c>
      <c r="O417" s="235">
        <f t="shared" si="26"/>
        <v>0</v>
      </c>
      <c r="P417" s="238" t="s">
        <v>2639</v>
      </c>
      <c r="Q417" s="1" t="s">
        <v>2562</v>
      </c>
      <c r="R417" s="239" t="s">
        <v>2640</v>
      </c>
      <c r="S417" s="238" t="s">
        <v>2641</v>
      </c>
      <c r="T417" s="238" t="s">
        <v>2642</v>
      </c>
      <c r="U417" s="238" t="s">
        <v>2643</v>
      </c>
      <c r="V417" s="238" t="s">
        <v>2488</v>
      </c>
      <c r="Z417" s="238"/>
      <c r="AB417" s="1" t="s">
        <v>2527</v>
      </c>
    </row>
    <row r="418" spans="1:28" ht="11.25" customHeight="1">
      <c r="A418" s="233">
        <v>41111</v>
      </c>
      <c r="B418" s="1" t="s">
        <v>2637</v>
      </c>
      <c r="C418" s="1" t="s">
        <v>2080</v>
      </c>
      <c r="D418" s="1" t="s">
        <v>1210</v>
      </c>
      <c r="E418" s="1">
        <v>3200</v>
      </c>
      <c r="F418" s="5">
        <v>10</v>
      </c>
      <c r="G418" s="1" t="s">
        <v>2086</v>
      </c>
      <c r="H418" s="234">
        <v>31</v>
      </c>
      <c r="I418" s="236">
        <f t="shared" si="24"/>
        <v>310</v>
      </c>
      <c r="J418" s="351">
        <v>28</v>
      </c>
      <c r="K418" s="241">
        <f>28*F418</f>
        <v>280</v>
      </c>
      <c r="L418" s="237">
        <v>41111</v>
      </c>
      <c r="M418" s="1" t="s">
        <v>2638</v>
      </c>
      <c r="N418" s="235">
        <f t="shared" si="25"/>
        <v>310</v>
      </c>
      <c r="O418" s="235">
        <f t="shared" si="26"/>
        <v>0</v>
      </c>
      <c r="P418" s="238" t="s">
        <v>2639</v>
      </c>
      <c r="Q418" s="1" t="s">
        <v>1257</v>
      </c>
      <c r="R418" s="239" t="s">
        <v>2640</v>
      </c>
      <c r="S418" s="238" t="s">
        <v>2641</v>
      </c>
      <c r="T418" s="238" t="s">
        <v>2642</v>
      </c>
      <c r="U418" s="238" t="s">
        <v>2643</v>
      </c>
      <c r="V418" s="238" t="s">
        <v>2488</v>
      </c>
      <c r="Z418" s="238"/>
      <c r="AB418" s="1" t="s">
        <v>2527</v>
      </c>
    </row>
    <row r="419" spans="1:28" ht="11.25" customHeight="1">
      <c r="A419" s="233">
        <v>41111</v>
      </c>
      <c r="B419" s="1" t="s">
        <v>2637</v>
      </c>
      <c r="C419" s="1" t="s">
        <v>2080</v>
      </c>
      <c r="D419" s="1" t="s">
        <v>263</v>
      </c>
      <c r="E419" s="1" t="s">
        <v>2118</v>
      </c>
      <c r="F419" s="5">
        <v>10</v>
      </c>
      <c r="G419" s="1" t="s">
        <v>2086</v>
      </c>
      <c r="H419" s="234">
        <v>2.1</v>
      </c>
      <c r="I419" s="236">
        <f t="shared" si="24"/>
        <v>21</v>
      </c>
      <c r="J419" s="351">
        <v>1.92</v>
      </c>
      <c r="K419" s="241">
        <f>1.92*F419</f>
        <v>19.2</v>
      </c>
      <c r="L419" s="237">
        <v>41111</v>
      </c>
      <c r="M419" s="1" t="s">
        <v>2638</v>
      </c>
      <c r="N419" s="235">
        <f t="shared" si="25"/>
        <v>21</v>
      </c>
      <c r="O419" s="235">
        <f t="shared" si="26"/>
        <v>0</v>
      </c>
      <c r="P419" s="238" t="s">
        <v>2639</v>
      </c>
      <c r="Q419" s="1" t="s">
        <v>2562</v>
      </c>
      <c r="R419" s="239" t="s">
        <v>2640</v>
      </c>
      <c r="S419" s="238" t="s">
        <v>2641</v>
      </c>
      <c r="T419" s="238" t="s">
        <v>2642</v>
      </c>
      <c r="U419" s="238" t="s">
        <v>2643</v>
      </c>
      <c r="V419" s="238" t="s">
        <v>2488</v>
      </c>
      <c r="Z419" s="238"/>
      <c r="AB419" s="1" t="s">
        <v>2527</v>
      </c>
    </row>
    <row r="420" spans="1:28" ht="11.25" customHeight="1">
      <c r="A420" s="233">
        <v>41111</v>
      </c>
      <c r="B420" s="1" t="s">
        <v>2637</v>
      </c>
      <c r="C420" s="1" t="s">
        <v>2080</v>
      </c>
      <c r="D420" s="1" t="s">
        <v>353</v>
      </c>
      <c r="E420" s="1" t="s">
        <v>2397</v>
      </c>
      <c r="F420" s="5">
        <v>10</v>
      </c>
      <c r="G420" s="1" t="s">
        <v>2086</v>
      </c>
      <c r="H420" s="234">
        <v>14.7</v>
      </c>
      <c r="I420" s="236">
        <f t="shared" si="24"/>
        <v>147</v>
      </c>
      <c r="J420" s="352">
        <v>13.33</v>
      </c>
      <c r="K420" s="241">
        <f>13.33*8+12.74*2</f>
        <v>132.12</v>
      </c>
      <c r="L420" s="237">
        <v>41111</v>
      </c>
      <c r="M420" s="1" t="s">
        <v>2638</v>
      </c>
      <c r="N420" s="235">
        <f t="shared" si="25"/>
        <v>147</v>
      </c>
      <c r="O420" s="235">
        <f t="shared" si="26"/>
        <v>0</v>
      </c>
      <c r="P420" s="238" t="s">
        <v>2639</v>
      </c>
      <c r="Q420" s="1" t="s">
        <v>2562</v>
      </c>
      <c r="R420" s="239" t="s">
        <v>2640</v>
      </c>
      <c r="S420" s="238" t="s">
        <v>2641</v>
      </c>
      <c r="T420" s="238" t="s">
        <v>2642</v>
      </c>
      <c r="U420" s="238" t="s">
        <v>2643</v>
      </c>
      <c r="V420" s="238" t="s">
        <v>2488</v>
      </c>
      <c r="Z420" s="238"/>
      <c r="AB420" s="1" t="s">
        <v>2527</v>
      </c>
    </row>
    <row r="421" spans="1:28" ht="11.25" customHeight="1">
      <c r="A421" s="233">
        <v>41111</v>
      </c>
      <c r="B421" s="1" t="s">
        <v>2637</v>
      </c>
      <c r="C421" s="1" t="s">
        <v>2080</v>
      </c>
      <c r="D421" s="1" t="s">
        <v>268</v>
      </c>
      <c r="E421" s="1" t="s">
        <v>2120</v>
      </c>
      <c r="F421" s="5">
        <v>210</v>
      </c>
      <c r="G421" s="1" t="s">
        <v>231</v>
      </c>
      <c r="H421" s="234">
        <v>1.6</v>
      </c>
      <c r="I421" s="236">
        <f t="shared" si="24"/>
        <v>336</v>
      </c>
      <c r="J421" s="352">
        <v>1.42</v>
      </c>
      <c r="K421" s="241">
        <f>1.42*200+1.43*10</f>
        <v>298.3</v>
      </c>
      <c r="L421" s="237">
        <v>41111</v>
      </c>
      <c r="M421" s="1" t="s">
        <v>2638</v>
      </c>
      <c r="N421" s="235">
        <f t="shared" si="25"/>
        <v>336</v>
      </c>
      <c r="O421" s="235">
        <f t="shared" si="26"/>
        <v>0</v>
      </c>
      <c r="P421" s="238" t="s">
        <v>2639</v>
      </c>
      <c r="Q421" s="1" t="s">
        <v>2562</v>
      </c>
      <c r="R421" s="239" t="s">
        <v>2640</v>
      </c>
      <c r="S421" s="238" t="s">
        <v>2641</v>
      </c>
      <c r="T421" s="238" t="s">
        <v>2642</v>
      </c>
      <c r="U421" s="238" t="s">
        <v>2643</v>
      </c>
      <c r="V421" s="238" t="s">
        <v>2488</v>
      </c>
      <c r="Z421" s="238"/>
      <c r="AB421" s="1" t="s">
        <v>2527</v>
      </c>
    </row>
    <row r="422" spans="1:28" ht="11.25" customHeight="1">
      <c r="A422" s="233">
        <v>41113</v>
      </c>
      <c r="B422" s="1" t="s">
        <v>2644</v>
      </c>
      <c r="C422" s="1" t="s">
        <v>2080</v>
      </c>
      <c r="D422" s="1" t="s">
        <v>305</v>
      </c>
      <c r="E422" s="1">
        <v>1270</v>
      </c>
      <c r="F422" s="5">
        <v>100</v>
      </c>
      <c r="G422" s="1" t="s">
        <v>239</v>
      </c>
      <c r="H422" s="234">
        <v>4.83</v>
      </c>
      <c r="I422" s="236">
        <v>483</v>
      </c>
      <c r="J422" s="351"/>
      <c r="K422" s="241">
        <v>431</v>
      </c>
      <c r="L422" s="237">
        <v>41113</v>
      </c>
      <c r="M422" s="236" t="s">
        <v>300</v>
      </c>
      <c r="N422" s="235">
        <f t="shared" si="25"/>
        <v>483</v>
      </c>
      <c r="O422" s="235">
        <f t="shared" si="26"/>
        <v>0</v>
      </c>
      <c r="P422" s="238" t="s">
        <v>2645</v>
      </c>
      <c r="Q422" s="1" t="s">
        <v>391</v>
      </c>
      <c r="R422" s="239" t="s">
        <v>2646</v>
      </c>
      <c r="S422" s="238" t="s">
        <v>2647</v>
      </c>
      <c r="V422" s="238" t="s">
        <v>2648</v>
      </c>
      <c r="W422" s="236">
        <v>784.3</v>
      </c>
      <c r="X422" s="233">
        <v>41113</v>
      </c>
      <c r="Y422" s="238" t="s">
        <v>2082</v>
      </c>
      <c r="Z422" s="238"/>
      <c r="AB422" s="1" t="s">
        <v>377</v>
      </c>
    </row>
    <row r="423" spans="1:28" ht="11.25" customHeight="1">
      <c r="A423" s="233">
        <v>41113</v>
      </c>
      <c r="B423" s="1" t="s">
        <v>2649</v>
      </c>
      <c r="C423" s="1" t="s">
        <v>2080</v>
      </c>
      <c r="D423" s="5" t="s">
        <v>2012</v>
      </c>
      <c r="E423" s="1" t="s">
        <v>2489</v>
      </c>
      <c r="F423" s="5">
        <v>500</v>
      </c>
      <c r="G423" s="1" t="s">
        <v>4970</v>
      </c>
      <c r="H423" s="234">
        <v>1.65</v>
      </c>
      <c r="I423" s="236">
        <f t="shared" ref="I423:I451" si="27">H423*F423</f>
        <v>825</v>
      </c>
      <c r="J423" s="351">
        <v>1.55</v>
      </c>
      <c r="K423" s="241">
        <f>1.55*F423</f>
        <v>775</v>
      </c>
      <c r="L423" s="237">
        <v>41113</v>
      </c>
      <c r="M423" s="1" t="s">
        <v>2077</v>
      </c>
      <c r="N423" s="235">
        <f t="shared" si="25"/>
        <v>825</v>
      </c>
      <c r="O423" s="235">
        <f t="shared" si="26"/>
        <v>0</v>
      </c>
      <c r="P423" s="238" t="s">
        <v>2650</v>
      </c>
      <c r="Q423" s="1" t="s">
        <v>391</v>
      </c>
      <c r="S423" s="238" t="s">
        <v>643</v>
      </c>
      <c r="T423" s="238" t="s">
        <v>2082</v>
      </c>
      <c r="U423" s="238" t="s">
        <v>2082</v>
      </c>
      <c r="V423" s="238" t="s">
        <v>2651</v>
      </c>
      <c r="W423" s="236">
        <v>11698.5</v>
      </c>
      <c r="X423" s="233">
        <v>41177</v>
      </c>
      <c r="Y423" s="238" t="s">
        <v>2082</v>
      </c>
      <c r="AB423" s="1" t="s">
        <v>2527</v>
      </c>
    </row>
    <row r="424" spans="1:28" ht="11.25" customHeight="1">
      <c r="A424" s="233">
        <v>41113</v>
      </c>
      <c r="B424" s="1" t="s">
        <v>2555</v>
      </c>
      <c r="C424" s="1" t="s">
        <v>2080</v>
      </c>
      <c r="D424" s="1" t="s">
        <v>1210</v>
      </c>
      <c r="E424" s="1">
        <v>3200</v>
      </c>
      <c r="F424" s="5">
        <v>50</v>
      </c>
      <c r="G424" s="1" t="s">
        <v>2086</v>
      </c>
      <c r="H424" s="234">
        <v>29</v>
      </c>
      <c r="I424" s="236">
        <f t="shared" si="27"/>
        <v>1450</v>
      </c>
      <c r="J424" s="351">
        <v>28.3</v>
      </c>
      <c r="K424" s="241">
        <f>28.3*F424</f>
        <v>1415</v>
      </c>
      <c r="L424" s="237">
        <v>41115</v>
      </c>
      <c r="M424" s="1" t="s">
        <v>2077</v>
      </c>
      <c r="N424" s="235">
        <f t="shared" si="25"/>
        <v>1450</v>
      </c>
      <c r="O424" s="235">
        <f t="shared" si="26"/>
        <v>0</v>
      </c>
      <c r="P424" s="238" t="s">
        <v>2082</v>
      </c>
      <c r="Q424" s="1" t="s">
        <v>1260</v>
      </c>
      <c r="R424" s="239" t="s">
        <v>2600</v>
      </c>
      <c r="S424" s="238" t="s">
        <v>2601</v>
      </c>
      <c r="T424" s="238" t="s">
        <v>2602</v>
      </c>
      <c r="U424" s="238" t="s">
        <v>2652</v>
      </c>
      <c r="V424" s="115" t="s">
        <v>2559</v>
      </c>
      <c r="W424" s="259">
        <v>10671.9</v>
      </c>
      <c r="X424" s="233">
        <v>41117</v>
      </c>
      <c r="Y424" s="255"/>
      <c r="AB424" s="1" t="s">
        <v>2527</v>
      </c>
    </row>
    <row r="425" spans="1:28" ht="11.25" customHeight="1">
      <c r="A425" s="233">
        <v>41113</v>
      </c>
      <c r="B425" s="1" t="s">
        <v>2555</v>
      </c>
      <c r="C425" s="1" t="s">
        <v>2080</v>
      </c>
      <c r="D425" s="1" t="s">
        <v>346</v>
      </c>
      <c r="E425" s="1">
        <v>3700</v>
      </c>
      <c r="F425" s="5">
        <v>50</v>
      </c>
      <c r="G425" s="1" t="s">
        <v>2086</v>
      </c>
      <c r="H425" s="234">
        <v>3.75</v>
      </c>
      <c r="I425" s="236">
        <f t="shared" si="27"/>
        <v>187.5</v>
      </c>
      <c r="J425" s="351">
        <v>3.6</v>
      </c>
      <c r="K425" s="241">
        <f>3.6*F425</f>
        <v>180</v>
      </c>
      <c r="L425" s="237">
        <v>41115</v>
      </c>
      <c r="M425" s="1" t="s">
        <v>2077</v>
      </c>
      <c r="N425" s="235">
        <f t="shared" si="25"/>
        <v>187.5</v>
      </c>
      <c r="O425" s="235">
        <f t="shared" si="26"/>
        <v>0</v>
      </c>
      <c r="P425" s="238" t="s">
        <v>2082</v>
      </c>
      <c r="Q425" s="1" t="s">
        <v>2599</v>
      </c>
      <c r="R425" s="239" t="s">
        <v>2600</v>
      </c>
      <c r="S425" s="238" t="s">
        <v>2601</v>
      </c>
      <c r="T425" s="238" t="s">
        <v>2602</v>
      </c>
      <c r="U425" s="238" t="s">
        <v>2652</v>
      </c>
      <c r="V425" s="115" t="s">
        <v>2559</v>
      </c>
      <c r="W425" s="259">
        <v>10671.9</v>
      </c>
      <c r="X425" s="233">
        <v>41117</v>
      </c>
      <c r="Y425" s="255"/>
      <c r="AB425" s="1" t="s">
        <v>2527</v>
      </c>
    </row>
    <row r="426" spans="1:28" ht="11.25" customHeight="1">
      <c r="A426" s="233">
        <v>41113</v>
      </c>
      <c r="B426" s="1" t="s">
        <v>2555</v>
      </c>
      <c r="C426" s="1" t="s">
        <v>2080</v>
      </c>
      <c r="D426" s="1" t="s">
        <v>307</v>
      </c>
      <c r="E426" s="1">
        <v>1110</v>
      </c>
      <c r="F426" s="5">
        <v>150</v>
      </c>
      <c r="G426" s="1" t="s">
        <v>2398</v>
      </c>
      <c r="H426" s="234">
        <v>0.8</v>
      </c>
      <c r="I426" s="236">
        <f t="shared" si="27"/>
        <v>120</v>
      </c>
      <c r="J426" s="351"/>
      <c r="K426" s="241">
        <f>0.77*F426</f>
        <v>115.5</v>
      </c>
      <c r="L426" s="237">
        <v>41115</v>
      </c>
      <c r="M426" s="1" t="s">
        <v>2077</v>
      </c>
      <c r="N426" s="235">
        <f t="shared" si="25"/>
        <v>120</v>
      </c>
      <c r="O426" s="235">
        <f t="shared" si="26"/>
        <v>0</v>
      </c>
      <c r="P426" s="238" t="s">
        <v>2082</v>
      </c>
      <c r="Q426" s="1" t="s">
        <v>2599</v>
      </c>
      <c r="R426" s="239" t="s">
        <v>2600</v>
      </c>
      <c r="S426" s="238" t="s">
        <v>2601</v>
      </c>
      <c r="T426" s="238" t="s">
        <v>2602</v>
      </c>
      <c r="U426" s="238" t="s">
        <v>2652</v>
      </c>
      <c r="V426" s="115" t="s">
        <v>2559</v>
      </c>
      <c r="W426" s="259">
        <v>10671.9</v>
      </c>
      <c r="X426" s="233">
        <v>41117</v>
      </c>
      <c r="Y426" s="255"/>
      <c r="AB426" s="1" t="s">
        <v>2527</v>
      </c>
    </row>
    <row r="427" spans="1:28" ht="11.25" customHeight="1">
      <c r="A427" s="233">
        <v>41113</v>
      </c>
      <c r="B427" s="1" t="s">
        <v>2653</v>
      </c>
      <c r="C427" s="1" t="s">
        <v>2080</v>
      </c>
      <c r="D427" s="1" t="s">
        <v>232</v>
      </c>
      <c r="E427" s="1" t="s">
        <v>2107</v>
      </c>
      <c r="F427" s="5">
        <v>100</v>
      </c>
      <c r="G427" s="1" t="s">
        <v>231</v>
      </c>
      <c r="H427" s="234">
        <v>5.5</v>
      </c>
      <c r="I427" s="236">
        <f t="shared" si="27"/>
        <v>550</v>
      </c>
      <c r="J427" s="351">
        <v>5.0999999999999996</v>
      </c>
      <c r="K427" s="241">
        <f>5.1*F427</f>
        <v>509.99999999999994</v>
      </c>
      <c r="L427" s="237">
        <v>41113</v>
      </c>
      <c r="M427" s="1" t="s">
        <v>2390</v>
      </c>
      <c r="N427" s="235">
        <f t="shared" si="25"/>
        <v>550</v>
      </c>
      <c r="O427" s="235">
        <f t="shared" si="26"/>
        <v>0</v>
      </c>
      <c r="P427" s="238" t="s">
        <v>2654</v>
      </c>
      <c r="Q427" s="1" t="s">
        <v>2655</v>
      </c>
      <c r="R427" s="239" t="s">
        <v>2121</v>
      </c>
      <c r="S427" s="238" t="s">
        <v>2656</v>
      </c>
      <c r="T427" s="238" t="s">
        <v>2657</v>
      </c>
      <c r="V427" s="238" t="s">
        <v>2488</v>
      </c>
      <c r="Y427" s="255"/>
      <c r="AB427" s="1" t="s">
        <v>2527</v>
      </c>
    </row>
    <row r="428" spans="1:28" ht="11.25" customHeight="1">
      <c r="A428" s="233">
        <v>41113</v>
      </c>
      <c r="B428" s="1" t="s">
        <v>2565</v>
      </c>
      <c r="C428" s="1" t="s">
        <v>2080</v>
      </c>
      <c r="D428" s="1" t="s">
        <v>2022</v>
      </c>
      <c r="E428" s="1">
        <v>8511</v>
      </c>
      <c r="F428" s="5">
        <v>90</v>
      </c>
      <c r="G428" s="1" t="s">
        <v>231</v>
      </c>
      <c r="H428" s="234">
        <v>8.67</v>
      </c>
      <c r="I428" s="236">
        <f t="shared" si="27"/>
        <v>780.3</v>
      </c>
      <c r="J428" s="351"/>
      <c r="K428" s="241">
        <v>749.5</v>
      </c>
      <c r="L428" s="237">
        <v>41169</v>
      </c>
      <c r="M428" s="1" t="s">
        <v>2327</v>
      </c>
      <c r="N428" s="235">
        <f t="shared" si="25"/>
        <v>780.3</v>
      </c>
      <c r="O428" s="235">
        <f t="shared" si="26"/>
        <v>0</v>
      </c>
      <c r="P428" s="238" t="s">
        <v>2658</v>
      </c>
      <c r="Q428" s="1" t="s">
        <v>2599</v>
      </c>
      <c r="R428" s="239" t="s">
        <v>2567</v>
      </c>
      <c r="S428" s="238" t="s">
        <v>2568</v>
      </c>
      <c r="T428" s="238" t="s">
        <v>773</v>
      </c>
      <c r="U428" s="238" t="s">
        <v>2659</v>
      </c>
      <c r="V428" s="238" t="s">
        <v>2488</v>
      </c>
      <c r="Y428" s="239"/>
      <c r="Z428" s="239"/>
      <c r="AA428" s="240" t="s">
        <v>2570</v>
      </c>
      <c r="AB428" s="1" t="s">
        <v>2527</v>
      </c>
    </row>
    <row r="429" spans="1:28" ht="11.25" customHeight="1">
      <c r="A429" s="233">
        <v>41114</v>
      </c>
      <c r="B429" s="1" t="s">
        <v>2528</v>
      </c>
      <c r="C429" s="1" t="s">
        <v>2080</v>
      </c>
      <c r="D429" s="1" t="s">
        <v>2020</v>
      </c>
      <c r="E429" s="1">
        <v>4690</v>
      </c>
      <c r="F429" s="5">
        <v>1</v>
      </c>
      <c r="G429" s="1" t="s">
        <v>2529</v>
      </c>
      <c r="H429" s="234">
        <v>228</v>
      </c>
      <c r="I429" s="236">
        <f t="shared" si="27"/>
        <v>228</v>
      </c>
      <c r="J429" s="351"/>
      <c r="K429" s="261">
        <f>212.43*F429</f>
        <v>212.43</v>
      </c>
      <c r="L429" s="237">
        <v>41113</v>
      </c>
      <c r="M429" s="1" t="s">
        <v>2390</v>
      </c>
      <c r="N429" s="235">
        <f t="shared" si="25"/>
        <v>228</v>
      </c>
      <c r="O429" s="235">
        <f t="shared" si="26"/>
        <v>0</v>
      </c>
      <c r="P429" s="238" t="s">
        <v>2660</v>
      </c>
      <c r="Q429" s="1" t="s">
        <v>2505</v>
      </c>
      <c r="R429" s="238" t="s">
        <v>2082</v>
      </c>
      <c r="S429" s="238" t="s">
        <v>2082</v>
      </c>
      <c r="T429" s="238" t="s">
        <v>2661</v>
      </c>
      <c r="V429" s="238" t="s">
        <v>2488</v>
      </c>
      <c r="Y429" s="255"/>
      <c r="Z429" s="1" t="s">
        <v>2549</v>
      </c>
      <c r="AB429" s="1" t="s">
        <v>2527</v>
      </c>
    </row>
    <row r="430" spans="1:28" ht="11.25" customHeight="1">
      <c r="A430" s="233">
        <v>41115</v>
      </c>
      <c r="B430" s="1" t="s">
        <v>2662</v>
      </c>
      <c r="C430" s="1" t="s">
        <v>2080</v>
      </c>
      <c r="D430" s="5" t="s">
        <v>2012</v>
      </c>
      <c r="E430" s="1" t="s">
        <v>2489</v>
      </c>
      <c r="F430" s="5">
        <v>100</v>
      </c>
      <c r="G430" s="1" t="s">
        <v>4970</v>
      </c>
      <c r="H430" s="234">
        <v>2.4300000000000002</v>
      </c>
      <c r="I430" s="236">
        <f t="shared" si="27"/>
        <v>243.00000000000003</v>
      </c>
      <c r="J430" s="351">
        <v>1.46</v>
      </c>
      <c r="K430" s="241">
        <f>1.55*F430</f>
        <v>155</v>
      </c>
      <c r="L430" s="237">
        <v>41115</v>
      </c>
      <c r="M430" s="1" t="s">
        <v>2390</v>
      </c>
      <c r="N430" s="235">
        <f t="shared" si="25"/>
        <v>243.00000000000003</v>
      </c>
      <c r="O430" s="235">
        <f t="shared" si="26"/>
        <v>0</v>
      </c>
      <c r="P430" s="238" t="s">
        <v>2663</v>
      </c>
      <c r="Q430" s="1" t="s">
        <v>2655</v>
      </c>
      <c r="R430" s="239" t="s">
        <v>2664</v>
      </c>
      <c r="S430" s="238" t="s">
        <v>2665</v>
      </c>
      <c r="T430" s="238" t="s">
        <v>2666</v>
      </c>
      <c r="V430" s="238" t="s">
        <v>2667</v>
      </c>
      <c r="W430" s="236">
        <v>1595.5</v>
      </c>
      <c r="X430" s="233">
        <v>41115</v>
      </c>
      <c r="Y430" s="255"/>
      <c r="AA430" s="240" t="s">
        <v>2668</v>
      </c>
      <c r="AB430" s="1" t="s">
        <v>2079</v>
      </c>
    </row>
    <row r="431" spans="1:28" ht="11.25" customHeight="1">
      <c r="A431" s="233">
        <v>41115</v>
      </c>
      <c r="B431" s="1" t="s">
        <v>2662</v>
      </c>
      <c r="C431" s="1" t="s">
        <v>2080</v>
      </c>
      <c r="D431" s="1" t="s">
        <v>1897</v>
      </c>
      <c r="E431" s="1" t="s">
        <v>2669</v>
      </c>
      <c r="F431" s="5">
        <v>50</v>
      </c>
      <c r="G431" s="1" t="s">
        <v>2398</v>
      </c>
      <c r="H431" s="234">
        <v>5.8</v>
      </c>
      <c r="I431" s="236">
        <f t="shared" si="27"/>
        <v>290</v>
      </c>
      <c r="J431" s="351"/>
      <c r="K431" s="261">
        <f>3.65*F431</f>
        <v>182.5</v>
      </c>
      <c r="L431" s="237">
        <v>41115</v>
      </c>
      <c r="M431" s="1" t="s">
        <v>2390</v>
      </c>
      <c r="N431" s="235">
        <f t="shared" si="25"/>
        <v>290</v>
      </c>
      <c r="O431" s="235">
        <f t="shared" si="26"/>
        <v>0</v>
      </c>
      <c r="P431" s="238" t="s">
        <v>2663</v>
      </c>
      <c r="Q431" s="1" t="s">
        <v>2655</v>
      </c>
      <c r="R431" s="239" t="s">
        <v>2664</v>
      </c>
      <c r="S431" s="238" t="s">
        <v>2665</v>
      </c>
      <c r="T431" s="238" t="s">
        <v>2666</v>
      </c>
      <c r="V431" s="238" t="s">
        <v>2667</v>
      </c>
      <c r="W431" s="236">
        <v>1595.5</v>
      </c>
      <c r="X431" s="233">
        <v>41115</v>
      </c>
      <c r="Y431" s="255"/>
      <c r="Z431" s="255" t="s">
        <v>2549</v>
      </c>
      <c r="AA431" s="240" t="s">
        <v>2668</v>
      </c>
      <c r="AB431" s="1" t="s">
        <v>2079</v>
      </c>
    </row>
    <row r="432" spans="1:28" ht="11.25" customHeight="1">
      <c r="A432" s="233">
        <v>41115</v>
      </c>
      <c r="B432" s="1" t="s">
        <v>2662</v>
      </c>
      <c r="C432" s="1" t="s">
        <v>2080</v>
      </c>
      <c r="D432" s="1" t="s">
        <v>232</v>
      </c>
      <c r="E432" s="1" t="s">
        <v>2615</v>
      </c>
      <c r="F432" s="5">
        <v>50</v>
      </c>
      <c r="G432" s="1" t="s">
        <v>231</v>
      </c>
      <c r="H432" s="234">
        <v>2.5299999999999998</v>
      </c>
      <c r="I432" s="236">
        <f t="shared" si="27"/>
        <v>126.49999999999999</v>
      </c>
      <c r="J432" s="352">
        <v>1.827</v>
      </c>
      <c r="K432" s="241">
        <f>1.827*F432</f>
        <v>91.35</v>
      </c>
      <c r="L432" s="237">
        <v>41115</v>
      </c>
      <c r="M432" s="1" t="s">
        <v>2390</v>
      </c>
      <c r="N432" s="235">
        <f t="shared" si="25"/>
        <v>126.49999999999999</v>
      </c>
      <c r="O432" s="235">
        <f t="shared" si="26"/>
        <v>0</v>
      </c>
      <c r="P432" s="238" t="s">
        <v>2663</v>
      </c>
      <c r="Q432" s="1" t="s">
        <v>2655</v>
      </c>
      <c r="R432" s="239" t="s">
        <v>2664</v>
      </c>
      <c r="S432" s="238" t="s">
        <v>2665</v>
      </c>
      <c r="T432" s="238" t="s">
        <v>2666</v>
      </c>
      <c r="V432" s="238" t="s">
        <v>2667</v>
      </c>
      <c r="W432" s="236">
        <v>1595.5</v>
      </c>
      <c r="X432" s="233">
        <v>41115</v>
      </c>
      <c r="Y432" s="255"/>
      <c r="AA432" s="240" t="s">
        <v>2668</v>
      </c>
      <c r="AB432" s="1" t="s">
        <v>2079</v>
      </c>
    </row>
    <row r="433" spans="1:28" ht="11.25" customHeight="1">
      <c r="A433" s="233">
        <v>41115</v>
      </c>
      <c r="B433" s="1" t="s">
        <v>2662</v>
      </c>
      <c r="C433" s="1" t="s">
        <v>2080</v>
      </c>
      <c r="D433" s="1" t="s">
        <v>1210</v>
      </c>
      <c r="E433" s="1">
        <v>3200</v>
      </c>
      <c r="F433" s="5">
        <v>20</v>
      </c>
      <c r="G433" s="1" t="s">
        <v>2086</v>
      </c>
      <c r="H433" s="234">
        <v>39.1</v>
      </c>
      <c r="I433" s="236">
        <f t="shared" si="27"/>
        <v>782</v>
      </c>
      <c r="J433" s="351">
        <v>28.3</v>
      </c>
      <c r="K433" s="241">
        <f>28.3*F433</f>
        <v>566</v>
      </c>
      <c r="L433" s="237">
        <v>41115</v>
      </c>
      <c r="M433" s="1" t="s">
        <v>2390</v>
      </c>
      <c r="N433" s="235">
        <f t="shared" si="25"/>
        <v>782</v>
      </c>
      <c r="O433" s="235">
        <f t="shared" si="26"/>
        <v>0</v>
      </c>
      <c r="P433" s="238" t="s">
        <v>2663</v>
      </c>
      <c r="Q433" s="1" t="s">
        <v>2655</v>
      </c>
      <c r="R433" s="239" t="s">
        <v>2664</v>
      </c>
      <c r="S433" s="238" t="s">
        <v>2665</v>
      </c>
      <c r="T433" s="238" t="s">
        <v>2666</v>
      </c>
      <c r="V433" s="238" t="s">
        <v>2667</v>
      </c>
      <c r="W433" s="236">
        <v>1595.5</v>
      </c>
      <c r="X433" s="233">
        <v>41115</v>
      </c>
      <c r="Y433" s="255"/>
      <c r="AA433" s="240" t="s">
        <v>2668</v>
      </c>
      <c r="AB433" s="1" t="s">
        <v>2079</v>
      </c>
    </row>
    <row r="434" spans="1:28" ht="11.25" customHeight="1">
      <c r="A434" s="233">
        <v>41115</v>
      </c>
      <c r="B434" s="1" t="s">
        <v>2662</v>
      </c>
      <c r="C434" s="1" t="s">
        <v>2080</v>
      </c>
      <c r="D434" s="1" t="s">
        <v>232</v>
      </c>
      <c r="E434" s="1" t="s">
        <v>2615</v>
      </c>
      <c r="F434" s="5">
        <v>20</v>
      </c>
      <c r="G434" s="1" t="s">
        <v>231</v>
      </c>
      <c r="H434" s="234">
        <v>2.6</v>
      </c>
      <c r="I434" s="236">
        <f t="shared" si="27"/>
        <v>52</v>
      </c>
      <c r="J434" s="352">
        <v>1.827</v>
      </c>
      <c r="K434" s="241">
        <f>1.827*F434</f>
        <v>36.54</v>
      </c>
      <c r="L434" s="237">
        <v>41115</v>
      </c>
      <c r="M434" s="1" t="s">
        <v>2390</v>
      </c>
      <c r="N434" s="235">
        <f t="shared" si="25"/>
        <v>52</v>
      </c>
      <c r="O434" s="235">
        <f t="shared" si="26"/>
        <v>0</v>
      </c>
      <c r="P434" s="238" t="s">
        <v>2663</v>
      </c>
      <c r="Q434" s="1" t="s">
        <v>2655</v>
      </c>
      <c r="R434" s="239" t="s">
        <v>2664</v>
      </c>
      <c r="S434" s="238" t="s">
        <v>2665</v>
      </c>
      <c r="T434" s="238" t="s">
        <v>2666</v>
      </c>
      <c r="V434" s="238" t="s">
        <v>2667</v>
      </c>
      <c r="W434" s="236">
        <v>1595.5</v>
      </c>
      <c r="X434" s="233">
        <v>41115</v>
      </c>
      <c r="Y434" s="255"/>
      <c r="AA434" s="240" t="s">
        <v>2668</v>
      </c>
      <c r="AB434" s="1" t="s">
        <v>2079</v>
      </c>
    </row>
    <row r="435" spans="1:28" ht="11.25" customHeight="1">
      <c r="A435" s="233">
        <v>41115</v>
      </c>
      <c r="B435" s="1" t="s">
        <v>2662</v>
      </c>
      <c r="C435" s="1" t="s">
        <v>2080</v>
      </c>
      <c r="D435" s="1" t="s">
        <v>346</v>
      </c>
      <c r="E435" s="1">
        <v>3700</v>
      </c>
      <c r="F435" s="5">
        <v>20</v>
      </c>
      <c r="G435" s="1" t="s">
        <v>2086</v>
      </c>
      <c r="H435" s="234">
        <v>5.0999999999999996</v>
      </c>
      <c r="I435" s="236">
        <f t="shared" si="27"/>
        <v>102</v>
      </c>
      <c r="J435" s="351">
        <v>3.64</v>
      </c>
      <c r="K435" s="241">
        <f>3.64*F435</f>
        <v>72.8</v>
      </c>
      <c r="L435" s="237">
        <v>41115</v>
      </c>
      <c r="M435" s="1" t="s">
        <v>2390</v>
      </c>
      <c r="N435" s="235">
        <f t="shared" si="25"/>
        <v>102</v>
      </c>
      <c r="O435" s="235">
        <f t="shared" si="26"/>
        <v>0</v>
      </c>
      <c r="P435" s="238" t="s">
        <v>2663</v>
      </c>
      <c r="Q435" s="1" t="s">
        <v>2655</v>
      </c>
      <c r="R435" s="239" t="s">
        <v>2664</v>
      </c>
      <c r="S435" s="238" t="s">
        <v>2665</v>
      </c>
      <c r="T435" s="238" t="s">
        <v>2666</v>
      </c>
      <c r="V435" s="238" t="s">
        <v>2667</v>
      </c>
      <c r="W435" s="236">
        <v>1595.5</v>
      </c>
      <c r="X435" s="233">
        <v>41115</v>
      </c>
      <c r="Y435" s="255"/>
      <c r="AA435" s="240" t="s">
        <v>2668</v>
      </c>
      <c r="AB435" s="1" t="s">
        <v>2079</v>
      </c>
    </row>
    <row r="436" spans="1:28" ht="11.25" customHeight="1">
      <c r="A436" s="233">
        <v>41115</v>
      </c>
      <c r="B436" s="1" t="s">
        <v>2555</v>
      </c>
      <c r="C436" s="1" t="s">
        <v>2080</v>
      </c>
      <c r="D436" s="1" t="s">
        <v>1867</v>
      </c>
      <c r="E436" s="1">
        <v>6006</v>
      </c>
      <c r="F436" s="5">
        <v>280</v>
      </c>
      <c r="G436" s="1" t="s">
        <v>2086</v>
      </c>
      <c r="H436" s="234">
        <v>50.3</v>
      </c>
      <c r="I436" s="236">
        <f t="shared" si="27"/>
        <v>14084</v>
      </c>
      <c r="J436" s="351"/>
      <c r="K436" s="241">
        <f>49.5*F436</f>
        <v>13860</v>
      </c>
      <c r="L436" s="237">
        <v>41115</v>
      </c>
      <c r="M436" s="1" t="s">
        <v>2077</v>
      </c>
      <c r="N436" s="235">
        <f t="shared" si="25"/>
        <v>14084</v>
      </c>
      <c r="O436" s="235">
        <f t="shared" si="26"/>
        <v>0</v>
      </c>
      <c r="P436" s="238" t="s">
        <v>2082</v>
      </c>
      <c r="Q436" s="1" t="s">
        <v>2670</v>
      </c>
      <c r="R436" s="239" t="s">
        <v>2600</v>
      </c>
      <c r="S436" s="238" t="s">
        <v>2601</v>
      </c>
      <c r="T436" s="238" t="s">
        <v>2602</v>
      </c>
      <c r="U436" s="238" t="s">
        <v>2671</v>
      </c>
      <c r="V436" s="115" t="s">
        <v>2672</v>
      </c>
      <c r="W436" s="259" t="s">
        <v>2673</v>
      </c>
      <c r="X436" s="233">
        <v>41117</v>
      </c>
      <c r="Y436" s="255"/>
      <c r="AB436" s="1" t="s">
        <v>2527</v>
      </c>
    </row>
    <row r="437" spans="1:28" ht="11.25" customHeight="1">
      <c r="A437" s="233">
        <v>41115</v>
      </c>
      <c r="B437" s="1" t="s">
        <v>2555</v>
      </c>
      <c r="C437" s="1" t="s">
        <v>2080</v>
      </c>
      <c r="D437" s="5" t="s">
        <v>2014</v>
      </c>
      <c r="E437" s="1">
        <v>7502</v>
      </c>
      <c r="F437" s="5">
        <v>20</v>
      </c>
      <c r="G437" s="1" t="s">
        <v>2086</v>
      </c>
      <c r="H437" s="234">
        <v>107.86</v>
      </c>
      <c r="I437" s="236">
        <f t="shared" si="27"/>
        <v>2157.1999999999998</v>
      </c>
      <c r="J437" s="351">
        <v>1.6</v>
      </c>
      <c r="K437" s="241">
        <f>106*F437</f>
        <v>2120</v>
      </c>
      <c r="L437" s="237">
        <v>41115</v>
      </c>
      <c r="M437" s="1" t="s">
        <v>2077</v>
      </c>
      <c r="N437" s="235">
        <f t="shared" si="25"/>
        <v>2157.1999999999998</v>
      </c>
      <c r="O437" s="235">
        <f t="shared" si="26"/>
        <v>0</v>
      </c>
      <c r="P437" s="238" t="s">
        <v>2082</v>
      </c>
      <c r="Q437" s="1" t="s">
        <v>1256</v>
      </c>
      <c r="R437" s="239" t="s">
        <v>2600</v>
      </c>
      <c r="S437" s="238" t="s">
        <v>2601</v>
      </c>
      <c r="T437" s="238" t="s">
        <v>2602</v>
      </c>
      <c r="U437" s="238" t="s">
        <v>2671</v>
      </c>
      <c r="V437" s="115" t="s">
        <v>837</v>
      </c>
      <c r="W437" s="260">
        <v>11145.68</v>
      </c>
      <c r="X437" s="233">
        <v>41117</v>
      </c>
      <c r="Y437" s="255"/>
      <c r="AB437" s="1" t="s">
        <v>2527</v>
      </c>
    </row>
    <row r="438" spans="1:28" ht="11.25" customHeight="1">
      <c r="A438" s="233">
        <v>41115</v>
      </c>
      <c r="B438" s="1" t="s">
        <v>2674</v>
      </c>
      <c r="C438" s="1" t="s">
        <v>2080</v>
      </c>
      <c r="D438" s="1" t="s">
        <v>1887</v>
      </c>
      <c r="E438" s="1">
        <v>1427</v>
      </c>
      <c r="F438" s="5">
        <v>1</v>
      </c>
      <c r="G438" s="1" t="s">
        <v>2398</v>
      </c>
      <c r="H438" s="234">
        <v>120</v>
      </c>
      <c r="I438" s="236">
        <f t="shared" si="27"/>
        <v>120</v>
      </c>
      <c r="J438" s="351"/>
      <c r="K438" s="261">
        <f>82.36*F438</f>
        <v>82.36</v>
      </c>
      <c r="L438" s="237">
        <v>41115</v>
      </c>
      <c r="M438" s="1" t="s">
        <v>2077</v>
      </c>
      <c r="N438" s="235">
        <f t="shared" si="25"/>
        <v>120</v>
      </c>
      <c r="O438" s="235">
        <f t="shared" si="26"/>
        <v>0</v>
      </c>
      <c r="P438" s="238" t="s">
        <v>2675</v>
      </c>
      <c r="Q438" s="1" t="s">
        <v>2562</v>
      </c>
      <c r="R438" s="239" t="s">
        <v>2676</v>
      </c>
      <c r="S438" s="238" t="s">
        <v>2677</v>
      </c>
      <c r="T438" s="238" t="s">
        <v>2678</v>
      </c>
      <c r="U438" s="238" t="s">
        <v>2679</v>
      </c>
      <c r="V438" s="238" t="s">
        <v>2680</v>
      </c>
      <c r="W438" s="236">
        <v>1370</v>
      </c>
      <c r="X438" s="233">
        <v>41141</v>
      </c>
      <c r="Y438" s="255">
        <v>23155078476</v>
      </c>
      <c r="Z438" s="1" t="s">
        <v>2549</v>
      </c>
      <c r="AB438" s="1" t="s">
        <v>2079</v>
      </c>
    </row>
    <row r="439" spans="1:28" ht="11.25" customHeight="1">
      <c r="A439" s="233">
        <v>41115</v>
      </c>
      <c r="B439" s="1" t="s">
        <v>2674</v>
      </c>
      <c r="C439" s="1" t="s">
        <v>2080</v>
      </c>
      <c r="D439" s="1" t="s">
        <v>304</v>
      </c>
      <c r="E439" s="1">
        <v>1425</v>
      </c>
      <c r="F439" s="5">
        <v>1</v>
      </c>
      <c r="G439" s="5" t="s">
        <v>2398</v>
      </c>
      <c r="H439" s="234">
        <v>70</v>
      </c>
      <c r="I439" s="236">
        <f t="shared" si="27"/>
        <v>70</v>
      </c>
      <c r="J439" s="351"/>
      <c r="K439" s="261">
        <f>49.68*F439</f>
        <v>49.68</v>
      </c>
      <c r="L439" s="237">
        <v>41115</v>
      </c>
      <c r="M439" s="1" t="s">
        <v>2077</v>
      </c>
      <c r="N439" s="235">
        <f t="shared" si="25"/>
        <v>70</v>
      </c>
      <c r="O439" s="235">
        <f t="shared" si="26"/>
        <v>0</v>
      </c>
      <c r="P439" s="238" t="s">
        <v>2675</v>
      </c>
      <c r="Q439" s="1" t="s">
        <v>2562</v>
      </c>
      <c r="R439" s="239" t="s">
        <v>2676</v>
      </c>
      <c r="S439" s="238" t="s">
        <v>2677</v>
      </c>
      <c r="T439" s="238" t="s">
        <v>2678</v>
      </c>
      <c r="U439" s="238" t="s">
        <v>2679</v>
      </c>
      <c r="V439" s="238" t="s">
        <v>2680</v>
      </c>
      <c r="W439" s="236">
        <v>1370</v>
      </c>
      <c r="X439" s="233">
        <v>41141</v>
      </c>
      <c r="Y439" s="255">
        <v>23155078476</v>
      </c>
      <c r="Z439" s="1" t="s">
        <v>2549</v>
      </c>
      <c r="AB439" s="1" t="s">
        <v>2079</v>
      </c>
    </row>
    <row r="440" spans="1:28" ht="11.25" customHeight="1">
      <c r="A440" s="233">
        <v>41115</v>
      </c>
      <c r="B440" s="1" t="s">
        <v>2681</v>
      </c>
      <c r="C440" s="1" t="s">
        <v>2080</v>
      </c>
      <c r="D440" s="5" t="s">
        <v>2012</v>
      </c>
      <c r="E440" s="1" t="s">
        <v>2489</v>
      </c>
      <c r="F440" s="5">
        <v>500</v>
      </c>
      <c r="G440" s="1" t="s">
        <v>4970</v>
      </c>
      <c r="H440" s="234">
        <v>2.1</v>
      </c>
      <c r="I440" s="236">
        <f t="shared" si="27"/>
        <v>1050</v>
      </c>
      <c r="J440" s="351">
        <v>1.55</v>
      </c>
      <c r="K440" s="241">
        <f>1.55*F440</f>
        <v>775</v>
      </c>
      <c r="L440" s="237">
        <v>41115</v>
      </c>
      <c r="M440" s="1" t="s">
        <v>2390</v>
      </c>
      <c r="N440" s="235">
        <f t="shared" si="25"/>
        <v>1050</v>
      </c>
      <c r="O440" s="235">
        <f t="shared" si="26"/>
        <v>0</v>
      </c>
      <c r="P440" s="238" t="s">
        <v>2682</v>
      </c>
      <c r="Q440" s="1" t="s">
        <v>2212</v>
      </c>
      <c r="R440" s="239" t="s">
        <v>2683</v>
      </c>
      <c r="S440" s="238" t="s">
        <v>2684</v>
      </c>
      <c r="T440" s="238" t="s">
        <v>2685</v>
      </c>
      <c r="V440" s="238" t="s">
        <v>2488</v>
      </c>
      <c r="Y440" s="255"/>
      <c r="Z440" s="1"/>
      <c r="AB440" s="1" t="s">
        <v>2079</v>
      </c>
    </row>
    <row r="441" spans="1:28" ht="11.25" customHeight="1">
      <c r="A441" s="233">
        <v>41115</v>
      </c>
      <c r="B441" s="1" t="s">
        <v>2681</v>
      </c>
      <c r="C441" s="1" t="s">
        <v>2080</v>
      </c>
      <c r="D441" s="1" t="s">
        <v>266</v>
      </c>
      <c r="E441" s="1">
        <v>12308</v>
      </c>
      <c r="F441" s="5">
        <v>5</v>
      </c>
      <c r="G441" s="1" t="s">
        <v>239</v>
      </c>
      <c r="H441" s="234">
        <v>25</v>
      </c>
      <c r="I441" s="236">
        <f t="shared" si="27"/>
        <v>125</v>
      </c>
      <c r="J441" s="351"/>
      <c r="K441" s="261">
        <f>19.43*F441</f>
        <v>97.15</v>
      </c>
      <c r="L441" s="237">
        <v>41115</v>
      </c>
      <c r="M441" s="1" t="s">
        <v>2390</v>
      </c>
      <c r="N441" s="235">
        <f t="shared" si="25"/>
        <v>125</v>
      </c>
      <c r="O441" s="235">
        <f t="shared" si="26"/>
        <v>0</v>
      </c>
      <c r="P441" s="238" t="s">
        <v>2682</v>
      </c>
      <c r="Q441" s="1" t="s">
        <v>2212</v>
      </c>
      <c r="R441" s="239" t="s">
        <v>2683</v>
      </c>
      <c r="S441" s="238" t="s">
        <v>2684</v>
      </c>
      <c r="T441" s="238" t="s">
        <v>2685</v>
      </c>
      <c r="V441" s="238" t="s">
        <v>2488</v>
      </c>
      <c r="Y441" s="255"/>
      <c r="Z441" s="1" t="s">
        <v>2549</v>
      </c>
      <c r="AB441" s="1" t="s">
        <v>2079</v>
      </c>
    </row>
    <row r="442" spans="1:28" ht="11.25" customHeight="1">
      <c r="A442" s="233">
        <v>41115</v>
      </c>
      <c r="B442" s="1" t="s">
        <v>2681</v>
      </c>
      <c r="C442" s="1" t="s">
        <v>2080</v>
      </c>
      <c r="D442" s="1" t="s">
        <v>240</v>
      </c>
      <c r="E442" s="1">
        <v>6200</v>
      </c>
      <c r="F442" s="5">
        <v>2</v>
      </c>
      <c r="G442" s="1" t="s">
        <v>229</v>
      </c>
      <c r="H442" s="234">
        <v>75</v>
      </c>
      <c r="I442" s="236">
        <f t="shared" si="27"/>
        <v>150</v>
      </c>
      <c r="J442" s="351">
        <v>45.8</v>
      </c>
      <c r="K442" s="241" t="e">
        <f>#REF!*F442</f>
        <v>#REF!</v>
      </c>
      <c r="L442" s="237">
        <v>41115</v>
      </c>
      <c r="M442" s="1" t="s">
        <v>2390</v>
      </c>
      <c r="N442" s="235">
        <f t="shared" si="25"/>
        <v>150</v>
      </c>
      <c r="O442" s="235">
        <f t="shared" si="26"/>
        <v>0</v>
      </c>
      <c r="P442" s="238" t="s">
        <v>2682</v>
      </c>
      <c r="Q442" s="1" t="s">
        <v>2212</v>
      </c>
      <c r="R442" s="239" t="s">
        <v>2683</v>
      </c>
      <c r="S442" s="238" t="s">
        <v>2684</v>
      </c>
      <c r="T442" s="238" t="s">
        <v>2685</v>
      </c>
      <c r="V442" s="238" t="s">
        <v>2488</v>
      </c>
      <c r="Y442" s="255"/>
      <c r="AB442" s="1" t="s">
        <v>2079</v>
      </c>
    </row>
    <row r="443" spans="1:28" ht="11.25" customHeight="1">
      <c r="A443" s="233">
        <v>41115</v>
      </c>
      <c r="B443" s="1" t="s">
        <v>2681</v>
      </c>
      <c r="C443" s="1" t="s">
        <v>2080</v>
      </c>
      <c r="D443" s="1" t="s">
        <v>353</v>
      </c>
      <c r="E443" s="1" t="s">
        <v>2492</v>
      </c>
      <c r="F443" s="5">
        <v>8</v>
      </c>
      <c r="G443" s="1" t="s">
        <v>229</v>
      </c>
      <c r="H443" s="234">
        <v>26</v>
      </c>
      <c r="I443" s="236">
        <f t="shared" si="27"/>
        <v>208</v>
      </c>
      <c r="J443" s="351">
        <v>18.5</v>
      </c>
      <c r="K443" s="241">
        <f>18.5*F443</f>
        <v>148</v>
      </c>
      <c r="L443" s="237">
        <v>41115</v>
      </c>
      <c r="M443" s="1" t="s">
        <v>2390</v>
      </c>
      <c r="N443" s="235">
        <f t="shared" si="25"/>
        <v>208</v>
      </c>
      <c r="O443" s="235">
        <f t="shared" si="26"/>
        <v>0</v>
      </c>
      <c r="P443" s="238" t="s">
        <v>2682</v>
      </c>
      <c r="Q443" s="1" t="s">
        <v>2212</v>
      </c>
      <c r="R443" s="239" t="s">
        <v>2683</v>
      </c>
      <c r="S443" s="238" t="s">
        <v>2684</v>
      </c>
      <c r="T443" s="238" t="s">
        <v>2685</v>
      </c>
      <c r="V443" s="238" t="s">
        <v>2488</v>
      </c>
      <c r="Y443" s="255"/>
      <c r="AB443" s="1" t="s">
        <v>2079</v>
      </c>
    </row>
    <row r="444" spans="1:28" ht="11.25" customHeight="1">
      <c r="A444" s="233">
        <v>41115</v>
      </c>
      <c r="B444" s="1" t="s">
        <v>2681</v>
      </c>
      <c r="C444" s="1" t="s">
        <v>2080</v>
      </c>
      <c r="D444" s="1" t="s">
        <v>232</v>
      </c>
      <c r="E444" s="1" t="s">
        <v>2107</v>
      </c>
      <c r="F444" s="5">
        <v>20</v>
      </c>
      <c r="G444" s="1" t="s">
        <v>231</v>
      </c>
      <c r="H444" s="234">
        <v>8</v>
      </c>
      <c r="I444" s="236">
        <f t="shared" si="27"/>
        <v>160</v>
      </c>
      <c r="J444" s="351">
        <v>5.0999999999999996</v>
      </c>
      <c r="K444" s="241">
        <f>5.1*F444</f>
        <v>102</v>
      </c>
      <c r="L444" s="237">
        <v>41115</v>
      </c>
      <c r="M444" s="1" t="s">
        <v>2390</v>
      </c>
      <c r="N444" s="235">
        <f t="shared" si="25"/>
        <v>160</v>
      </c>
      <c r="O444" s="235">
        <f t="shared" si="26"/>
        <v>0</v>
      </c>
      <c r="P444" s="238" t="s">
        <v>2682</v>
      </c>
      <c r="Q444" s="1" t="s">
        <v>2212</v>
      </c>
      <c r="R444" s="239" t="s">
        <v>2683</v>
      </c>
      <c r="S444" s="238" t="s">
        <v>2684</v>
      </c>
      <c r="T444" s="238" t="s">
        <v>2685</v>
      </c>
      <c r="V444" s="238" t="s">
        <v>2488</v>
      </c>
      <c r="Y444" s="255"/>
      <c r="AB444" s="1" t="s">
        <v>2079</v>
      </c>
    </row>
    <row r="445" spans="1:28" ht="11.25" customHeight="1">
      <c r="A445" s="233">
        <v>41115</v>
      </c>
      <c r="B445" s="1" t="s">
        <v>2681</v>
      </c>
      <c r="C445" s="1" t="s">
        <v>2080</v>
      </c>
      <c r="D445" s="1" t="s">
        <v>263</v>
      </c>
      <c r="E445" s="1">
        <v>501</v>
      </c>
      <c r="F445" s="5">
        <v>4</v>
      </c>
      <c r="G445" s="1" t="s">
        <v>229</v>
      </c>
      <c r="H445" s="234">
        <v>2.5</v>
      </c>
      <c r="I445" s="236">
        <f t="shared" si="27"/>
        <v>10</v>
      </c>
      <c r="J445" s="351">
        <v>1.4</v>
      </c>
      <c r="K445" s="241">
        <f>1.4*F445</f>
        <v>5.6</v>
      </c>
      <c r="L445" s="237">
        <v>41115</v>
      </c>
      <c r="M445" s="1" t="s">
        <v>2390</v>
      </c>
      <c r="N445" s="235">
        <f t="shared" si="25"/>
        <v>10</v>
      </c>
      <c r="O445" s="235">
        <f t="shared" si="26"/>
        <v>0</v>
      </c>
      <c r="P445" s="238" t="s">
        <v>2682</v>
      </c>
      <c r="Q445" s="1" t="s">
        <v>2212</v>
      </c>
      <c r="R445" s="239" t="s">
        <v>2683</v>
      </c>
      <c r="S445" s="238" t="s">
        <v>2684</v>
      </c>
      <c r="T445" s="238" t="s">
        <v>2685</v>
      </c>
      <c r="V445" s="238" t="s">
        <v>2488</v>
      </c>
      <c r="Y445" s="255"/>
      <c r="AB445" s="1" t="s">
        <v>2079</v>
      </c>
    </row>
    <row r="446" spans="1:28" ht="11.25" customHeight="1">
      <c r="A446" s="233">
        <v>41115</v>
      </c>
      <c r="B446" s="1" t="s">
        <v>2681</v>
      </c>
      <c r="C446" s="1" t="s">
        <v>2080</v>
      </c>
      <c r="D446" s="1" t="s">
        <v>307</v>
      </c>
      <c r="E446" s="1">
        <v>1110</v>
      </c>
      <c r="F446" s="5">
        <v>4</v>
      </c>
      <c r="G446" s="1" t="s">
        <v>239</v>
      </c>
      <c r="H446" s="234">
        <v>1.2</v>
      </c>
      <c r="I446" s="236">
        <v>0</v>
      </c>
      <c r="J446" s="351"/>
      <c r="K446" s="261">
        <f>0.77*F446</f>
        <v>3.08</v>
      </c>
      <c r="L446" s="237">
        <v>41115</v>
      </c>
      <c r="M446" s="1" t="s">
        <v>2390</v>
      </c>
      <c r="N446" s="235">
        <f t="shared" si="25"/>
        <v>0</v>
      </c>
      <c r="O446" s="235">
        <f t="shared" si="26"/>
        <v>0</v>
      </c>
      <c r="P446" s="238" t="s">
        <v>2682</v>
      </c>
      <c r="Q446" s="1" t="s">
        <v>2212</v>
      </c>
      <c r="R446" s="239" t="s">
        <v>2683</v>
      </c>
      <c r="S446" s="238" t="s">
        <v>2684</v>
      </c>
      <c r="T446" s="238" t="s">
        <v>2685</v>
      </c>
      <c r="V446" s="238" t="s">
        <v>2488</v>
      </c>
      <c r="Y446" s="255"/>
      <c r="Z446" s="1" t="s">
        <v>2549</v>
      </c>
      <c r="AB446" s="1" t="s">
        <v>2079</v>
      </c>
    </row>
    <row r="447" spans="1:28" ht="11.25" customHeight="1">
      <c r="A447" s="233">
        <v>41115</v>
      </c>
      <c r="B447" s="1" t="s">
        <v>819</v>
      </c>
      <c r="C447" s="1" t="s">
        <v>2080</v>
      </c>
      <c r="D447" s="1" t="s">
        <v>1711</v>
      </c>
      <c r="E447" s="1">
        <v>8210</v>
      </c>
      <c r="F447" s="5">
        <v>800</v>
      </c>
      <c r="G447" s="1" t="s">
        <v>2086</v>
      </c>
      <c r="H447" s="234">
        <v>4.12</v>
      </c>
      <c r="I447" s="236">
        <f t="shared" si="27"/>
        <v>3296</v>
      </c>
      <c r="J447" s="351"/>
      <c r="K447" s="241">
        <f>3.78*F447</f>
        <v>3024</v>
      </c>
      <c r="L447" s="237">
        <v>41115</v>
      </c>
      <c r="M447" s="1" t="s">
        <v>2077</v>
      </c>
      <c r="N447" s="235">
        <f t="shared" si="25"/>
        <v>3296</v>
      </c>
      <c r="O447" s="235">
        <f t="shared" si="26"/>
        <v>0</v>
      </c>
      <c r="P447" s="238" t="s">
        <v>2686</v>
      </c>
      <c r="Q447" s="1" t="s">
        <v>2687</v>
      </c>
      <c r="R447" s="239" t="s">
        <v>2688</v>
      </c>
      <c r="S447" s="238" t="s">
        <v>2689</v>
      </c>
      <c r="T447" s="238" t="s">
        <v>2557</v>
      </c>
      <c r="U447" s="238" t="s">
        <v>2690</v>
      </c>
      <c r="V447" s="238" t="s">
        <v>2691</v>
      </c>
      <c r="W447" s="236">
        <v>3404</v>
      </c>
      <c r="X447" s="233">
        <v>41116</v>
      </c>
      <c r="Y447" s="255"/>
      <c r="Z447" s="1"/>
      <c r="AB447" s="1" t="s">
        <v>2527</v>
      </c>
    </row>
    <row r="448" spans="1:28" ht="11.25" customHeight="1">
      <c r="A448" s="233">
        <v>41115</v>
      </c>
      <c r="B448" s="1" t="s">
        <v>2692</v>
      </c>
      <c r="C448" s="1" t="s">
        <v>2080</v>
      </c>
      <c r="D448" s="1" t="s">
        <v>2023</v>
      </c>
      <c r="E448" s="1" t="s">
        <v>2693</v>
      </c>
      <c r="F448" s="5">
        <v>25</v>
      </c>
      <c r="G448" s="1" t="s">
        <v>170</v>
      </c>
      <c r="H448" s="234">
        <v>4.32</v>
      </c>
      <c r="I448" s="236">
        <f t="shared" si="27"/>
        <v>108</v>
      </c>
      <c r="J448" s="351"/>
      <c r="K448" s="261">
        <f>4.08*F448</f>
        <v>102</v>
      </c>
      <c r="L448" s="237">
        <v>41115</v>
      </c>
      <c r="M448" s="1" t="s">
        <v>2077</v>
      </c>
      <c r="N448" s="235">
        <f t="shared" si="25"/>
        <v>108</v>
      </c>
      <c r="O448" s="235">
        <f t="shared" si="26"/>
        <v>0</v>
      </c>
      <c r="P448" s="238" t="s">
        <v>2686</v>
      </c>
      <c r="Q448" s="1" t="s">
        <v>2562</v>
      </c>
      <c r="R448" s="239" t="s">
        <v>2694</v>
      </c>
      <c r="S448" s="238" t="s">
        <v>2695</v>
      </c>
      <c r="T448" s="238" t="s">
        <v>2696</v>
      </c>
      <c r="U448" s="238" t="s">
        <v>2697</v>
      </c>
      <c r="V448" s="238" t="s">
        <v>2691</v>
      </c>
      <c r="W448" s="236">
        <v>3404</v>
      </c>
      <c r="X448" s="233">
        <v>41116</v>
      </c>
      <c r="Y448" s="255"/>
      <c r="Z448" s="1" t="s">
        <v>2549</v>
      </c>
      <c r="AB448" s="1" t="s">
        <v>2527</v>
      </c>
    </row>
    <row r="449" spans="1:28" ht="11.25" customHeight="1">
      <c r="A449" s="233">
        <v>41115</v>
      </c>
      <c r="B449" s="1" t="s">
        <v>2169</v>
      </c>
      <c r="C449" s="1" t="s">
        <v>2080</v>
      </c>
      <c r="D449" s="1" t="s">
        <v>232</v>
      </c>
      <c r="E449" s="1" t="s">
        <v>2615</v>
      </c>
      <c r="F449" s="5">
        <v>1500</v>
      </c>
      <c r="G449" s="1" t="s">
        <v>231</v>
      </c>
      <c r="H449" s="234">
        <v>1.8</v>
      </c>
      <c r="I449" s="236">
        <f t="shared" si="27"/>
        <v>2700</v>
      </c>
      <c r="J449" s="352">
        <v>1.73</v>
      </c>
      <c r="K449" s="241">
        <f>1.73*F449</f>
        <v>2595</v>
      </c>
      <c r="L449" s="237">
        <v>41145</v>
      </c>
      <c r="M449" s="1" t="s">
        <v>2077</v>
      </c>
      <c r="N449" s="235">
        <f t="shared" si="25"/>
        <v>2700</v>
      </c>
      <c r="O449" s="235">
        <f t="shared" si="26"/>
        <v>0</v>
      </c>
      <c r="P449" s="238" t="s">
        <v>2082</v>
      </c>
      <c r="Q449" s="1" t="s">
        <v>2229</v>
      </c>
      <c r="R449" s="239" t="s">
        <v>2698</v>
      </c>
      <c r="S449" s="238" t="s">
        <v>2699</v>
      </c>
      <c r="T449" s="238" t="s">
        <v>2700</v>
      </c>
      <c r="U449" s="238" t="s">
        <v>2701</v>
      </c>
      <c r="V449" s="238" t="s">
        <v>2702</v>
      </c>
      <c r="W449" s="236">
        <v>8678.4</v>
      </c>
      <c r="X449" s="233">
        <v>41145</v>
      </c>
      <c r="Y449" s="238" t="s">
        <v>2622</v>
      </c>
      <c r="AA449" s="240" t="s">
        <v>2703</v>
      </c>
      <c r="AB449" s="1" t="s">
        <v>2527</v>
      </c>
    </row>
    <row r="450" spans="1:28" ht="11.25" customHeight="1">
      <c r="A450" s="233">
        <v>41116</v>
      </c>
      <c r="B450" s="1" t="s">
        <v>2704</v>
      </c>
      <c r="C450" s="1" t="s">
        <v>2080</v>
      </c>
      <c r="D450" s="1" t="s">
        <v>2011</v>
      </c>
      <c r="E450" s="1" t="s">
        <v>2085</v>
      </c>
      <c r="F450" s="5">
        <v>75</v>
      </c>
      <c r="G450" s="1" t="s">
        <v>2086</v>
      </c>
      <c r="H450" s="234">
        <v>1.6</v>
      </c>
      <c r="I450" s="236">
        <f t="shared" si="27"/>
        <v>120</v>
      </c>
      <c r="J450" s="351"/>
      <c r="K450" s="261">
        <f>1.12*F450</f>
        <v>84.000000000000014</v>
      </c>
      <c r="L450" s="237">
        <v>41116</v>
      </c>
      <c r="M450" s="1" t="s">
        <v>2390</v>
      </c>
      <c r="N450" s="235">
        <f t="shared" si="25"/>
        <v>120</v>
      </c>
      <c r="O450" s="235">
        <f t="shared" si="26"/>
        <v>0</v>
      </c>
      <c r="P450" s="238" t="s">
        <v>2705</v>
      </c>
      <c r="Q450" s="1" t="s">
        <v>2212</v>
      </c>
      <c r="R450" s="239" t="s">
        <v>2706</v>
      </c>
      <c r="S450" s="238" t="s">
        <v>2707</v>
      </c>
      <c r="T450" s="238" t="s">
        <v>2082</v>
      </c>
      <c r="V450" s="238" t="s">
        <v>2488</v>
      </c>
      <c r="Y450" s="255"/>
      <c r="Z450" s="1" t="s">
        <v>2549</v>
      </c>
      <c r="AB450" s="1" t="s">
        <v>2079</v>
      </c>
    </row>
    <row r="451" spans="1:28" ht="11.25" customHeight="1">
      <c r="A451" s="233">
        <v>41116</v>
      </c>
      <c r="B451" s="1" t="s">
        <v>2704</v>
      </c>
      <c r="C451" s="1" t="s">
        <v>2080</v>
      </c>
      <c r="D451" s="1" t="s">
        <v>1211</v>
      </c>
      <c r="E451" s="1" t="s">
        <v>2708</v>
      </c>
      <c r="F451" s="5">
        <v>25</v>
      </c>
      <c r="G451" s="1" t="s">
        <v>2086</v>
      </c>
      <c r="H451" s="234">
        <v>1.6</v>
      </c>
      <c r="I451" s="236">
        <f t="shared" si="27"/>
        <v>40</v>
      </c>
      <c r="J451" s="351"/>
      <c r="K451" s="261">
        <f>1.12*F451</f>
        <v>28.000000000000004</v>
      </c>
      <c r="L451" s="237">
        <v>41116</v>
      </c>
      <c r="M451" s="1" t="s">
        <v>2390</v>
      </c>
      <c r="N451" s="235">
        <f t="shared" ref="N451:N514" si="28">I451</f>
        <v>40</v>
      </c>
      <c r="O451" s="235">
        <f t="shared" ref="O451:O514" si="29">I451-N451</f>
        <v>0</v>
      </c>
      <c r="P451" s="238" t="s">
        <v>2705</v>
      </c>
      <c r="Q451" s="1" t="s">
        <v>2212</v>
      </c>
      <c r="R451" s="239" t="s">
        <v>2706</v>
      </c>
      <c r="S451" s="238" t="s">
        <v>2707</v>
      </c>
      <c r="T451" s="238" t="s">
        <v>2082</v>
      </c>
      <c r="V451" s="238" t="s">
        <v>2488</v>
      </c>
      <c r="Y451" s="255"/>
      <c r="Z451" s="1" t="s">
        <v>2549</v>
      </c>
      <c r="AB451" s="1" t="s">
        <v>2079</v>
      </c>
    </row>
    <row r="452" spans="1:28" ht="11.25" customHeight="1">
      <c r="A452" s="233">
        <v>41116</v>
      </c>
      <c r="B452" s="1" t="s">
        <v>2704</v>
      </c>
      <c r="C452" s="1" t="s">
        <v>2080</v>
      </c>
      <c r="D452" s="1" t="s">
        <v>353</v>
      </c>
      <c r="E452" s="1" t="s">
        <v>2492</v>
      </c>
      <c r="F452" s="5">
        <v>4</v>
      </c>
      <c r="G452" s="1" t="s">
        <v>229</v>
      </c>
      <c r="H452" s="234">
        <v>29.3</v>
      </c>
      <c r="I452" s="236">
        <f t="shared" ref="I452:I477" si="30">H452*F452</f>
        <v>117.2</v>
      </c>
      <c r="J452" s="351">
        <v>18.5</v>
      </c>
      <c r="K452" s="241">
        <f>18.5*F452</f>
        <v>74</v>
      </c>
      <c r="L452" s="237">
        <v>41116</v>
      </c>
      <c r="M452" s="1" t="s">
        <v>2390</v>
      </c>
      <c r="N452" s="235">
        <f t="shared" si="28"/>
        <v>117.2</v>
      </c>
      <c r="O452" s="235">
        <f t="shared" si="29"/>
        <v>0</v>
      </c>
      <c r="P452" s="238" t="s">
        <v>2705</v>
      </c>
      <c r="Q452" s="1" t="s">
        <v>2212</v>
      </c>
      <c r="R452" s="239" t="s">
        <v>2706</v>
      </c>
      <c r="S452" s="238" t="s">
        <v>2707</v>
      </c>
      <c r="T452" s="238" t="s">
        <v>2082</v>
      </c>
      <c r="V452" s="238" t="s">
        <v>2488</v>
      </c>
      <c r="Y452" s="255"/>
      <c r="AB452" s="1" t="s">
        <v>2079</v>
      </c>
    </row>
    <row r="453" spans="1:28" ht="11.25" customHeight="1">
      <c r="A453" s="233">
        <v>41116</v>
      </c>
      <c r="B453" s="1" t="s">
        <v>2709</v>
      </c>
      <c r="C453" s="1" t="s">
        <v>2080</v>
      </c>
      <c r="D453" s="1" t="s">
        <v>2024</v>
      </c>
      <c r="E453" s="1">
        <v>8514</v>
      </c>
      <c r="F453" s="5">
        <v>34</v>
      </c>
      <c r="G453" s="1" t="s">
        <v>231</v>
      </c>
      <c r="H453" s="234">
        <v>63</v>
      </c>
      <c r="I453" s="236">
        <f t="shared" si="30"/>
        <v>2142</v>
      </c>
      <c r="J453" s="351"/>
      <c r="K453" s="241">
        <f>61.6*F453</f>
        <v>2094.4</v>
      </c>
      <c r="L453" s="237">
        <v>41116</v>
      </c>
      <c r="M453" s="1" t="s">
        <v>2077</v>
      </c>
      <c r="N453" s="235">
        <f t="shared" si="28"/>
        <v>2142</v>
      </c>
      <c r="O453" s="235">
        <f t="shared" si="29"/>
        <v>0</v>
      </c>
      <c r="P453" s="238" t="s">
        <v>2710</v>
      </c>
      <c r="Q453" s="1" t="s">
        <v>2212</v>
      </c>
      <c r="R453" s="239" t="s">
        <v>2711</v>
      </c>
      <c r="S453" s="238" t="s">
        <v>2712</v>
      </c>
      <c r="T453" s="238" t="s">
        <v>801</v>
      </c>
      <c r="V453" s="238" t="s">
        <v>2713</v>
      </c>
      <c r="W453" s="236">
        <v>4884.3999999999996</v>
      </c>
      <c r="X453" s="233">
        <v>41156</v>
      </c>
      <c r="Y453" s="255"/>
      <c r="AB453" s="1" t="s">
        <v>2527</v>
      </c>
    </row>
    <row r="454" spans="1:28" ht="11.25" customHeight="1">
      <c r="A454" s="233">
        <v>41117</v>
      </c>
      <c r="B454" s="1" t="s">
        <v>2714</v>
      </c>
      <c r="C454" s="1" t="s">
        <v>2080</v>
      </c>
      <c r="D454" s="1" t="s">
        <v>240</v>
      </c>
      <c r="E454" s="1">
        <v>6200</v>
      </c>
      <c r="F454" s="5">
        <v>74</v>
      </c>
      <c r="G454" s="1" t="s">
        <v>229</v>
      </c>
      <c r="H454" s="234">
        <v>79.400000000000006</v>
      </c>
      <c r="I454" s="236">
        <f t="shared" si="30"/>
        <v>5875.6</v>
      </c>
      <c r="J454" s="351" t="s">
        <v>6043</v>
      </c>
      <c r="K454" s="241">
        <f>45.8*24+45*50</f>
        <v>3349.2</v>
      </c>
      <c r="L454" s="237">
        <v>41222</v>
      </c>
      <c r="M454" s="1" t="s">
        <v>2077</v>
      </c>
      <c r="N454" s="235">
        <f t="shared" si="28"/>
        <v>5875.6</v>
      </c>
      <c r="O454" s="235">
        <f t="shared" si="29"/>
        <v>0</v>
      </c>
      <c r="P454" s="238" t="s">
        <v>2715</v>
      </c>
      <c r="Q454" s="1" t="s">
        <v>2716</v>
      </c>
      <c r="R454" s="239" t="s">
        <v>2717</v>
      </c>
      <c r="S454" s="238" t="s">
        <v>865</v>
      </c>
      <c r="T454" s="238" t="s">
        <v>797</v>
      </c>
      <c r="U454" s="238" t="s">
        <v>2718</v>
      </c>
      <c r="V454" s="238" t="s">
        <v>2719</v>
      </c>
      <c r="W454" s="236">
        <v>6189.36</v>
      </c>
      <c r="X454" s="233">
        <v>41164</v>
      </c>
      <c r="Y454" s="238" t="s">
        <v>2720</v>
      </c>
      <c r="AA454" s="240" t="s">
        <v>591</v>
      </c>
      <c r="AB454" s="1" t="s">
        <v>2079</v>
      </c>
    </row>
    <row r="455" spans="1:28" ht="11.25" customHeight="1">
      <c r="A455" s="233">
        <v>41117</v>
      </c>
      <c r="B455" s="1" t="s">
        <v>2714</v>
      </c>
      <c r="C455" s="1" t="s">
        <v>2080</v>
      </c>
      <c r="D455" s="1" t="s">
        <v>353</v>
      </c>
      <c r="E455" s="1" t="s">
        <v>2492</v>
      </c>
      <c r="F455" s="5">
        <v>296</v>
      </c>
      <c r="G455" s="1" t="s">
        <v>229</v>
      </c>
      <c r="H455" s="234">
        <v>28.6</v>
      </c>
      <c r="I455" s="236">
        <f t="shared" si="30"/>
        <v>8465.6</v>
      </c>
      <c r="J455" s="353" t="s">
        <v>6044</v>
      </c>
      <c r="K455" s="244">
        <f>18.5*8+17.5*288</f>
        <v>5188</v>
      </c>
      <c r="L455" s="237">
        <v>41222</v>
      </c>
      <c r="M455" s="1" t="s">
        <v>2077</v>
      </c>
      <c r="N455" s="235">
        <f t="shared" si="28"/>
        <v>8465.6</v>
      </c>
      <c r="O455" s="235">
        <f t="shared" si="29"/>
        <v>0</v>
      </c>
      <c r="P455" s="238" t="s">
        <v>2715</v>
      </c>
      <c r="Q455" s="1" t="s">
        <v>2716</v>
      </c>
      <c r="R455" s="239" t="s">
        <v>2717</v>
      </c>
      <c r="S455" s="238" t="s">
        <v>865</v>
      </c>
      <c r="T455" s="238" t="s">
        <v>797</v>
      </c>
      <c r="U455" s="238" t="s">
        <v>2718</v>
      </c>
      <c r="V455" s="238" t="s">
        <v>2721</v>
      </c>
      <c r="W455" s="236">
        <v>10830.64</v>
      </c>
      <c r="X455" s="233">
        <v>41164</v>
      </c>
      <c r="Y455" s="238" t="s">
        <v>2720</v>
      </c>
      <c r="AA455" s="240" t="s">
        <v>591</v>
      </c>
      <c r="AB455" s="1" t="s">
        <v>2079</v>
      </c>
    </row>
    <row r="456" spans="1:28" ht="11.25" customHeight="1">
      <c r="A456" s="233">
        <v>41117</v>
      </c>
      <c r="B456" s="1" t="s">
        <v>2714</v>
      </c>
      <c r="C456" s="1" t="s">
        <v>2080</v>
      </c>
      <c r="D456" s="1" t="s">
        <v>1874</v>
      </c>
      <c r="E456" s="1" t="s">
        <v>2107</v>
      </c>
      <c r="F456" s="5">
        <v>296</v>
      </c>
      <c r="G456" s="1" t="s">
        <v>231</v>
      </c>
      <c r="H456" s="234">
        <v>7.99</v>
      </c>
      <c r="I456" s="236">
        <f t="shared" si="30"/>
        <v>2365.04</v>
      </c>
      <c r="J456" s="351">
        <v>5.05</v>
      </c>
      <c r="K456" s="241">
        <f>5.05*F456</f>
        <v>1494.8</v>
      </c>
      <c r="L456" s="237">
        <v>41222</v>
      </c>
      <c r="M456" s="1" t="s">
        <v>2077</v>
      </c>
      <c r="N456" s="235">
        <f t="shared" si="28"/>
        <v>2365.04</v>
      </c>
      <c r="O456" s="235">
        <f t="shared" si="29"/>
        <v>0</v>
      </c>
      <c r="P456" s="238" t="s">
        <v>2715</v>
      </c>
      <c r="Q456" s="1" t="s">
        <v>2716</v>
      </c>
      <c r="R456" s="239" t="s">
        <v>2717</v>
      </c>
      <c r="S456" s="238" t="s">
        <v>865</v>
      </c>
      <c r="T456" s="238" t="s">
        <v>797</v>
      </c>
      <c r="U456" s="238" t="s">
        <v>2718</v>
      </c>
      <c r="V456" s="238" t="s">
        <v>2721</v>
      </c>
      <c r="W456" s="236">
        <v>10830.64</v>
      </c>
      <c r="X456" s="233">
        <v>41164</v>
      </c>
      <c r="Y456" s="238" t="s">
        <v>2720</v>
      </c>
      <c r="AA456" s="240" t="s">
        <v>591</v>
      </c>
      <c r="AB456" s="1" t="s">
        <v>2079</v>
      </c>
    </row>
    <row r="457" spans="1:28" ht="11.25" customHeight="1">
      <c r="A457" s="233">
        <v>41117</v>
      </c>
      <c r="B457" s="1" t="s">
        <v>2714</v>
      </c>
      <c r="C457" s="1" t="s">
        <v>2080</v>
      </c>
      <c r="D457" s="1" t="s">
        <v>263</v>
      </c>
      <c r="E457" s="1">
        <v>501</v>
      </c>
      <c r="F457" s="5">
        <v>148</v>
      </c>
      <c r="G457" s="1" t="s">
        <v>229</v>
      </c>
      <c r="H457" s="234">
        <v>2.12</v>
      </c>
      <c r="I457" s="236">
        <f t="shared" si="30"/>
        <v>313.76</v>
      </c>
      <c r="J457" s="351">
        <v>1.4</v>
      </c>
      <c r="K457" s="261">
        <f>1.4*F457</f>
        <v>207.2</v>
      </c>
      <c r="L457" s="237">
        <v>41222</v>
      </c>
      <c r="M457" s="1" t="s">
        <v>2077</v>
      </c>
      <c r="N457" s="235">
        <f t="shared" si="28"/>
        <v>313.76</v>
      </c>
      <c r="O457" s="235">
        <f t="shared" si="29"/>
        <v>0</v>
      </c>
      <c r="P457" s="238" t="s">
        <v>2715</v>
      </c>
      <c r="Q457" s="1" t="s">
        <v>2716</v>
      </c>
      <c r="R457" s="239" t="s">
        <v>2717</v>
      </c>
      <c r="S457" s="238" t="s">
        <v>865</v>
      </c>
      <c r="T457" s="238" t="s">
        <v>797</v>
      </c>
      <c r="U457" s="238" t="s">
        <v>2718</v>
      </c>
      <c r="V457" s="238" t="s">
        <v>2719</v>
      </c>
      <c r="W457" s="236">
        <v>6189.36</v>
      </c>
      <c r="X457" s="233">
        <v>41164</v>
      </c>
      <c r="Y457" s="238" t="s">
        <v>2720</v>
      </c>
      <c r="Z457" s="255" t="s">
        <v>652</v>
      </c>
      <c r="AA457" s="240" t="s">
        <v>2722</v>
      </c>
      <c r="AB457" s="1" t="s">
        <v>2079</v>
      </c>
    </row>
    <row r="458" spans="1:28" ht="11.25" customHeight="1">
      <c r="A458" s="233">
        <v>41117</v>
      </c>
      <c r="B458" s="1" t="s">
        <v>2723</v>
      </c>
      <c r="C458" s="1" t="s">
        <v>2080</v>
      </c>
      <c r="D458" s="1" t="s">
        <v>1711</v>
      </c>
      <c r="E458" s="1">
        <v>8210</v>
      </c>
      <c r="F458" s="5">
        <v>160</v>
      </c>
      <c r="G458" s="1" t="s">
        <v>2086</v>
      </c>
      <c r="H458" s="234">
        <v>4.5</v>
      </c>
      <c r="I458" s="236">
        <f t="shared" si="30"/>
        <v>720</v>
      </c>
      <c r="J458" s="351"/>
      <c r="K458" s="241">
        <f>3.78*F458</f>
        <v>604.79999999999995</v>
      </c>
      <c r="L458" s="237">
        <v>41128</v>
      </c>
      <c r="M458" s="1" t="s">
        <v>2077</v>
      </c>
      <c r="N458" s="235">
        <f t="shared" si="28"/>
        <v>720</v>
      </c>
      <c r="O458" s="235">
        <f t="shared" si="29"/>
        <v>0</v>
      </c>
      <c r="P458" s="238" t="s">
        <v>2724</v>
      </c>
      <c r="Q458" s="1" t="s">
        <v>2505</v>
      </c>
      <c r="R458" s="239" t="s">
        <v>2725</v>
      </c>
      <c r="S458" s="1">
        <v>13795677210</v>
      </c>
      <c r="T458" s="1" t="s">
        <v>835</v>
      </c>
      <c r="V458" s="238" t="s">
        <v>2726</v>
      </c>
      <c r="W458" s="236">
        <v>1920</v>
      </c>
      <c r="X458" s="233">
        <v>41117</v>
      </c>
      <c r="Y458" s="255"/>
      <c r="AB458" s="1" t="s">
        <v>2079</v>
      </c>
    </row>
    <row r="459" spans="1:28" ht="11.25" customHeight="1">
      <c r="A459" s="233">
        <v>41117</v>
      </c>
      <c r="B459" s="1" t="s">
        <v>2723</v>
      </c>
      <c r="C459" s="1" t="s">
        <v>2080</v>
      </c>
      <c r="D459" s="1" t="s">
        <v>2023</v>
      </c>
      <c r="E459" s="1" t="s">
        <v>2693</v>
      </c>
      <c r="F459" s="5">
        <v>250</v>
      </c>
      <c r="G459" s="1" t="s">
        <v>170</v>
      </c>
      <c r="H459" s="234">
        <v>4.8</v>
      </c>
      <c r="I459" s="236">
        <f t="shared" si="30"/>
        <v>1200</v>
      </c>
      <c r="J459" s="351"/>
      <c r="K459" s="241">
        <f>4.08*F459</f>
        <v>1020</v>
      </c>
      <c r="L459" s="237">
        <v>41128</v>
      </c>
      <c r="M459" s="1" t="s">
        <v>2077</v>
      </c>
      <c r="N459" s="235">
        <f t="shared" si="28"/>
        <v>1200</v>
      </c>
      <c r="O459" s="235">
        <f t="shared" si="29"/>
        <v>0</v>
      </c>
      <c r="P459" s="238" t="s">
        <v>2724</v>
      </c>
      <c r="Q459" s="1" t="s">
        <v>2505</v>
      </c>
      <c r="R459" s="239" t="s">
        <v>2725</v>
      </c>
      <c r="S459" s="1">
        <v>13795677210</v>
      </c>
      <c r="T459" s="1" t="s">
        <v>835</v>
      </c>
      <c r="V459" s="238" t="s">
        <v>2726</v>
      </c>
      <c r="W459" s="236">
        <v>1920</v>
      </c>
      <c r="X459" s="233">
        <v>41117</v>
      </c>
      <c r="Y459" s="255"/>
      <c r="AB459" s="1" t="s">
        <v>2079</v>
      </c>
    </row>
    <row r="460" spans="1:28" ht="11.25" customHeight="1">
      <c r="A460" s="233">
        <v>41117</v>
      </c>
      <c r="B460" s="1" t="s">
        <v>2555</v>
      </c>
      <c r="C460" s="1" t="s">
        <v>2080</v>
      </c>
      <c r="D460" s="1" t="s">
        <v>1868</v>
      </c>
      <c r="E460" s="1">
        <v>10435</v>
      </c>
      <c r="F460" s="5">
        <v>60</v>
      </c>
      <c r="G460" s="1" t="s">
        <v>2398</v>
      </c>
      <c r="H460" s="234">
        <v>16.32</v>
      </c>
      <c r="I460" s="236">
        <f t="shared" si="30"/>
        <v>979.2</v>
      </c>
      <c r="J460" s="351"/>
      <c r="K460" s="241">
        <f>15.84*F460</f>
        <v>950.4</v>
      </c>
      <c r="L460" s="237">
        <v>41121</v>
      </c>
      <c r="M460" s="1" t="s">
        <v>2077</v>
      </c>
      <c r="N460" s="235">
        <f t="shared" si="28"/>
        <v>979.2</v>
      </c>
      <c r="O460" s="235">
        <f t="shared" si="29"/>
        <v>0</v>
      </c>
      <c r="P460" s="238" t="s">
        <v>2082</v>
      </c>
      <c r="Q460" s="1" t="s">
        <v>1863</v>
      </c>
      <c r="U460" s="238" t="s">
        <v>2727</v>
      </c>
      <c r="V460" s="238" t="s">
        <v>2728</v>
      </c>
      <c r="W460" s="236">
        <v>4568.6400000000003</v>
      </c>
      <c r="X460" s="233">
        <v>41117</v>
      </c>
      <c r="Y460" s="255"/>
      <c r="AB460" s="1" t="s">
        <v>2527</v>
      </c>
    </row>
    <row r="461" spans="1:28" ht="11.25" customHeight="1">
      <c r="A461" s="233">
        <v>41117</v>
      </c>
      <c r="B461" s="1" t="s">
        <v>2555</v>
      </c>
      <c r="C461" s="1" t="s">
        <v>2080</v>
      </c>
      <c r="D461" s="1" t="s">
        <v>2025</v>
      </c>
      <c r="E461" s="1">
        <v>10436</v>
      </c>
      <c r="F461" s="5">
        <v>64</v>
      </c>
      <c r="G461" s="1" t="s">
        <v>2398</v>
      </c>
      <c r="H461" s="234">
        <v>18.36</v>
      </c>
      <c r="I461" s="236">
        <f t="shared" si="30"/>
        <v>1175.04</v>
      </c>
      <c r="J461" s="351"/>
      <c r="K461" s="241">
        <f>17.82*F461</f>
        <v>1140.48</v>
      </c>
      <c r="L461" s="237">
        <v>41121</v>
      </c>
      <c r="M461" s="1" t="s">
        <v>2077</v>
      </c>
      <c r="N461" s="235">
        <f t="shared" si="28"/>
        <v>1175.04</v>
      </c>
      <c r="O461" s="235">
        <f t="shared" si="29"/>
        <v>0</v>
      </c>
      <c r="P461" s="238" t="s">
        <v>2082</v>
      </c>
      <c r="Q461" s="1" t="s">
        <v>1863</v>
      </c>
      <c r="U461" s="238" t="s">
        <v>2727</v>
      </c>
      <c r="V461" s="238" t="s">
        <v>2728</v>
      </c>
      <c r="W461" s="236">
        <v>4568.6400000000003</v>
      </c>
      <c r="X461" s="233">
        <v>41117</v>
      </c>
      <c r="Y461" s="255"/>
      <c r="AB461" s="1" t="s">
        <v>2527</v>
      </c>
    </row>
    <row r="462" spans="1:28" ht="11.25" customHeight="1">
      <c r="A462" s="233">
        <v>41120</v>
      </c>
      <c r="B462" s="1" t="s">
        <v>464</v>
      </c>
      <c r="C462" s="1" t="s">
        <v>2080</v>
      </c>
      <c r="D462" s="1" t="s">
        <v>232</v>
      </c>
      <c r="E462" s="1" t="s">
        <v>2615</v>
      </c>
      <c r="F462" s="5">
        <v>3000</v>
      </c>
      <c r="G462" s="1" t="s">
        <v>231</v>
      </c>
      <c r="H462" s="234">
        <v>1.81</v>
      </c>
      <c r="I462" s="236">
        <f t="shared" si="30"/>
        <v>5430</v>
      </c>
      <c r="J462" s="352">
        <v>1.7</v>
      </c>
      <c r="K462" s="241">
        <f>1.7*F462</f>
        <v>5100</v>
      </c>
      <c r="L462" s="237">
        <v>41145</v>
      </c>
      <c r="M462" s="1" t="s">
        <v>2077</v>
      </c>
      <c r="N462" s="235">
        <f t="shared" si="28"/>
        <v>5430</v>
      </c>
      <c r="O462" s="235">
        <f t="shared" si="29"/>
        <v>0</v>
      </c>
      <c r="P462" s="238" t="s">
        <v>2729</v>
      </c>
      <c r="Q462" s="1" t="s">
        <v>2730</v>
      </c>
      <c r="R462" s="239" t="s">
        <v>2618</v>
      </c>
      <c r="S462" s="238" t="s">
        <v>2619</v>
      </c>
      <c r="T462" s="238" t="s">
        <v>2700</v>
      </c>
      <c r="U462" s="238" t="s">
        <v>2731</v>
      </c>
      <c r="V462" s="238" t="s">
        <v>2732</v>
      </c>
      <c r="W462" s="236">
        <v>8352.08</v>
      </c>
      <c r="X462" s="233">
        <v>41145</v>
      </c>
      <c r="Y462" s="238" t="s">
        <v>2622</v>
      </c>
      <c r="AA462" s="240" t="s">
        <v>2733</v>
      </c>
      <c r="AB462" s="1" t="s">
        <v>2527</v>
      </c>
    </row>
    <row r="463" spans="1:28" ht="11.25" customHeight="1">
      <c r="A463" s="233">
        <v>41120</v>
      </c>
      <c r="B463" s="1" t="s">
        <v>2734</v>
      </c>
      <c r="C463" s="1" t="s">
        <v>2080</v>
      </c>
      <c r="D463" s="1" t="s">
        <v>240</v>
      </c>
      <c r="E463" s="1">
        <v>6200</v>
      </c>
      <c r="F463" s="5">
        <v>48</v>
      </c>
      <c r="G463" s="1" t="s">
        <v>229</v>
      </c>
      <c r="H463" s="234">
        <v>46</v>
      </c>
      <c r="I463" s="236">
        <f t="shared" si="30"/>
        <v>2208</v>
      </c>
      <c r="J463" s="351">
        <v>45</v>
      </c>
      <c r="K463" s="241" t="e">
        <f>#REF!*F463</f>
        <v>#REF!</v>
      </c>
      <c r="L463" s="237">
        <v>41120</v>
      </c>
      <c r="M463" s="1" t="s">
        <v>2077</v>
      </c>
      <c r="N463" s="235">
        <f t="shared" si="28"/>
        <v>2208</v>
      </c>
      <c r="O463" s="235">
        <f t="shared" si="29"/>
        <v>0</v>
      </c>
      <c r="P463" s="238" t="s">
        <v>2735</v>
      </c>
      <c r="Q463" s="1" t="s">
        <v>1251</v>
      </c>
      <c r="R463" s="239" t="s">
        <v>2736</v>
      </c>
      <c r="S463" s="238" t="s">
        <v>2737</v>
      </c>
      <c r="T463" s="238" t="s">
        <v>2738</v>
      </c>
      <c r="U463" s="238" t="s">
        <v>2739</v>
      </c>
      <c r="V463" s="1">
        <v>215913</v>
      </c>
      <c r="W463" s="236">
        <v>7408</v>
      </c>
      <c r="X463" s="233">
        <v>41131</v>
      </c>
      <c r="Y463" s="262">
        <v>568105803544</v>
      </c>
      <c r="AB463" s="1" t="s">
        <v>2527</v>
      </c>
    </row>
    <row r="464" spans="1:28" ht="11.25" customHeight="1">
      <c r="A464" s="233">
        <v>41120</v>
      </c>
      <c r="B464" s="1" t="s">
        <v>2734</v>
      </c>
      <c r="C464" s="1" t="s">
        <v>2080</v>
      </c>
      <c r="D464" s="1" t="s">
        <v>273</v>
      </c>
      <c r="E464" s="1" t="s">
        <v>2110</v>
      </c>
      <c r="F464" s="5">
        <v>600</v>
      </c>
      <c r="G464" s="1" t="s">
        <v>229</v>
      </c>
      <c r="H464" s="234">
        <v>31.5</v>
      </c>
      <c r="I464" s="236">
        <f t="shared" si="30"/>
        <v>18900</v>
      </c>
      <c r="J464" s="351">
        <v>30</v>
      </c>
      <c r="K464" s="241">
        <f>30*F464</f>
        <v>18000</v>
      </c>
      <c r="L464" s="237">
        <v>41120</v>
      </c>
      <c r="M464" s="1" t="s">
        <v>2077</v>
      </c>
      <c r="N464" s="235">
        <f t="shared" si="28"/>
        <v>18900</v>
      </c>
      <c r="O464" s="235">
        <f t="shared" si="29"/>
        <v>0</v>
      </c>
      <c r="P464" s="238" t="s">
        <v>2735</v>
      </c>
      <c r="Q464" s="1" t="s">
        <v>2229</v>
      </c>
      <c r="R464" s="239" t="s">
        <v>2736</v>
      </c>
      <c r="S464" s="238" t="s">
        <v>2737</v>
      </c>
      <c r="T464" s="238" t="s">
        <v>2738</v>
      </c>
      <c r="U464" s="238" t="s">
        <v>2739</v>
      </c>
      <c r="V464" s="1" t="s">
        <v>2740</v>
      </c>
      <c r="W464" s="236" t="s">
        <v>2741</v>
      </c>
      <c r="X464" s="233">
        <v>41131</v>
      </c>
      <c r="Y464" s="262">
        <v>568105803544</v>
      </c>
      <c r="AB464" s="1" t="s">
        <v>2527</v>
      </c>
    </row>
    <row r="465" spans="1:28" ht="11.25" customHeight="1">
      <c r="A465" s="233">
        <v>41120</v>
      </c>
      <c r="B465" s="1" t="s">
        <v>2734</v>
      </c>
      <c r="C465" s="1" t="s">
        <v>2080</v>
      </c>
      <c r="D465" s="1" t="s">
        <v>232</v>
      </c>
      <c r="E465" s="1" t="s">
        <v>2107</v>
      </c>
      <c r="F465" s="5">
        <v>1000</v>
      </c>
      <c r="G465" s="1" t="s">
        <v>231</v>
      </c>
      <c r="H465" s="234">
        <v>5.2</v>
      </c>
      <c r="I465" s="236">
        <f t="shared" si="30"/>
        <v>5200</v>
      </c>
      <c r="J465" s="351">
        <v>5.05</v>
      </c>
      <c r="K465" s="241">
        <f>5.05*F465</f>
        <v>5050</v>
      </c>
      <c r="L465" s="237">
        <v>41120</v>
      </c>
      <c r="M465" s="1" t="s">
        <v>2077</v>
      </c>
      <c r="N465" s="235">
        <f t="shared" si="28"/>
        <v>5200</v>
      </c>
      <c r="O465" s="235">
        <f t="shared" si="29"/>
        <v>0</v>
      </c>
      <c r="P465" s="238" t="s">
        <v>2735</v>
      </c>
      <c r="Q465" s="1" t="s">
        <v>2229</v>
      </c>
      <c r="R465" s="239" t="s">
        <v>2736</v>
      </c>
      <c r="S465" s="238" t="s">
        <v>2737</v>
      </c>
      <c r="T465" s="238" t="s">
        <v>2738</v>
      </c>
      <c r="U465" s="238" t="s">
        <v>2739</v>
      </c>
      <c r="V465" s="1">
        <v>215913</v>
      </c>
      <c r="W465" s="236">
        <v>7408</v>
      </c>
      <c r="X465" s="233">
        <v>41131</v>
      </c>
      <c r="Y465" s="262">
        <v>568105803544</v>
      </c>
      <c r="AB465" s="1" t="s">
        <v>2527</v>
      </c>
    </row>
    <row r="466" spans="1:28" ht="11.25" customHeight="1">
      <c r="A466" s="233">
        <v>41120</v>
      </c>
      <c r="B466" s="1" t="s">
        <v>530</v>
      </c>
      <c r="C466" s="1" t="s">
        <v>2080</v>
      </c>
      <c r="D466" s="5" t="s">
        <v>2012</v>
      </c>
      <c r="E466" s="1" t="s">
        <v>2489</v>
      </c>
      <c r="F466" s="5">
        <v>200</v>
      </c>
      <c r="G466" s="1" t="s">
        <v>4970</v>
      </c>
      <c r="H466" s="234">
        <v>2.6</v>
      </c>
      <c r="I466" s="236">
        <f t="shared" si="30"/>
        <v>520</v>
      </c>
      <c r="J466" s="351">
        <v>1.46</v>
      </c>
      <c r="K466" s="241">
        <f>1.55*F466</f>
        <v>310</v>
      </c>
      <c r="L466" s="237">
        <v>41120</v>
      </c>
      <c r="M466" s="1" t="s">
        <v>2327</v>
      </c>
      <c r="N466" s="235">
        <f t="shared" si="28"/>
        <v>520</v>
      </c>
      <c r="O466" s="235">
        <f t="shared" si="29"/>
        <v>0</v>
      </c>
      <c r="P466" s="238" t="s">
        <v>2742</v>
      </c>
      <c r="Q466" s="1" t="s">
        <v>2743</v>
      </c>
      <c r="R466" s="239" t="s">
        <v>532</v>
      </c>
      <c r="S466" s="238" t="s">
        <v>533</v>
      </c>
      <c r="T466" s="238" t="s">
        <v>2744</v>
      </c>
      <c r="U466" s="238" t="s">
        <v>2745</v>
      </c>
      <c r="V466" s="238" t="s">
        <v>254</v>
      </c>
      <c r="Y466" s="239"/>
      <c r="Z466" s="239"/>
      <c r="AB466" s="1" t="s">
        <v>382</v>
      </c>
    </row>
    <row r="467" spans="1:28" ht="11.25" customHeight="1">
      <c r="A467" s="233">
        <v>41120</v>
      </c>
      <c r="B467" s="1" t="s">
        <v>2746</v>
      </c>
      <c r="C467" s="1" t="s">
        <v>2071</v>
      </c>
      <c r="D467" s="1" t="s">
        <v>268</v>
      </c>
      <c r="E467" s="1" t="s">
        <v>2106</v>
      </c>
      <c r="F467" s="5">
        <v>10</v>
      </c>
      <c r="G467" s="1" t="s">
        <v>231</v>
      </c>
      <c r="H467" s="234">
        <v>2</v>
      </c>
      <c r="I467" s="236">
        <f t="shared" si="30"/>
        <v>20</v>
      </c>
      <c r="J467" s="352">
        <v>1.43</v>
      </c>
      <c r="K467" s="241">
        <f>1.43*F467</f>
        <v>14.299999999999999</v>
      </c>
      <c r="L467" s="237">
        <v>41120</v>
      </c>
      <c r="M467" s="1" t="s">
        <v>2100</v>
      </c>
      <c r="N467" s="235">
        <f t="shared" si="28"/>
        <v>20</v>
      </c>
      <c r="O467" s="235">
        <f t="shared" si="29"/>
        <v>0</v>
      </c>
      <c r="P467" s="238" t="s">
        <v>2747</v>
      </c>
      <c r="Q467" s="1" t="s">
        <v>2748</v>
      </c>
      <c r="R467" s="239" t="s">
        <v>532</v>
      </c>
      <c r="S467" s="238" t="s">
        <v>533</v>
      </c>
      <c r="T467" s="238" t="s">
        <v>2744</v>
      </c>
      <c r="U467" s="238" t="s">
        <v>2745</v>
      </c>
      <c r="V467" s="238" t="s">
        <v>254</v>
      </c>
      <c r="Y467" s="239"/>
      <c r="Z467" s="239"/>
      <c r="AB467" s="1" t="s">
        <v>382</v>
      </c>
    </row>
    <row r="468" spans="1:28" ht="11.25" customHeight="1">
      <c r="A468" s="233">
        <v>41120</v>
      </c>
      <c r="B468" s="1" t="s">
        <v>530</v>
      </c>
      <c r="C468" s="1" t="s">
        <v>2071</v>
      </c>
      <c r="D468" s="1" t="s">
        <v>353</v>
      </c>
      <c r="E468" s="1" t="s">
        <v>2102</v>
      </c>
      <c r="F468" s="5">
        <v>2</v>
      </c>
      <c r="G468" s="1" t="s">
        <v>2099</v>
      </c>
      <c r="H468" s="234">
        <v>18</v>
      </c>
      <c r="I468" s="236">
        <f t="shared" si="30"/>
        <v>36</v>
      </c>
      <c r="J468" s="352">
        <v>13.33</v>
      </c>
      <c r="K468" s="241">
        <f>13.33*F468</f>
        <v>26.66</v>
      </c>
      <c r="L468" s="237">
        <v>41120</v>
      </c>
      <c r="M468" s="1" t="s">
        <v>2100</v>
      </c>
      <c r="N468" s="235">
        <f t="shared" si="28"/>
        <v>36</v>
      </c>
      <c r="O468" s="235">
        <f t="shared" si="29"/>
        <v>0</v>
      </c>
      <c r="P468" s="238" t="s">
        <v>2747</v>
      </c>
      <c r="Q468" s="1" t="s">
        <v>2748</v>
      </c>
      <c r="R468" s="239" t="s">
        <v>532</v>
      </c>
      <c r="S468" s="238" t="s">
        <v>533</v>
      </c>
      <c r="T468" s="238" t="s">
        <v>2744</v>
      </c>
      <c r="U468" s="238" t="s">
        <v>2745</v>
      </c>
      <c r="V468" s="238" t="s">
        <v>254</v>
      </c>
      <c r="Y468" s="239"/>
      <c r="Z468" s="239"/>
      <c r="AB468" s="1" t="s">
        <v>382</v>
      </c>
    </row>
    <row r="469" spans="1:28" ht="11.25" customHeight="1">
      <c r="A469" s="233">
        <v>41120</v>
      </c>
      <c r="B469" s="1" t="s">
        <v>2749</v>
      </c>
      <c r="C469" s="1" t="s">
        <v>2071</v>
      </c>
      <c r="D469" s="1" t="s">
        <v>1210</v>
      </c>
      <c r="E469" s="1">
        <v>3200</v>
      </c>
      <c r="F469" s="5">
        <v>10</v>
      </c>
      <c r="G469" s="1" t="s">
        <v>2099</v>
      </c>
      <c r="H469" s="234">
        <v>43.58</v>
      </c>
      <c r="I469" s="236">
        <f t="shared" si="30"/>
        <v>435.79999999999995</v>
      </c>
      <c r="J469" s="351">
        <v>26</v>
      </c>
      <c r="K469" s="241">
        <f>26*F469</f>
        <v>260</v>
      </c>
      <c r="L469" s="237">
        <v>41127</v>
      </c>
      <c r="M469" s="1" t="s">
        <v>2100</v>
      </c>
      <c r="N469" s="235">
        <f t="shared" si="28"/>
        <v>435.79999999999995</v>
      </c>
      <c r="O469" s="235">
        <f t="shared" si="29"/>
        <v>0</v>
      </c>
      <c r="P469" s="238" t="s">
        <v>2750</v>
      </c>
      <c r="Q469" s="1" t="s">
        <v>1261</v>
      </c>
      <c r="R469" s="239" t="s">
        <v>2751</v>
      </c>
      <c r="S469" s="238" t="s">
        <v>2752</v>
      </c>
      <c r="T469" s="238" t="s">
        <v>2753</v>
      </c>
      <c r="U469" s="238" t="s">
        <v>2754</v>
      </c>
      <c r="V469" s="238" t="s">
        <v>254</v>
      </c>
      <c r="W469" s="236">
        <v>520</v>
      </c>
      <c r="Y469" s="255"/>
      <c r="AB469" s="1" t="s">
        <v>382</v>
      </c>
    </row>
    <row r="470" spans="1:28" ht="11.25" customHeight="1">
      <c r="A470" s="233">
        <v>41120</v>
      </c>
      <c r="B470" s="1" t="s">
        <v>2749</v>
      </c>
      <c r="C470" s="1" t="s">
        <v>2071</v>
      </c>
      <c r="D470" s="1" t="s">
        <v>232</v>
      </c>
      <c r="E470" s="1" t="s">
        <v>2113</v>
      </c>
      <c r="F470" s="5">
        <v>10</v>
      </c>
      <c r="G470" s="1" t="s">
        <v>231</v>
      </c>
      <c r="H470" s="234">
        <v>5.61</v>
      </c>
      <c r="I470" s="236">
        <f t="shared" si="30"/>
        <v>56.1</v>
      </c>
      <c r="J470" s="352">
        <v>1.827</v>
      </c>
      <c r="K470" s="241">
        <f>1.827*F470</f>
        <v>18.27</v>
      </c>
      <c r="L470" s="237">
        <v>41127</v>
      </c>
      <c r="M470" s="1" t="s">
        <v>2100</v>
      </c>
      <c r="N470" s="235">
        <f t="shared" si="28"/>
        <v>56.1</v>
      </c>
      <c r="O470" s="235">
        <f t="shared" si="29"/>
        <v>0</v>
      </c>
      <c r="P470" s="238" t="s">
        <v>2750</v>
      </c>
      <c r="Q470" s="1" t="s">
        <v>2755</v>
      </c>
      <c r="R470" s="239" t="s">
        <v>2751</v>
      </c>
      <c r="S470" s="238" t="s">
        <v>2752</v>
      </c>
      <c r="T470" s="238" t="s">
        <v>2753</v>
      </c>
      <c r="U470" s="238" t="s">
        <v>2754</v>
      </c>
      <c r="V470" s="238" t="s">
        <v>254</v>
      </c>
      <c r="W470" s="236">
        <v>520</v>
      </c>
      <c r="Y470" s="255"/>
      <c r="AB470" s="1" t="s">
        <v>382</v>
      </c>
    </row>
    <row r="471" spans="1:28" ht="11.25" customHeight="1">
      <c r="A471" s="233">
        <v>41120</v>
      </c>
      <c r="B471" s="1" t="s">
        <v>2749</v>
      </c>
      <c r="C471" s="1" t="s">
        <v>2071</v>
      </c>
      <c r="D471" s="1" t="s">
        <v>346</v>
      </c>
      <c r="E471" s="1">
        <v>3700</v>
      </c>
      <c r="F471" s="5">
        <v>10</v>
      </c>
      <c r="G471" s="1" t="s">
        <v>2099</v>
      </c>
      <c r="H471" s="234">
        <v>2.81</v>
      </c>
      <c r="I471" s="236">
        <f t="shared" si="30"/>
        <v>28.1</v>
      </c>
      <c r="J471" s="351">
        <v>3.7</v>
      </c>
      <c r="K471" s="241">
        <f>3.3*1+3.7*9</f>
        <v>36.6</v>
      </c>
      <c r="L471" s="237">
        <v>41127</v>
      </c>
      <c r="M471" s="1" t="s">
        <v>2100</v>
      </c>
      <c r="N471" s="235">
        <f t="shared" si="28"/>
        <v>28.1</v>
      </c>
      <c r="O471" s="235">
        <f t="shared" si="29"/>
        <v>0</v>
      </c>
      <c r="P471" s="238" t="s">
        <v>2750</v>
      </c>
      <c r="Q471" s="1" t="s">
        <v>2755</v>
      </c>
      <c r="R471" s="239" t="s">
        <v>2751</v>
      </c>
      <c r="S471" s="238" t="s">
        <v>2752</v>
      </c>
      <c r="T471" s="238" t="s">
        <v>2753</v>
      </c>
      <c r="U471" s="238" t="s">
        <v>2754</v>
      </c>
      <c r="V471" s="238" t="s">
        <v>254</v>
      </c>
      <c r="W471" s="236">
        <v>520</v>
      </c>
      <c r="Y471" s="255"/>
      <c r="AB471" s="1" t="s">
        <v>382</v>
      </c>
    </row>
    <row r="472" spans="1:28" ht="11.25" customHeight="1">
      <c r="A472" s="233">
        <v>41121</v>
      </c>
      <c r="B472" s="1" t="s">
        <v>2756</v>
      </c>
      <c r="C472" s="1" t="s">
        <v>2071</v>
      </c>
      <c r="D472" s="5" t="s">
        <v>2012</v>
      </c>
      <c r="E472" s="1" t="s">
        <v>2089</v>
      </c>
      <c r="F472" s="5">
        <v>1000</v>
      </c>
      <c r="G472" s="1" t="s">
        <v>4970</v>
      </c>
      <c r="H472" s="234">
        <v>2.6</v>
      </c>
      <c r="I472" s="236">
        <f t="shared" si="30"/>
        <v>2600</v>
      </c>
      <c r="J472" s="351">
        <v>1.46</v>
      </c>
      <c r="K472" s="241">
        <f>1.46*F472</f>
        <v>1460</v>
      </c>
      <c r="L472" s="237">
        <v>41121</v>
      </c>
      <c r="M472" s="1" t="s">
        <v>2073</v>
      </c>
      <c r="N472" s="235">
        <f t="shared" si="28"/>
        <v>2600</v>
      </c>
      <c r="O472" s="235">
        <f t="shared" si="29"/>
        <v>0</v>
      </c>
      <c r="P472" s="238" t="s">
        <v>2757</v>
      </c>
      <c r="Q472" s="1" t="s">
        <v>2758</v>
      </c>
      <c r="R472" s="239" t="s">
        <v>2759</v>
      </c>
      <c r="S472" s="238" t="s">
        <v>2760</v>
      </c>
      <c r="T472" s="238" t="s">
        <v>2761</v>
      </c>
      <c r="U472" s="238" t="s">
        <v>2762</v>
      </c>
      <c r="V472" s="238" t="s">
        <v>2763</v>
      </c>
      <c r="W472" s="236">
        <v>2600</v>
      </c>
      <c r="X472" s="233">
        <v>41128</v>
      </c>
      <c r="Y472" s="255"/>
      <c r="AB472" s="1" t="s">
        <v>382</v>
      </c>
    </row>
    <row r="473" spans="1:28" ht="11.25" customHeight="1">
      <c r="A473" s="233">
        <v>41121</v>
      </c>
      <c r="B473" s="1" t="s">
        <v>2764</v>
      </c>
      <c r="C473" s="1" t="s">
        <v>2071</v>
      </c>
      <c r="D473" s="1" t="s">
        <v>840</v>
      </c>
      <c r="E473" s="1">
        <v>10197</v>
      </c>
      <c r="F473" s="5">
        <v>1</v>
      </c>
      <c r="G473" s="1" t="s">
        <v>2152</v>
      </c>
      <c r="H473" s="234">
        <v>55</v>
      </c>
      <c r="I473" s="236">
        <f t="shared" si="30"/>
        <v>55</v>
      </c>
      <c r="J473" s="351"/>
      <c r="K473" s="241">
        <f>40.2*F473</f>
        <v>40.200000000000003</v>
      </c>
      <c r="L473" s="237">
        <v>41121</v>
      </c>
      <c r="M473" s="1" t="s">
        <v>2357</v>
      </c>
      <c r="N473" s="235">
        <f t="shared" si="28"/>
        <v>55</v>
      </c>
      <c r="O473" s="235">
        <f t="shared" si="29"/>
        <v>0</v>
      </c>
      <c r="P473" s="238" t="s">
        <v>2765</v>
      </c>
      <c r="Q473" s="1" t="s">
        <v>2210</v>
      </c>
      <c r="R473" s="239" t="s">
        <v>2766</v>
      </c>
      <c r="S473" s="238" t="s">
        <v>2767</v>
      </c>
      <c r="T473" s="238" t="s">
        <v>2768</v>
      </c>
      <c r="V473" s="238" t="s">
        <v>2159</v>
      </c>
      <c r="Y473" s="255"/>
      <c r="AB473" s="1" t="s">
        <v>382</v>
      </c>
    </row>
    <row r="474" spans="1:28" ht="11.25" customHeight="1">
      <c r="A474" s="233">
        <v>41121</v>
      </c>
      <c r="B474" s="1" t="s">
        <v>2764</v>
      </c>
      <c r="C474" s="1" t="s">
        <v>2071</v>
      </c>
      <c r="D474" s="1" t="s">
        <v>6581</v>
      </c>
      <c r="E474" s="1">
        <v>8512</v>
      </c>
      <c r="F474" s="5">
        <v>1</v>
      </c>
      <c r="G474" s="1" t="s">
        <v>170</v>
      </c>
      <c r="H474" s="234">
        <v>60</v>
      </c>
      <c r="I474" s="236">
        <f t="shared" si="30"/>
        <v>60</v>
      </c>
      <c r="J474" s="351"/>
      <c r="K474" s="261">
        <f>46.66*F474</f>
        <v>46.66</v>
      </c>
      <c r="L474" s="237">
        <v>41121</v>
      </c>
      <c r="M474" s="1" t="s">
        <v>2357</v>
      </c>
      <c r="N474" s="235">
        <f t="shared" si="28"/>
        <v>60</v>
      </c>
      <c r="O474" s="235">
        <f t="shared" si="29"/>
        <v>0</v>
      </c>
      <c r="P474" s="238" t="s">
        <v>2765</v>
      </c>
      <c r="Q474" s="1" t="s">
        <v>2210</v>
      </c>
      <c r="R474" s="239" t="s">
        <v>2766</v>
      </c>
      <c r="S474" s="238" t="s">
        <v>2767</v>
      </c>
      <c r="T474" s="238" t="s">
        <v>2768</v>
      </c>
      <c r="V474" s="238" t="s">
        <v>2159</v>
      </c>
      <c r="Y474" s="255"/>
      <c r="Z474" s="255" t="s">
        <v>2308</v>
      </c>
      <c r="AB474" s="1" t="s">
        <v>382</v>
      </c>
    </row>
    <row r="475" spans="1:28" ht="11.25" customHeight="1">
      <c r="A475" s="233">
        <v>41121</v>
      </c>
      <c r="B475" s="1" t="s">
        <v>2764</v>
      </c>
      <c r="C475" s="1" t="s">
        <v>2071</v>
      </c>
      <c r="D475" s="5" t="s">
        <v>2012</v>
      </c>
      <c r="E475" s="1" t="s">
        <v>2089</v>
      </c>
      <c r="F475" s="5">
        <v>100</v>
      </c>
      <c r="G475" s="1" t="s">
        <v>4970</v>
      </c>
      <c r="H475" s="234">
        <v>2.2999999999999998</v>
      </c>
      <c r="I475" s="236">
        <f t="shared" si="30"/>
        <v>229.99999999999997</v>
      </c>
      <c r="J475" s="351" t="s">
        <v>6039</v>
      </c>
      <c r="K475" s="241">
        <f>1.46*90+1.55*10</f>
        <v>146.9</v>
      </c>
      <c r="L475" s="237">
        <v>41121</v>
      </c>
      <c r="M475" s="1" t="s">
        <v>2357</v>
      </c>
      <c r="N475" s="235">
        <f t="shared" si="28"/>
        <v>229.99999999999997</v>
      </c>
      <c r="O475" s="235">
        <f t="shared" si="29"/>
        <v>0</v>
      </c>
      <c r="P475" s="238" t="s">
        <v>2765</v>
      </c>
      <c r="Q475" s="1" t="s">
        <v>2210</v>
      </c>
      <c r="R475" s="239" t="s">
        <v>2766</v>
      </c>
      <c r="S475" s="238" t="s">
        <v>2767</v>
      </c>
      <c r="T475" s="238" t="s">
        <v>2768</v>
      </c>
      <c r="V475" s="238" t="s">
        <v>2159</v>
      </c>
      <c r="Y475" s="255"/>
      <c r="AB475" s="1" t="s">
        <v>382</v>
      </c>
    </row>
    <row r="476" spans="1:28" ht="11.25" customHeight="1">
      <c r="A476" s="233">
        <v>41121</v>
      </c>
      <c r="B476" s="1" t="s">
        <v>841</v>
      </c>
      <c r="C476" s="1" t="s">
        <v>2071</v>
      </c>
      <c r="D476" s="1" t="s">
        <v>842</v>
      </c>
      <c r="E476" s="1">
        <v>16618</v>
      </c>
      <c r="F476" s="5">
        <v>200</v>
      </c>
      <c r="G476" s="1" t="s">
        <v>2152</v>
      </c>
      <c r="H476" s="234">
        <v>38.5</v>
      </c>
      <c r="I476" s="236">
        <f t="shared" si="30"/>
        <v>7700</v>
      </c>
      <c r="J476" s="351"/>
      <c r="K476" s="241">
        <f>35.75*F476</f>
        <v>7150</v>
      </c>
      <c r="L476" s="237">
        <v>41121</v>
      </c>
      <c r="M476" s="1" t="s">
        <v>2073</v>
      </c>
      <c r="N476" s="235">
        <f t="shared" si="28"/>
        <v>7700</v>
      </c>
      <c r="O476" s="235">
        <f t="shared" si="29"/>
        <v>0</v>
      </c>
      <c r="P476" s="238" t="s">
        <v>2769</v>
      </c>
      <c r="Q476" s="1" t="s">
        <v>2770</v>
      </c>
      <c r="R476" s="239" t="s">
        <v>2771</v>
      </c>
      <c r="S476" s="238" t="s">
        <v>2772</v>
      </c>
      <c r="T476" s="238" t="s">
        <v>2773</v>
      </c>
      <c r="U476" s="238" t="s">
        <v>2774</v>
      </c>
      <c r="V476" s="238" t="s">
        <v>2775</v>
      </c>
      <c r="W476" s="236">
        <v>11660</v>
      </c>
      <c r="X476" s="233">
        <v>41129</v>
      </c>
      <c r="Y476" s="255"/>
      <c r="AB476" s="1" t="s">
        <v>2195</v>
      </c>
    </row>
    <row r="477" spans="1:28" ht="11.25" customHeight="1">
      <c r="A477" s="233">
        <v>41121</v>
      </c>
      <c r="B477" s="1" t="s">
        <v>841</v>
      </c>
      <c r="C477" s="1" t="s">
        <v>2071</v>
      </c>
      <c r="D477" s="1" t="s">
        <v>232</v>
      </c>
      <c r="E477" s="1" t="s">
        <v>2076</v>
      </c>
      <c r="F477" s="5">
        <v>600</v>
      </c>
      <c r="G477" s="1" t="s">
        <v>231</v>
      </c>
      <c r="H477" s="234">
        <v>5.28</v>
      </c>
      <c r="I477" s="236">
        <f t="shared" si="30"/>
        <v>3168</v>
      </c>
      <c r="J477" s="351">
        <v>5.05</v>
      </c>
      <c r="K477" s="241">
        <f>5.05*F477</f>
        <v>3030</v>
      </c>
      <c r="L477" s="237">
        <v>41121</v>
      </c>
      <c r="M477" s="1" t="s">
        <v>2073</v>
      </c>
      <c r="N477" s="235">
        <f t="shared" si="28"/>
        <v>3168</v>
      </c>
      <c r="O477" s="235">
        <f t="shared" si="29"/>
        <v>0</v>
      </c>
      <c r="P477" s="238" t="s">
        <v>2769</v>
      </c>
      <c r="Q477" s="1" t="s">
        <v>2770</v>
      </c>
      <c r="R477" s="239" t="s">
        <v>2771</v>
      </c>
      <c r="S477" s="238" t="s">
        <v>2772</v>
      </c>
      <c r="T477" s="238" t="s">
        <v>2773</v>
      </c>
      <c r="U477" s="238" t="s">
        <v>2774</v>
      </c>
      <c r="V477" s="238" t="s">
        <v>2775</v>
      </c>
      <c r="W477" s="236">
        <v>11660</v>
      </c>
      <c r="X477" s="233">
        <v>41129</v>
      </c>
      <c r="Y477" s="255"/>
      <c r="AB477" s="1" t="s">
        <v>2195</v>
      </c>
    </row>
    <row r="478" spans="1:28" ht="11.25" customHeight="1">
      <c r="A478" s="233">
        <v>41121</v>
      </c>
      <c r="B478" s="1" t="s">
        <v>841</v>
      </c>
      <c r="C478" s="1" t="s">
        <v>2071</v>
      </c>
      <c r="D478" s="1" t="s">
        <v>273</v>
      </c>
      <c r="E478" s="1" t="s">
        <v>2300</v>
      </c>
      <c r="F478" s="5">
        <v>400</v>
      </c>
      <c r="G478" s="1" t="s">
        <v>2099</v>
      </c>
      <c r="H478" s="234">
        <v>32.03</v>
      </c>
      <c r="I478" s="236">
        <f t="shared" ref="I478:I508" si="31">H478*F478</f>
        <v>12812</v>
      </c>
      <c r="J478" s="351" t="s">
        <v>6045</v>
      </c>
      <c r="K478" s="241">
        <f>29.5*200+30*200</f>
        <v>11900</v>
      </c>
      <c r="L478" s="237">
        <v>41121</v>
      </c>
      <c r="M478" s="1" t="s">
        <v>2073</v>
      </c>
      <c r="N478" s="235">
        <f t="shared" si="28"/>
        <v>12812</v>
      </c>
      <c r="O478" s="235">
        <f t="shared" si="29"/>
        <v>0</v>
      </c>
      <c r="P478" s="238" t="s">
        <v>2769</v>
      </c>
      <c r="Q478" s="1" t="s">
        <v>2770</v>
      </c>
      <c r="R478" s="239" t="s">
        <v>2771</v>
      </c>
      <c r="S478" s="238" t="s">
        <v>2772</v>
      </c>
      <c r="T478" s="238" t="s">
        <v>2773</v>
      </c>
      <c r="U478" s="238" t="s">
        <v>2774</v>
      </c>
      <c r="V478" s="238" t="s">
        <v>2776</v>
      </c>
      <c r="W478" s="236" t="s">
        <v>2777</v>
      </c>
      <c r="X478" s="233">
        <v>41129</v>
      </c>
      <c r="Y478" s="255"/>
      <c r="AB478" s="1" t="s">
        <v>2195</v>
      </c>
    </row>
    <row r="479" spans="1:28" ht="11.25" customHeight="1">
      <c r="A479" s="233">
        <v>41121</v>
      </c>
      <c r="B479" s="1" t="s">
        <v>841</v>
      </c>
      <c r="C479" s="1" t="s">
        <v>2071</v>
      </c>
      <c r="D479" s="1" t="s">
        <v>844</v>
      </c>
      <c r="E479" s="1" t="s">
        <v>2778</v>
      </c>
      <c r="F479" s="5">
        <v>150</v>
      </c>
      <c r="G479" s="1" t="s">
        <v>2099</v>
      </c>
      <c r="H479" s="234">
        <v>33.03</v>
      </c>
      <c r="I479" s="236">
        <f t="shared" si="31"/>
        <v>4954.5</v>
      </c>
      <c r="J479" s="351"/>
      <c r="K479" s="241">
        <f>29.5*F479</f>
        <v>4425</v>
      </c>
      <c r="L479" s="237">
        <v>41121</v>
      </c>
      <c r="M479" s="1" t="s">
        <v>2073</v>
      </c>
      <c r="N479" s="235">
        <f t="shared" si="28"/>
        <v>4954.5</v>
      </c>
      <c r="O479" s="235">
        <f t="shared" si="29"/>
        <v>0</v>
      </c>
      <c r="P479" s="238" t="s">
        <v>2769</v>
      </c>
      <c r="Q479" s="1" t="s">
        <v>2770</v>
      </c>
      <c r="R479" s="239" t="s">
        <v>2771</v>
      </c>
      <c r="S479" s="238" t="s">
        <v>2772</v>
      </c>
      <c r="T479" s="238" t="s">
        <v>2773</v>
      </c>
      <c r="U479" s="238" t="s">
        <v>2774</v>
      </c>
      <c r="V479" s="238" t="s">
        <v>2779</v>
      </c>
      <c r="W479" s="236">
        <v>11568.55</v>
      </c>
      <c r="X479" s="233">
        <v>41129</v>
      </c>
      <c r="Y479" s="255"/>
      <c r="AB479" s="1" t="s">
        <v>2195</v>
      </c>
    </row>
    <row r="480" spans="1:28" ht="11.25" customHeight="1">
      <c r="A480" s="233">
        <v>41121</v>
      </c>
      <c r="B480" s="1" t="s">
        <v>841</v>
      </c>
      <c r="C480" s="1" t="s">
        <v>2071</v>
      </c>
      <c r="D480" s="5" t="s">
        <v>2211</v>
      </c>
      <c r="E480" s="1">
        <v>7502</v>
      </c>
      <c r="F480" s="5">
        <v>200</v>
      </c>
      <c r="G480" s="1" t="s">
        <v>2099</v>
      </c>
      <c r="H480" s="234">
        <v>126.52</v>
      </c>
      <c r="I480" s="236">
        <f t="shared" si="31"/>
        <v>25304</v>
      </c>
      <c r="J480" s="351">
        <v>105</v>
      </c>
      <c r="K480" s="241">
        <f>105*F480</f>
        <v>21000</v>
      </c>
      <c r="L480" s="237">
        <v>41121</v>
      </c>
      <c r="M480" s="1" t="s">
        <v>2073</v>
      </c>
      <c r="N480" s="235">
        <f t="shared" si="28"/>
        <v>25304</v>
      </c>
      <c r="O480" s="235">
        <f t="shared" si="29"/>
        <v>0</v>
      </c>
      <c r="P480" s="238" t="s">
        <v>2769</v>
      </c>
      <c r="Q480" s="1" t="s">
        <v>2770</v>
      </c>
      <c r="R480" s="239" t="s">
        <v>2771</v>
      </c>
      <c r="S480" s="238" t="s">
        <v>2772</v>
      </c>
      <c r="T480" s="238" t="s">
        <v>2773</v>
      </c>
      <c r="U480" s="238" t="s">
        <v>2774</v>
      </c>
      <c r="V480" s="238" t="s">
        <v>2780</v>
      </c>
      <c r="W480" s="236" t="s">
        <v>2781</v>
      </c>
      <c r="X480" s="233">
        <v>41129</v>
      </c>
      <c r="Y480" s="255"/>
      <c r="AB480" s="1" t="s">
        <v>2195</v>
      </c>
    </row>
    <row r="481" spans="1:28" ht="11.25" customHeight="1">
      <c r="A481" s="233">
        <v>41121</v>
      </c>
      <c r="B481" s="1" t="s">
        <v>841</v>
      </c>
      <c r="C481" s="1" t="s">
        <v>2071</v>
      </c>
      <c r="D481" s="1" t="s">
        <v>240</v>
      </c>
      <c r="E481" s="1">
        <v>6200</v>
      </c>
      <c r="F481" s="5">
        <v>72</v>
      </c>
      <c r="G481" s="1" t="s">
        <v>229</v>
      </c>
      <c r="H481" s="234">
        <v>46</v>
      </c>
      <c r="I481" s="236">
        <f t="shared" si="31"/>
        <v>3312</v>
      </c>
      <c r="J481" s="351">
        <v>45</v>
      </c>
      <c r="K481" s="241" t="e">
        <f>#REF!*F481</f>
        <v>#REF!</v>
      </c>
      <c r="L481" s="237">
        <v>41121</v>
      </c>
      <c r="M481" s="1" t="s">
        <v>2073</v>
      </c>
      <c r="N481" s="235">
        <f t="shared" si="28"/>
        <v>3312</v>
      </c>
      <c r="O481" s="235">
        <f t="shared" si="29"/>
        <v>0</v>
      </c>
      <c r="P481" s="238" t="s">
        <v>2769</v>
      </c>
      <c r="Q481" s="1" t="s">
        <v>2770</v>
      </c>
      <c r="R481" s="239" t="s">
        <v>2771</v>
      </c>
      <c r="S481" s="238" t="s">
        <v>2772</v>
      </c>
      <c r="T481" s="238" t="s">
        <v>2773</v>
      </c>
      <c r="U481" s="238" t="s">
        <v>2774</v>
      </c>
      <c r="V481" s="238" t="s">
        <v>2779</v>
      </c>
      <c r="W481" s="236">
        <v>11568.55</v>
      </c>
      <c r="X481" s="233">
        <v>41129</v>
      </c>
      <c r="Y481" s="255"/>
      <c r="AB481" s="1" t="s">
        <v>2195</v>
      </c>
    </row>
    <row r="482" spans="1:28" ht="11.25" customHeight="1">
      <c r="A482" s="233">
        <v>41121</v>
      </c>
      <c r="B482" s="1" t="s">
        <v>841</v>
      </c>
      <c r="C482" s="1" t="s">
        <v>2071</v>
      </c>
      <c r="D482" s="1" t="s">
        <v>240</v>
      </c>
      <c r="E482" s="1">
        <v>6200</v>
      </c>
      <c r="F482" s="5">
        <v>3</v>
      </c>
      <c r="G482" s="1" t="s">
        <v>2099</v>
      </c>
      <c r="H482" s="234">
        <v>46</v>
      </c>
      <c r="I482" s="236">
        <f>H482*F482</f>
        <v>138</v>
      </c>
      <c r="J482" s="351">
        <v>45</v>
      </c>
      <c r="K482" s="241" t="e">
        <f>#REF!*F482</f>
        <v>#REF!</v>
      </c>
      <c r="L482" s="237">
        <v>41121</v>
      </c>
      <c r="M482" s="1" t="s">
        <v>2073</v>
      </c>
      <c r="N482" s="235">
        <f t="shared" si="28"/>
        <v>138</v>
      </c>
      <c r="O482" s="235">
        <f t="shared" si="29"/>
        <v>0</v>
      </c>
      <c r="P482" s="238" t="s">
        <v>2769</v>
      </c>
      <c r="Q482" s="1" t="s">
        <v>2770</v>
      </c>
      <c r="R482" s="239" t="s">
        <v>2771</v>
      </c>
      <c r="S482" s="238" t="s">
        <v>2772</v>
      </c>
      <c r="T482" s="238" t="s">
        <v>2773</v>
      </c>
      <c r="U482" s="238" t="s">
        <v>2774</v>
      </c>
      <c r="V482" s="238" t="s">
        <v>2779</v>
      </c>
      <c r="W482" s="236">
        <v>11568.55</v>
      </c>
      <c r="X482" s="233">
        <v>41129</v>
      </c>
      <c r="Y482" s="255"/>
      <c r="AB482" s="1" t="s">
        <v>2195</v>
      </c>
    </row>
    <row r="483" spans="1:28" ht="11.25" customHeight="1">
      <c r="A483" s="233">
        <v>41121</v>
      </c>
      <c r="B483" s="1" t="s">
        <v>841</v>
      </c>
      <c r="C483" s="1" t="s">
        <v>2071</v>
      </c>
      <c r="D483" s="1" t="s">
        <v>263</v>
      </c>
      <c r="E483" s="1">
        <v>501</v>
      </c>
      <c r="F483" s="5">
        <v>550</v>
      </c>
      <c r="G483" s="1" t="s">
        <v>229</v>
      </c>
      <c r="H483" s="234">
        <v>1.44</v>
      </c>
      <c r="I483" s="236">
        <f t="shared" si="31"/>
        <v>792</v>
      </c>
      <c r="J483" s="351">
        <v>1.39</v>
      </c>
      <c r="K483" s="241">
        <f>1.39*F483</f>
        <v>764.5</v>
      </c>
      <c r="L483" s="237">
        <v>41121</v>
      </c>
      <c r="M483" s="1" t="s">
        <v>2077</v>
      </c>
      <c r="N483" s="235">
        <f t="shared" si="28"/>
        <v>792</v>
      </c>
      <c r="O483" s="235">
        <f t="shared" si="29"/>
        <v>0</v>
      </c>
      <c r="P483" s="238" t="s">
        <v>2782</v>
      </c>
      <c r="Q483" s="1" t="s">
        <v>2783</v>
      </c>
      <c r="R483" s="239" t="s">
        <v>2784</v>
      </c>
      <c r="S483" s="238" t="s">
        <v>2785</v>
      </c>
      <c r="T483" s="238" t="s">
        <v>2786</v>
      </c>
      <c r="U483" s="238" t="s">
        <v>2787</v>
      </c>
      <c r="V483" s="238" t="s">
        <v>2788</v>
      </c>
      <c r="W483" s="236">
        <v>11660</v>
      </c>
      <c r="X483" s="233">
        <v>41129</v>
      </c>
      <c r="Y483" s="255"/>
      <c r="AB483" s="1" t="s">
        <v>2527</v>
      </c>
    </row>
    <row r="484" spans="1:28" ht="11.25" customHeight="1">
      <c r="A484" s="233">
        <v>41121</v>
      </c>
      <c r="B484" s="1" t="s">
        <v>2565</v>
      </c>
      <c r="C484" s="1" t="s">
        <v>2080</v>
      </c>
      <c r="D484" s="5" t="s">
        <v>2012</v>
      </c>
      <c r="E484" s="1" t="s">
        <v>2489</v>
      </c>
      <c r="F484" s="5">
        <v>500</v>
      </c>
      <c r="G484" s="1" t="s">
        <v>4970</v>
      </c>
      <c r="H484" s="234">
        <v>1.59</v>
      </c>
      <c r="I484" s="236">
        <f t="shared" si="31"/>
        <v>795</v>
      </c>
      <c r="J484" s="351">
        <v>1.46</v>
      </c>
      <c r="K484" s="241">
        <f>1.46*F484</f>
        <v>730</v>
      </c>
      <c r="L484" s="237">
        <v>41169</v>
      </c>
      <c r="M484" s="1" t="s">
        <v>2327</v>
      </c>
      <c r="N484" s="235">
        <f t="shared" si="28"/>
        <v>795</v>
      </c>
      <c r="O484" s="235">
        <f t="shared" si="29"/>
        <v>0</v>
      </c>
      <c r="P484" s="238" t="s">
        <v>2789</v>
      </c>
      <c r="Q484" s="1" t="s">
        <v>2212</v>
      </c>
      <c r="R484" s="239" t="s">
        <v>2567</v>
      </c>
      <c r="S484" s="238" t="s">
        <v>2568</v>
      </c>
      <c r="T484" s="238" t="s">
        <v>773</v>
      </c>
      <c r="U484" s="238" t="s">
        <v>2659</v>
      </c>
      <c r="V484" s="238" t="s">
        <v>2488</v>
      </c>
      <c r="Y484" s="255"/>
      <c r="AA484" s="240" t="s">
        <v>2570</v>
      </c>
      <c r="AB484" s="1" t="s">
        <v>2527</v>
      </c>
    </row>
    <row r="485" spans="1:28" ht="11.25" customHeight="1">
      <c r="A485" s="233">
        <v>41121</v>
      </c>
      <c r="B485" s="1" t="s">
        <v>2565</v>
      </c>
      <c r="C485" s="1" t="s">
        <v>2080</v>
      </c>
      <c r="D485" s="1" t="s">
        <v>825</v>
      </c>
      <c r="E485" s="1" t="s">
        <v>2790</v>
      </c>
      <c r="F485" s="5">
        <v>160</v>
      </c>
      <c r="G485" s="1" t="s">
        <v>2490</v>
      </c>
      <c r="H485" s="234">
        <v>5.6</v>
      </c>
      <c r="I485" s="236">
        <f t="shared" si="31"/>
        <v>896</v>
      </c>
      <c r="J485" s="351"/>
      <c r="K485" s="241">
        <f>5.2*F485</f>
        <v>832</v>
      </c>
      <c r="L485" s="237">
        <v>41169</v>
      </c>
      <c r="M485" s="1" t="s">
        <v>2327</v>
      </c>
      <c r="N485" s="235">
        <f t="shared" si="28"/>
        <v>896</v>
      </c>
      <c r="O485" s="235">
        <f t="shared" si="29"/>
        <v>0</v>
      </c>
      <c r="P485" s="238" t="s">
        <v>2789</v>
      </c>
      <c r="Q485" s="1" t="s">
        <v>2212</v>
      </c>
      <c r="R485" s="239" t="s">
        <v>2567</v>
      </c>
      <c r="S485" s="238" t="s">
        <v>2568</v>
      </c>
      <c r="T485" s="238" t="s">
        <v>773</v>
      </c>
      <c r="U485" s="238" t="s">
        <v>2659</v>
      </c>
      <c r="V485" s="238" t="s">
        <v>2488</v>
      </c>
      <c r="Y485" s="255"/>
      <c r="AA485" s="240" t="s">
        <v>2570</v>
      </c>
      <c r="AB485" s="1" t="s">
        <v>2527</v>
      </c>
    </row>
    <row r="486" spans="1:28" ht="11.25" customHeight="1">
      <c r="A486" s="233">
        <v>41121</v>
      </c>
      <c r="B486" s="1" t="s">
        <v>2791</v>
      </c>
      <c r="C486" s="1" t="s">
        <v>2080</v>
      </c>
      <c r="D486" s="1" t="s">
        <v>2010</v>
      </c>
      <c r="E486" s="1">
        <v>10434</v>
      </c>
      <c r="F486" s="5">
        <v>2</v>
      </c>
      <c r="G486" s="1" t="s">
        <v>2398</v>
      </c>
      <c r="H486" s="234">
        <v>24</v>
      </c>
      <c r="I486" s="236">
        <f t="shared" si="31"/>
        <v>48</v>
      </c>
      <c r="J486" s="351"/>
      <c r="K486" s="254">
        <f>14.88*F486</f>
        <v>29.76</v>
      </c>
      <c r="L486" s="237">
        <v>41121</v>
      </c>
      <c r="M486" s="1" t="s">
        <v>2792</v>
      </c>
      <c r="N486" s="235">
        <f t="shared" si="28"/>
        <v>48</v>
      </c>
      <c r="O486" s="235">
        <f t="shared" si="29"/>
        <v>0</v>
      </c>
      <c r="P486" s="238" t="s">
        <v>2793</v>
      </c>
      <c r="Q486" s="1" t="s">
        <v>2562</v>
      </c>
      <c r="R486" s="239" t="s">
        <v>2794</v>
      </c>
      <c r="S486" s="238" t="s">
        <v>2795</v>
      </c>
      <c r="T486" s="238" t="s">
        <v>2796</v>
      </c>
      <c r="U486" s="238" t="s">
        <v>2797</v>
      </c>
      <c r="V486" s="238" t="s">
        <v>2488</v>
      </c>
      <c r="Z486" s="255" t="s">
        <v>2549</v>
      </c>
      <c r="AB486" s="1" t="s">
        <v>382</v>
      </c>
    </row>
    <row r="487" spans="1:28" ht="11.25" customHeight="1">
      <c r="A487" s="233">
        <v>41121</v>
      </c>
      <c r="B487" s="1" t="s">
        <v>2791</v>
      </c>
      <c r="C487" s="1" t="s">
        <v>2080</v>
      </c>
      <c r="D487" s="1" t="s">
        <v>266</v>
      </c>
      <c r="E487" s="1">
        <v>12308</v>
      </c>
      <c r="F487" s="5">
        <v>2</v>
      </c>
      <c r="G487" s="1" t="s">
        <v>2398</v>
      </c>
      <c r="H487" s="234">
        <v>29</v>
      </c>
      <c r="I487" s="236">
        <f t="shared" si="31"/>
        <v>58</v>
      </c>
      <c r="J487" s="351"/>
      <c r="K487" s="261">
        <f>19.43*F487</f>
        <v>38.86</v>
      </c>
      <c r="L487" s="237">
        <v>41121</v>
      </c>
      <c r="M487" s="1" t="s">
        <v>2792</v>
      </c>
      <c r="N487" s="235">
        <f t="shared" si="28"/>
        <v>58</v>
      </c>
      <c r="O487" s="235">
        <f t="shared" si="29"/>
        <v>0</v>
      </c>
      <c r="P487" s="238" t="s">
        <v>2793</v>
      </c>
      <c r="Q487" s="1" t="s">
        <v>2562</v>
      </c>
      <c r="R487" s="239" t="s">
        <v>2794</v>
      </c>
      <c r="S487" s="238" t="s">
        <v>2795</v>
      </c>
      <c r="T487" s="238" t="s">
        <v>2796</v>
      </c>
      <c r="U487" s="238" t="s">
        <v>2797</v>
      </c>
      <c r="V487" s="238" t="s">
        <v>2488</v>
      </c>
      <c r="Z487" s="255" t="s">
        <v>2549</v>
      </c>
      <c r="AB487" s="1" t="s">
        <v>382</v>
      </c>
    </row>
    <row r="488" spans="1:28" ht="11.25" customHeight="1">
      <c r="A488" s="233">
        <v>41121</v>
      </c>
      <c r="B488" s="1" t="s">
        <v>2791</v>
      </c>
      <c r="C488" s="1" t="s">
        <v>2080</v>
      </c>
      <c r="D488" s="1" t="s">
        <v>6623</v>
      </c>
      <c r="E488" s="1" t="s">
        <v>2798</v>
      </c>
      <c r="F488" s="5">
        <v>2</v>
      </c>
      <c r="G488" s="1" t="s">
        <v>2398</v>
      </c>
      <c r="H488" s="234">
        <v>23</v>
      </c>
      <c r="I488" s="236">
        <f t="shared" si="31"/>
        <v>46</v>
      </c>
      <c r="J488" s="351"/>
      <c r="K488" s="261">
        <f>15.41*F488</f>
        <v>30.82</v>
      </c>
      <c r="L488" s="237">
        <v>41121</v>
      </c>
      <c r="M488" s="1" t="s">
        <v>2792</v>
      </c>
      <c r="N488" s="235">
        <f t="shared" si="28"/>
        <v>46</v>
      </c>
      <c r="O488" s="235">
        <f t="shared" si="29"/>
        <v>0</v>
      </c>
      <c r="P488" s="238" t="s">
        <v>2793</v>
      </c>
      <c r="Q488" s="1" t="s">
        <v>2562</v>
      </c>
      <c r="R488" s="239" t="s">
        <v>2794</v>
      </c>
      <c r="S488" s="238" t="s">
        <v>2795</v>
      </c>
      <c r="T488" s="238" t="s">
        <v>2796</v>
      </c>
      <c r="U488" s="238" t="s">
        <v>2797</v>
      </c>
      <c r="V488" s="238" t="s">
        <v>2488</v>
      </c>
      <c r="Z488" s="255" t="s">
        <v>2549</v>
      </c>
      <c r="AB488" s="1" t="s">
        <v>382</v>
      </c>
    </row>
    <row r="489" spans="1:28" ht="11.25" customHeight="1">
      <c r="A489" s="233">
        <v>41121</v>
      </c>
      <c r="B489" s="1" t="s">
        <v>2723</v>
      </c>
      <c r="C489" s="1" t="s">
        <v>2080</v>
      </c>
      <c r="D489" s="5" t="s">
        <v>2012</v>
      </c>
      <c r="E489" s="1" t="s">
        <v>2489</v>
      </c>
      <c r="F489" s="5">
        <v>1000</v>
      </c>
      <c r="G489" s="1" t="s">
        <v>4970</v>
      </c>
      <c r="H489" s="234">
        <v>1.9</v>
      </c>
      <c r="I489" s="236">
        <f t="shared" si="31"/>
        <v>1900</v>
      </c>
      <c r="J489" s="351">
        <v>1.46</v>
      </c>
      <c r="K489" s="241">
        <f>1.46*F489</f>
        <v>1460</v>
      </c>
      <c r="L489" s="237">
        <v>41155</v>
      </c>
      <c r="M489" s="1" t="s">
        <v>2077</v>
      </c>
      <c r="N489" s="235">
        <f t="shared" si="28"/>
        <v>1900</v>
      </c>
      <c r="O489" s="235">
        <f t="shared" si="29"/>
        <v>0</v>
      </c>
      <c r="P489" s="238" t="s">
        <v>2799</v>
      </c>
      <c r="Q489" s="1" t="s">
        <v>2505</v>
      </c>
      <c r="R489" s="239" t="s">
        <v>2725</v>
      </c>
      <c r="S489" s="1">
        <v>13795677210</v>
      </c>
      <c r="T489" s="1" t="s">
        <v>835</v>
      </c>
      <c r="V489" s="238" t="s">
        <v>2800</v>
      </c>
      <c r="W489" s="236">
        <v>1900</v>
      </c>
      <c r="X489" s="233">
        <v>41128</v>
      </c>
      <c r="Y489" s="255"/>
      <c r="AB489" s="1" t="s">
        <v>382</v>
      </c>
    </row>
    <row r="490" spans="1:28" ht="11.25" customHeight="1">
      <c r="A490" s="233">
        <v>41123</v>
      </c>
      <c r="B490" s="1" t="s">
        <v>2801</v>
      </c>
      <c r="C490" s="1" t="s">
        <v>2080</v>
      </c>
      <c r="D490" s="1" t="s">
        <v>1711</v>
      </c>
      <c r="E490" s="1">
        <v>8210</v>
      </c>
      <c r="F490" s="5">
        <v>100</v>
      </c>
      <c r="G490" s="1" t="s">
        <v>2086</v>
      </c>
      <c r="H490" s="234">
        <v>6</v>
      </c>
      <c r="I490" s="236">
        <f t="shared" si="31"/>
        <v>600</v>
      </c>
      <c r="J490" s="351"/>
      <c r="K490" s="241">
        <f>3.78*F490</f>
        <v>378</v>
      </c>
      <c r="L490" s="237">
        <v>41123</v>
      </c>
      <c r="M490" s="1" t="s">
        <v>2390</v>
      </c>
      <c r="N490" s="235">
        <f t="shared" si="28"/>
        <v>600</v>
      </c>
      <c r="O490" s="235">
        <f t="shared" si="29"/>
        <v>0</v>
      </c>
      <c r="P490" s="238" t="s">
        <v>2802</v>
      </c>
      <c r="Q490" s="1" t="s">
        <v>2212</v>
      </c>
      <c r="R490" s="239" t="s">
        <v>2803</v>
      </c>
      <c r="S490" s="238" t="s">
        <v>2804</v>
      </c>
      <c r="T490" s="238" t="s">
        <v>2805</v>
      </c>
      <c r="V490" s="238" t="s">
        <v>2806</v>
      </c>
      <c r="W490" s="236">
        <v>850</v>
      </c>
      <c r="X490" s="233">
        <v>41123</v>
      </c>
      <c r="Y490" s="255"/>
      <c r="AB490" s="1" t="s">
        <v>382</v>
      </c>
    </row>
    <row r="491" spans="1:28" ht="11.25" customHeight="1">
      <c r="A491" s="233">
        <v>41123</v>
      </c>
      <c r="B491" s="1" t="s">
        <v>2801</v>
      </c>
      <c r="C491" s="1" t="s">
        <v>2080</v>
      </c>
      <c r="D491" s="1" t="s">
        <v>681</v>
      </c>
      <c r="E491" s="1" t="s">
        <v>2807</v>
      </c>
      <c r="F491" s="5">
        <v>50</v>
      </c>
      <c r="G491" s="1" t="s">
        <v>2398</v>
      </c>
      <c r="H491" s="234">
        <v>5</v>
      </c>
      <c r="I491" s="236">
        <f t="shared" si="31"/>
        <v>250</v>
      </c>
      <c r="J491" s="351"/>
      <c r="K491" s="261">
        <f>3.31*F491</f>
        <v>165.5</v>
      </c>
      <c r="L491" s="237">
        <v>41123</v>
      </c>
      <c r="M491" s="1" t="s">
        <v>2390</v>
      </c>
      <c r="N491" s="235">
        <f t="shared" si="28"/>
        <v>250</v>
      </c>
      <c r="O491" s="235">
        <f t="shared" si="29"/>
        <v>0</v>
      </c>
      <c r="P491" s="238" t="s">
        <v>2802</v>
      </c>
      <c r="Q491" s="1" t="s">
        <v>2212</v>
      </c>
      <c r="R491" s="239" t="s">
        <v>2803</v>
      </c>
      <c r="S491" s="238" t="s">
        <v>2804</v>
      </c>
      <c r="T491" s="238" t="s">
        <v>2805</v>
      </c>
      <c r="V491" s="238" t="s">
        <v>2806</v>
      </c>
      <c r="W491" s="236">
        <v>850</v>
      </c>
      <c r="X491" s="233">
        <v>41123</v>
      </c>
      <c r="Y491" s="255"/>
      <c r="Z491" s="255" t="s">
        <v>2549</v>
      </c>
      <c r="AB491" s="1" t="s">
        <v>382</v>
      </c>
    </row>
    <row r="492" spans="1:28" ht="11.25" customHeight="1">
      <c r="A492" s="233">
        <v>41123</v>
      </c>
      <c r="B492" s="1" t="s">
        <v>2555</v>
      </c>
      <c r="C492" s="1" t="s">
        <v>2080</v>
      </c>
      <c r="D492" s="1" t="s">
        <v>1210</v>
      </c>
      <c r="E492" s="1">
        <v>3200</v>
      </c>
      <c r="F492" s="5">
        <v>25</v>
      </c>
      <c r="G492" s="1" t="s">
        <v>2086</v>
      </c>
      <c r="H492" s="234">
        <v>27</v>
      </c>
      <c r="I492" s="236">
        <f t="shared" si="31"/>
        <v>675</v>
      </c>
      <c r="J492" s="351">
        <v>26</v>
      </c>
      <c r="K492" s="241">
        <f>26*F492</f>
        <v>650</v>
      </c>
      <c r="L492" s="237">
        <v>41136</v>
      </c>
      <c r="M492" s="1" t="s">
        <v>2077</v>
      </c>
      <c r="N492" s="235">
        <f t="shared" si="28"/>
        <v>675</v>
      </c>
      <c r="O492" s="235">
        <f t="shared" si="29"/>
        <v>0</v>
      </c>
      <c r="P492" s="238" t="s">
        <v>2082</v>
      </c>
      <c r="Q492" s="1" t="s">
        <v>1256</v>
      </c>
      <c r="R492" s="239" t="s">
        <v>2600</v>
      </c>
      <c r="S492" s="238" t="s">
        <v>2601</v>
      </c>
      <c r="T492" s="238" t="s">
        <v>2602</v>
      </c>
      <c r="U492" s="238" t="s">
        <v>2808</v>
      </c>
      <c r="V492" s="238" t="s">
        <v>2809</v>
      </c>
      <c r="W492" s="236">
        <v>4132.3</v>
      </c>
      <c r="X492" s="233">
        <v>41148</v>
      </c>
      <c r="Y492" s="255"/>
      <c r="AB492" s="1" t="s">
        <v>2527</v>
      </c>
    </row>
    <row r="493" spans="1:28" ht="11.25" customHeight="1">
      <c r="A493" s="233">
        <v>41123</v>
      </c>
      <c r="B493" s="1" t="s">
        <v>2555</v>
      </c>
      <c r="C493" s="1" t="s">
        <v>2080</v>
      </c>
      <c r="D493" s="1" t="s">
        <v>346</v>
      </c>
      <c r="E493" s="1">
        <v>3700</v>
      </c>
      <c r="F493" s="5">
        <v>25</v>
      </c>
      <c r="G493" s="1" t="s">
        <v>2086</v>
      </c>
      <c r="H493" s="234">
        <v>3.42</v>
      </c>
      <c r="I493" s="236">
        <f t="shared" si="31"/>
        <v>85.5</v>
      </c>
      <c r="J493" s="351">
        <v>3.3</v>
      </c>
      <c r="K493" s="241">
        <f>3.3*F493</f>
        <v>82.5</v>
      </c>
      <c r="L493" s="237">
        <v>41136</v>
      </c>
      <c r="M493" s="1" t="s">
        <v>2077</v>
      </c>
      <c r="N493" s="235">
        <f t="shared" si="28"/>
        <v>85.5</v>
      </c>
      <c r="O493" s="235">
        <f t="shared" si="29"/>
        <v>0</v>
      </c>
      <c r="P493" s="238" t="s">
        <v>2082</v>
      </c>
      <c r="Q493" s="1" t="s">
        <v>2670</v>
      </c>
      <c r="R493" s="239" t="s">
        <v>2600</v>
      </c>
      <c r="S493" s="238" t="s">
        <v>2601</v>
      </c>
      <c r="T493" s="238" t="s">
        <v>2602</v>
      </c>
      <c r="U493" s="238" t="s">
        <v>2808</v>
      </c>
      <c r="V493" s="238" t="s">
        <v>2809</v>
      </c>
      <c r="W493" s="236">
        <v>4132.3</v>
      </c>
      <c r="X493" s="233">
        <v>41148</v>
      </c>
      <c r="Y493" s="255"/>
      <c r="AB493" s="1" t="s">
        <v>2527</v>
      </c>
    </row>
    <row r="494" spans="1:28" ht="11.25" customHeight="1">
      <c r="A494" s="233">
        <v>41123</v>
      </c>
      <c r="B494" s="1" t="s">
        <v>2555</v>
      </c>
      <c r="C494" s="1" t="s">
        <v>2080</v>
      </c>
      <c r="D494" s="1" t="s">
        <v>307</v>
      </c>
      <c r="E494" s="1">
        <v>1110</v>
      </c>
      <c r="F494" s="5">
        <v>100</v>
      </c>
      <c r="G494" s="1" t="s">
        <v>2398</v>
      </c>
      <c r="H494" s="234">
        <v>0.8</v>
      </c>
      <c r="I494" s="236">
        <f t="shared" si="31"/>
        <v>80</v>
      </c>
      <c r="J494" s="351"/>
      <c r="K494" s="241">
        <f>0.77*F494</f>
        <v>77</v>
      </c>
      <c r="L494" s="237">
        <v>41136</v>
      </c>
      <c r="M494" s="1" t="s">
        <v>2077</v>
      </c>
      <c r="N494" s="235">
        <f t="shared" si="28"/>
        <v>80</v>
      </c>
      <c r="O494" s="235">
        <f t="shared" si="29"/>
        <v>0</v>
      </c>
      <c r="P494" s="238" t="s">
        <v>2082</v>
      </c>
      <c r="Q494" s="1" t="s">
        <v>2670</v>
      </c>
      <c r="R494" s="239" t="s">
        <v>2600</v>
      </c>
      <c r="S494" s="238" t="s">
        <v>2601</v>
      </c>
      <c r="T494" s="238" t="s">
        <v>2602</v>
      </c>
      <c r="U494" s="238" t="s">
        <v>2808</v>
      </c>
      <c r="V494" s="238" t="s">
        <v>2810</v>
      </c>
      <c r="W494" s="236">
        <v>11620</v>
      </c>
      <c r="X494" s="233">
        <v>41148</v>
      </c>
      <c r="Y494" s="255"/>
      <c r="AB494" s="1" t="s">
        <v>2527</v>
      </c>
    </row>
    <row r="495" spans="1:28" ht="11.25" customHeight="1">
      <c r="A495" s="233">
        <v>41123</v>
      </c>
      <c r="B495" s="1" t="s">
        <v>2555</v>
      </c>
      <c r="C495" s="1" t="s">
        <v>2080</v>
      </c>
      <c r="D495" s="1" t="s">
        <v>1213</v>
      </c>
      <c r="E495" s="1" t="s">
        <v>2509</v>
      </c>
      <c r="F495" s="5">
        <v>10</v>
      </c>
      <c r="G495" s="1" t="s">
        <v>2398</v>
      </c>
      <c r="H495" s="234">
        <v>13.2</v>
      </c>
      <c r="I495" s="236">
        <f t="shared" si="31"/>
        <v>132</v>
      </c>
      <c r="J495" s="351">
        <v>13</v>
      </c>
      <c r="K495" s="263">
        <f>13*F495</f>
        <v>130</v>
      </c>
      <c r="L495" s="237">
        <v>41136</v>
      </c>
      <c r="M495" s="1" t="s">
        <v>2077</v>
      </c>
      <c r="N495" s="235">
        <f t="shared" si="28"/>
        <v>132</v>
      </c>
      <c r="O495" s="235">
        <f t="shared" si="29"/>
        <v>0</v>
      </c>
      <c r="P495" s="238" t="s">
        <v>2082</v>
      </c>
      <c r="Q495" s="1" t="s">
        <v>2670</v>
      </c>
      <c r="R495" s="239" t="s">
        <v>2600</v>
      </c>
      <c r="S495" s="238" t="s">
        <v>2601</v>
      </c>
      <c r="T495" s="238" t="s">
        <v>2602</v>
      </c>
      <c r="U495" s="238" t="s">
        <v>2808</v>
      </c>
      <c r="V495" s="238" t="s">
        <v>2810</v>
      </c>
      <c r="W495" s="236">
        <v>11620</v>
      </c>
      <c r="X495" s="233">
        <v>41148</v>
      </c>
      <c r="Y495" s="255"/>
      <c r="Z495" s="255" t="s">
        <v>2549</v>
      </c>
      <c r="AB495" s="1" t="s">
        <v>2527</v>
      </c>
    </row>
    <row r="496" spans="1:28" ht="11.25" customHeight="1">
      <c r="A496" s="233">
        <v>41124</v>
      </c>
      <c r="B496" s="1" t="s">
        <v>2565</v>
      </c>
      <c r="C496" s="1" t="s">
        <v>2080</v>
      </c>
      <c r="D496" s="1" t="s">
        <v>305</v>
      </c>
      <c r="E496" s="1">
        <v>1270</v>
      </c>
      <c r="F496" s="5">
        <v>100</v>
      </c>
      <c r="G496" s="1" t="s">
        <v>2398</v>
      </c>
      <c r="H496" s="234">
        <v>4.3</v>
      </c>
      <c r="I496" s="236">
        <f t="shared" si="31"/>
        <v>430</v>
      </c>
      <c r="J496" s="351"/>
      <c r="K496" s="241">
        <f>4.14*F496</f>
        <v>413.99999999999994</v>
      </c>
      <c r="L496" s="237">
        <v>41169</v>
      </c>
      <c r="M496" s="1" t="s">
        <v>2327</v>
      </c>
      <c r="N496" s="235">
        <f t="shared" si="28"/>
        <v>430</v>
      </c>
      <c r="O496" s="235">
        <f t="shared" si="29"/>
        <v>0</v>
      </c>
      <c r="P496" s="238" t="s">
        <v>2811</v>
      </c>
      <c r="Q496" s="1" t="s">
        <v>1863</v>
      </c>
      <c r="R496" s="239" t="s">
        <v>2567</v>
      </c>
      <c r="S496" s="238" t="s">
        <v>2568</v>
      </c>
      <c r="T496" s="238" t="s">
        <v>773</v>
      </c>
      <c r="U496" s="238" t="s">
        <v>2659</v>
      </c>
      <c r="V496" s="238" t="s">
        <v>2488</v>
      </c>
      <c r="Y496" s="255"/>
      <c r="AA496" s="240" t="s">
        <v>2570</v>
      </c>
      <c r="AB496" s="1" t="s">
        <v>2527</v>
      </c>
    </row>
    <row r="497" spans="1:28" ht="11.25" customHeight="1">
      <c r="A497" s="233">
        <v>41124</v>
      </c>
      <c r="B497" s="1" t="s">
        <v>2812</v>
      </c>
      <c r="C497" s="1" t="s">
        <v>2080</v>
      </c>
      <c r="D497" s="1" t="s">
        <v>2010</v>
      </c>
      <c r="E497" s="1">
        <v>10434</v>
      </c>
      <c r="F497" s="5">
        <v>100</v>
      </c>
      <c r="G497" s="1" t="s">
        <v>2398</v>
      </c>
      <c r="H497" s="234">
        <v>16.079999999999998</v>
      </c>
      <c r="I497" s="236">
        <f t="shared" si="31"/>
        <v>1607.9999999999998</v>
      </c>
      <c r="J497" s="351"/>
      <c r="K497" s="241">
        <f>14.88*F497</f>
        <v>1488</v>
      </c>
      <c r="L497" s="237">
        <v>41124</v>
      </c>
      <c r="M497" s="1" t="s">
        <v>2077</v>
      </c>
      <c r="N497" s="235">
        <f t="shared" si="28"/>
        <v>1607.9999999999998</v>
      </c>
      <c r="O497" s="235">
        <f t="shared" si="29"/>
        <v>0</v>
      </c>
      <c r="P497" s="238" t="s">
        <v>2813</v>
      </c>
      <c r="Q497" s="1" t="s">
        <v>2670</v>
      </c>
      <c r="R497" s="239" t="s">
        <v>2814</v>
      </c>
      <c r="S497" s="238" t="s">
        <v>2601</v>
      </c>
      <c r="T497" s="238" t="s">
        <v>2815</v>
      </c>
      <c r="U497" s="238" t="s">
        <v>2816</v>
      </c>
      <c r="V497" s="238" t="s">
        <v>2817</v>
      </c>
      <c r="W497" s="236">
        <v>2983</v>
      </c>
      <c r="X497" s="233">
        <v>41205</v>
      </c>
      <c r="Y497" s="255">
        <v>718084812496</v>
      </c>
      <c r="AB497" s="1" t="s">
        <v>2527</v>
      </c>
    </row>
    <row r="498" spans="1:28" ht="11.25" customHeight="1">
      <c r="A498" s="233">
        <v>41124</v>
      </c>
      <c r="B498" s="1" t="s">
        <v>2528</v>
      </c>
      <c r="C498" s="1" t="s">
        <v>2080</v>
      </c>
      <c r="D498" s="1" t="s">
        <v>2021</v>
      </c>
      <c r="E498" s="1" t="s">
        <v>2566</v>
      </c>
      <c r="F498" s="5">
        <v>1000</v>
      </c>
      <c r="G498" s="1" t="s">
        <v>5735</v>
      </c>
      <c r="H498" s="234">
        <v>1.75</v>
      </c>
      <c r="I498" s="236">
        <f t="shared" si="31"/>
        <v>1750</v>
      </c>
      <c r="J498" s="351"/>
      <c r="K498" s="241">
        <f>1.5*F498</f>
        <v>1500</v>
      </c>
      <c r="L498" s="237">
        <v>41124</v>
      </c>
      <c r="M498" s="1" t="s">
        <v>2327</v>
      </c>
      <c r="N498" s="235">
        <f t="shared" si="28"/>
        <v>1750</v>
      </c>
      <c r="O498" s="235">
        <f t="shared" si="29"/>
        <v>0</v>
      </c>
      <c r="P498" s="238" t="s">
        <v>2818</v>
      </c>
      <c r="Q498" s="1" t="s">
        <v>2212</v>
      </c>
      <c r="R498" s="239" t="s">
        <v>2819</v>
      </c>
      <c r="S498" s="238" t="s">
        <v>2532</v>
      </c>
      <c r="T498" s="238" t="s">
        <v>2533</v>
      </c>
      <c r="V498" s="238" t="s">
        <v>2488</v>
      </c>
      <c r="Y498" s="255"/>
      <c r="AB498" s="1" t="s">
        <v>2527</v>
      </c>
    </row>
    <row r="499" spans="1:28" ht="11.25" customHeight="1">
      <c r="A499" s="233">
        <v>41127</v>
      </c>
      <c r="B499" s="1" t="s">
        <v>2820</v>
      </c>
      <c r="C499" s="1" t="s">
        <v>2821</v>
      </c>
      <c r="D499" s="1" t="s">
        <v>1216</v>
      </c>
      <c r="E499" s="1" t="s">
        <v>2822</v>
      </c>
      <c r="F499" s="5">
        <v>32</v>
      </c>
      <c r="G499" s="1" t="s">
        <v>2823</v>
      </c>
      <c r="H499" s="234">
        <v>118</v>
      </c>
      <c r="I499" s="236">
        <f t="shared" si="31"/>
        <v>3776</v>
      </c>
      <c r="J499" s="351"/>
      <c r="K499" s="241">
        <f>108*F499</f>
        <v>3456</v>
      </c>
      <c r="L499" s="237">
        <v>41124</v>
      </c>
      <c r="M499" s="1" t="s">
        <v>2077</v>
      </c>
      <c r="N499" s="235">
        <f t="shared" si="28"/>
        <v>3776</v>
      </c>
      <c r="O499" s="235">
        <f t="shared" si="29"/>
        <v>0</v>
      </c>
      <c r="P499" s="238" t="s">
        <v>2824</v>
      </c>
      <c r="Q499" s="1" t="s">
        <v>2212</v>
      </c>
      <c r="R499" s="239" t="s">
        <v>4</v>
      </c>
      <c r="S499" s="238" t="s">
        <v>5</v>
      </c>
      <c r="T499" s="238" t="s">
        <v>3</v>
      </c>
      <c r="V499" s="238" t="s">
        <v>2825</v>
      </c>
      <c r="W499" s="236">
        <v>3776</v>
      </c>
      <c r="X499" s="233">
        <v>41128</v>
      </c>
      <c r="Y499" s="255"/>
      <c r="AB499" s="1" t="s">
        <v>2826</v>
      </c>
    </row>
    <row r="500" spans="1:28" ht="11.25" customHeight="1">
      <c r="A500" s="233">
        <v>41129</v>
      </c>
      <c r="B500" s="1" t="s">
        <v>841</v>
      </c>
      <c r="C500" s="1" t="s">
        <v>2827</v>
      </c>
      <c r="D500" s="1" t="s">
        <v>9</v>
      </c>
      <c r="E500" s="1">
        <v>2096</v>
      </c>
      <c r="F500" s="5">
        <v>150</v>
      </c>
      <c r="G500" s="1" t="s">
        <v>2828</v>
      </c>
      <c r="H500" s="234">
        <v>13.62</v>
      </c>
      <c r="I500" s="236">
        <f t="shared" si="31"/>
        <v>2042.9999999999998</v>
      </c>
      <c r="J500" s="351"/>
      <c r="K500" s="241">
        <f>12.65*F500</f>
        <v>1897.5</v>
      </c>
      <c r="L500" s="237">
        <v>41128</v>
      </c>
      <c r="M500" s="1" t="s">
        <v>2829</v>
      </c>
      <c r="N500" s="235">
        <f t="shared" si="28"/>
        <v>2042.9999999999998</v>
      </c>
      <c r="O500" s="235">
        <f t="shared" si="29"/>
        <v>0</v>
      </c>
      <c r="P500" s="238" t="s">
        <v>2830</v>
      </c>
      <c r="Q500" s="1" t="s">
        <v>2831</v>
      </c>
      <c r="R500" s="239" t="s">
        <v>2832</v>
      </c>
      <c r="S500" s="238" t="s">
        <v>2833</v>
      </c>
      <c r="T500" s="238" t="s">
        <v>2834</v>
      </c>
      <c r="U500" s="238" t="s">
        <v>2835</v>
      </c>
      <c r="V500" s="238" t="s">
        <v>2836</v>
      </c>
      <c r="W500" s="236">
        <v>11568.55</v>
      </c>
      <c r="X500" s="233">
        <v>41129</v>
      </c>
      <c r="Y500" s="255"/>
      <c r="AB500" s="1" t="s">
        <v>2826</v>
      </c>
    </row>
    <row r="501" spans="1:28" ht="11.25" customHeight="1">
      <c r="A501" s="233">
        <v>41129</v>
      </c>
      <c r="B501" s="1" t="s">
        <v>2837</v>
      </c>
      <c r="C501" s="1" t="s">
        <v>2827</v>
      </c>
      <c r="D501" s="1" t="s">
        <v>1210</v>
      </c>
      <c r="E501" s="1">
        <v>3200</v>
      </c>
      <c r="F501" s="5">
        <v>4</v>
      </c>
      <c r="G501" s="1" t="s">
        <v>2838</v>
      </c>
      <c r="H501" s="234">
        <v>43</v>
      </c>
      <c r="I501" s="236">
        <f t="shared" si="31"/>
        <v>172</v>
      </c>
      <c r="J501" s="351">
        <v>26</v>
      </c>
      <c r="K501" s="241">
        <f>26*F501</f>
        <v>104</v>
      </c>
      <c r="L501" s="237">
        <v>41127</v>
      </c>
      <c r="M501" s="1" t="s">
        <v>2839</v>
      </c>
      <c r="N501" s="235">
        <f t="shared" si="28"/>
        <v>172</v>
      </c>
      <c r="O501" s="235">
        <f t="shared" si="29"/>
        <v>0</v>
      </c>
      <c r="P501" s="238" t="s">
        <v>2840</v>
      </c>
      <c r="Q501" s="1" t="s">
        <v>1260</v>
      </c>
      <c r="R501" s="239" t="s">
        <v>532</v>
      </c>
      <c r="S501" s="238" t="s">
        <v>533</v>
      </c>
      <c r="T501" s="238" t="s">
        <v>2744</v>
      </c>
      <c r="U501" s="238" t="s">
        <v>2841</v>
      </c>
      <c r="V501" s="238" t="s">
        <v>2842</v>
      </c>
      <c r="Y501" s="255"/>
      <c r="AB501" s="1" t="s">
        <v>382</v>
      </c>
    </row>
    <row r="502" spans="1:28" ht="11.25" customHeight="1">
      <c r="A502" s="233">
        <v>41129</v>
      </c>
      <c r="B502" s="1" t="s">
        <v>2843</v>
      </c>
      <c r="C502" s="1" t="s">
        <v>2844</v>
      </c>
      <c r="D502" s="1" t="s">
        <v>263</v>
      </c>
      <c r="E502" s="1" t="s">
        <v>2118</v>
      </c>
      <c r="F502" s="5">
        <v>4</v>
      </c>
      <c r="G502" s="1" t="s">
        <v>2086</v>
      </c>
      <c r="H502" s="234">
        <v>2</v>
      </c>
      <c r="I502" s="236">
        <f t="shared" si="31"/>
        <v>8</v>
      </c>
      <c r="J502" s="351">
        <v>1.92</v>
      </c>
      <c r="K502" s="241">
        <f>1.92*F502</f>
        <v>7.68</v>
      </c>
      <c r="L502" s="237">
        <v>41127</v>
      </c>
      <c r="M502" s="1" t="s">
        <v>2327</v>
      </c>
      <c r="N502" s="235">
        <f t="shared" si="28"/>
        <v>8</v>
      </c>
      <c r="O502" s="235">
        <f t="shared" si="29"/>
        <v>0</v>
      </c>
      <c r="P502" s="238" t="s">
        <v>2845</v>
      </c>
      <c r="Q502" s="1" t="s">
        <v>2599</v>
      </c>
      <c r="R502" s="239" t="s">
        <v>532</v>
      </c>
      <c r="S502" s="238" t="s">
        <v>533</v>
      </c>
      <c r="T502" s="238" t="s">
        <v>2744</v>
      </c>
      <c r="U502" s="238" t="s">
        <v>2841</v>
      </c>
      <c r="V502" s="238" t="s">
        <v>2842</v>
      </c>
      <c r="Y502" s="255"/>
      <c r="AB502" s="1" t="s">
        <v>382</v>
      </c>
    </row>
    <row r="503" spans="1:28" ht="11.25" customHeight="1">
      <c r="A503" s="233">
        <v>41129</v>
      </c>
      <c r="B503" s="1" t="s">
        <v>2843</v>
      </c>
      <c r="C503" s="1" t="s">
        <v>2844</v>
      </c>
      <c r="D503" s="1" t="s">
        <v>353</v>
      </c>
      <c r="E503" s="1" t="s">
        <v>2846</v>
      </c>
      <c r="F503" s="5">
        <v>2</v>
      </c>
      <c r="G503" s="1" t="s">
        <v>2847</v>
      </c>
      <c r="H503" s="234">
        <v>18</v>
      </c>
      <c r="I503" s="236">
        <f t="shared" si="31"/>
        <v>36</v>
      </c>
      <c r="J503" s="352">
        <v>12.74</v>
      </c>
      <c r="K503" s="241">
        <f>12.74+13.33</f>
        <v>26.07</v>
      </c>
      <c r="L503" s="237">
        <v>41127</v>
      </c>
      <c r="M503" s="1" t="s">
        <v>2848</v>
      </c>
      <c r="N503" s="235">
        <f t="shared" si="28"/>
        <v>36</v>
      </c>
      <c r="O503" s="235">
        <f t="shared" si="29"/>
        <v>0</v>
      </c>
      <c r="P503" s="238" t="s">
        <v>2849</v>
      </c>
      <c r="Q503" s="1" t="s">
        <v>2850</v>
      </c>
      <c r="R503" s="239" t="s">
        <v>532</v>
      </c>
      <c r="S503" s="238" t="s">
        <v>533</v>
      </c>
      <c r="T503" s="238" t="s">
        <v>2744</v>
      </c>
      <c r="U503" s="238" t="s">
        <v>2841</v>
      </c>
      <c r="V503" s="238" t="s">
        <v>2842</v>
      </c>
      <c r="Y503" s="255"/>
      <c r="AB503" s="1" t="s">
        <v>382</v>
      </c>
    </row>
    <row r="504" spans="1:28" ht="11.25" customHeight="1">
      <c r="A504" s="233">
        <v>41129</v>
      </c>
      <c r="B504" s="1" t="s">
        <v>2851</v>
      </c>
      <c r="C504" s="1" t="s">
        <v>2844</v>
      </c>
      <c r="D504" s="5" t="s">
        <v>2012</v>
      </c>
      <c r="E504" s="1" t="s">
        <v>2852</v>
      </c>
      <c r="F504" s="5">
        <v>300</v>
      </c>
      <c r="G504" s="1" t="s">
        <v>4970</v>
      </c>
      <c r="H504" s="234">
        <v>2.1</v>
      </c>
      <c r="I504" s="236">
        <f t="shared" si="31"/>
        <v>630</v>
      </c>
      <c r="J504" s="351">
        <v>1.55</v>
      </c>
      <c r="K504" s="241">
        <f>1.55*F504</f>
        <v>465</v>
      </c>
      <c r="L504" s="237">
        <v>41149</v>
      </c>
      <c r="M504" s="1" t="s">
        <v>2853</v>
      </c>
      <c r="N504" s="235">
        <f t="shared" si="28"/>
        <v>630</v>
      </c>
      <c r="O504" s="235">
        <f t="shared" si="29"/>
        <v>0</v>
      </c>
      <c r="P504" s="238" t="s">
        <v>2854</v>
      </c>
      <c r="Q504" s="1" t="s">
        <v>2850</v>
      </c>
      <c r="R504" s="239" t="s">
        <v>2855</v>
      </c>
      <c r="S504" s="238" t="s">
        <v>2856</v>
      </c>
      <c r="T504" s="238" t="s">
        <v>12</v>
      </c>
      <c r="U504" s="238" t="s">
        <v>2857</v>
      </c>
      <c r="V504" s="238" t="s">
        <v>2858</v>
      </c>
      <c r="W504" s="236">
        <v>630</v>
      </c>
      <c r="X504" s="233">
        <v>41130</v>
      </c>
      <c r="Y504" s="255">
        <v>568105803536</v>
      </c>
      <c r="AB504" s="1" t="s">
        <v>382</v>
      </c>
    </row>
    <row r="505" spans="1:28" ht="11.25" customHeight="1">
      <c r="A505" s="233">
        <v>41129</v>
      </c>
      <c r="B505" s="1" t="s">
        <v>2859</v>
      </c>
      <c r="C505" s="1" t="s">
        <v>2844</v>
      </c>
      <c r="D505" s="1" t="s">
        <v>1217</v>
      </c>
      <c r="E505" s="1">
        <v>8822</v>
      </c>
      <c r="F505" s="5">
        <v>90</v>
      </c>
      <c r="G505" s="1" t="s">
        <v>231</v>
      </c>
      <c r="H505" s="234">
        <v>13.75</v>
      </c>
      <c r="I505" s="236">
        <f t="shared" si="31"/>
        <v>1237.5</v>
      </c>
      <c r="J505" s="351"/>
      <c r="K505" s="241">
        <f>13.38*F505</f>
        <v>1204.2</v>
      </c>
      <c r="L505" s="237">
        <v>41129</v>
      </c>
      <c r="M505" s="1" t="s">
        <v>2848</v>
      </c>
      <c r="N505" s="235">
        <f t="shared" si="28"/>
        <v>1237.5</v>
      </c>
      <c r="O505" s="235">
        <f t="shared" si="29"/>
        <v>0</v>
      </c>
      <c r="P505" s="238" t="s">
        <v>2860</v>
      </c>
      <c r="Q505" s="1" t="s">
        <v>2861</v>
      </c>
      <c r="R505" s="239" t="s">
        <v>2862</v>
      </c>
      <c r="S505" s="238" t="s">
        <v>2863</v>
      </c>
      <c r="T505" s="238" t="s">
        <v>2864</v>
      </c>
      <c r="U505" s="238" t="s">
        <v>2865</v>
      </c>
      <c r="V505" s="238" t="s">
        <v>2866</v>
      </c>
      <c r="W505" s="236">
        <v>2983</v>
      </c>
      <c r="X505" s="233">
        <v>41205</v>
      </c>
      <c r="Y505" s="255">
        <v>718084812496</v>
      </c>
      <c r="AB505" s="1" t="s">
        <v>2867</v>
      </c>
    </row>
    <row r="506" spans="1:28" ht="11.25" customHeight="1">
      <c r="A506" s="233">
        <v>41129</v>
      </c>
      <c r="B506" s="1" t="s">
        <v>2859</v>
      </c>
      <c r="C506" s="1" t="s">
        <v>2844</v>
      </c>
      <c r="D506" s="1" t="s">
        <v>1217</v>
      </c>
      <c r="E506" s="1">
        <v>8822</v>
      </c>
      <c r="F506" s="5">
        <v>10</v>
      </c>
      <c r="G506" s="1" t="s">
        <v>231</v>
      </c>
      <c r="H506" s="234">
        <v>13.75</v>
      </c>
      <c r="I506" s="236">
        <f t="shared" si="31"/>
        <v>137.5</v>
      </c>
      <c r="J506" s="351"/>
      <c r="K506" s="241">
        <v>0</v>
      </c>
      <c r="L506" s="237">
        <v>41129</v>
      </c>
      <c r="M506" s="1" t="s">
        <v>2848</v>
      </c>
      <c r="N506" s="235">
        <f t="shared" si="28"/>
        <v>137.5</v>
      </c>
      <c r="O506" s="235">
        <f t="shared" si="29"/>
        <v>0</v>
      </c>
      <c r="P506" s="238" t="s">
        <v>2860</v>
      </c>
      <c r="Q506" s="1" t="s">
        <v>2861</v>
      </c>
      <c r="R506" s="239" t="s">
        <v>2862</v>
      </c>
      <c r="S506" s="238" t="s">
        <v>2863</v>
      </c>
      <c r="T506" s="238" t="s">
        <v>2864</v>
      </c>
      <c r="U506" s="238" t="s">
        <v>2865</v>
      </c>
      <c r="V506" s="238" t="s">
        <v>2866</v>
      </c>
      <c r="W506" s="236">
        <v>2983</v>
      </c>
      <c r="X506" s="233">
        <v>41205</v>
      </c>
      <c r="Y506" s="255">
        <v>718084812496</v>
      </c>
      <c r="AB506" s="1" t="s">
        <v>2867</v>
      </c>
    </row>
    <row r="507" spans="1:28" ht="11.25" customHeight="1">
      <c r="A507" s="233">
        <v>41131</v>
      </c>
      <c r="B507" s="1" t="s">
        <v>2868</v>
      </c>
      <c r="C507" s="1" t="s">
        <v>2844</v>
      </c>
      <c r="D507" s="1" t="s">
        <v>232</v>
      </c>
      <c r="E507" s="1" t="s">
        <v>2869</v>
      </c>
      <c r="F507" s="5">
        <v>25</v>
      </c>
      <c r="G507" s="1" t="s">
        <v>231</v>
      </c>
      <c r="H507" s="234">
        <v>2.8</v>
      </c>
      <c r="I507" s="236">
        <f t="shared" si="31"/>
        <v>70</v>
      </c>
      <c r="J507" s="352">
        <v>1.7</v>
      </c>
      <c r="K507" s="241">
        <f>1.7*F507</f>
        <v>42.5</v>
      </c>
      <c r="L507" s="237">
        <v>41131</v>
      </c>
      <c r="M507" s="1" t="s">
        <v>2870</v>
      </c>
      <c r="N507" s="235">
        <f t="shared" si="28"/>
        <v>70</v>
      </c>
      <c r="O507" s="235">
        <f t="shared" si="29"/>
        <v>0</v>
      </c>
      <c r="P507" s="238" t="s">
        <v>2871</v>
      </c>
      <c r="Q507" s="1" t="s">
        <v>2872</v>
      </c>
      <c r="R507" s="239" t="s">
        <v>2873</v>
      </c>
      <c r="S507" s="238" t="s">
        <v>2874</v>
      </c>
      <c r="T507" s="238" t="s">
        <v>2875</v>
      </c>
      <c r="V507" s="238" t="s">
        <v>2842</v>
      </c>
      <c r="Y507" s="255"/>
      <c r="AB507" s="1" t="s">
        <v>382</v>
      </c>
    </row>
    <row r="508" spans="1:28" ht="11.25" customHeight="1">
      <c r="A508" s="233">
        <v>41131</v>
      </c>
      <c r="B508" s="1" t="s">
        <v>2868</v>
      </c>
      <c r="C508" s="1" t="s">
        <v>2844</v>
      </c>
      <c r="D508" s="1" t="s">
        <v>2876</v>
      </c>
      <c r="E508" s="1" t="s">
        <v>2877</v>
      </c>
      <c r="F508" s="5">
        <v>5</v>
      </c>
      <c r="G508" s="1" t="s">
        <v>2878</v>
      </c>
      <c r="H508" s="234">
        <v>45</v>
      </c>
      <c r="I508" s="236">
        <f t="shared" si="31"/>
        <v>225</v>
      </c>
      <c r="J508" s="351"/>
      <c r="K508" s="241">
        <v>0</v>
      </c>
      <c r="L508" s="237">
        <v>41131</v>
      </c>
      <c r="M508" s="1" t="s">
        <v>2870</v>
      </c>
      <c r="N508" s="235">
        <f t="shared" si="28"/>
        <v>225</v>
      </c>
      <c r="O508" s="235">
        <f t="shared" si="29"/>
        <v>0</v>
      </c>
      <c r="P508" s="238" t="s">
        <v>2871</v>
      </c>
      <c r="Q508" s="1" t="s">
        <v>2872</v>
      </c>
      <c r="R508" s="239" t="s">
        <v>2873</v>
      </c>
      <c r="S508" s="238" t="s">
        <v>2874</v>
      </c>
      <c r="T508" s="238" t="s">
        <v>2875</v>
      </c>
      <c r="V508" s="238" t="s">
        <v>2842</v>
      </c>
      <c r="Y508" s="255"/>
      <c r="AB508" s="1" t="s">
        <v>382</v>
      </c>
    </row>
    <row r="509" spans="1:28" ht="11.25" customHeight="1">
      <c r="A509" s="233">
        <v>41134</v>
      </c>
      <c r="B509" s="1" t="s">
        <v>2879</v>
      </c>
      <c r="C509" s="1" t="s">
        <v>2844</v>
      </c>
      <c r="D509" s="1" t="s">
        <v>2880</v>
      </c>
      <c r="E509" s="1">
        <v>4941</v>
      </c>
      <c r="F509" s="5" t="s">
        <v>5036</v>
      </c>
      <c r="G509" s="1" t="s">
        <v>2881</v>
      </c>
      <c r="H509" s="234">
        <v>400</v>
      </c>
      <c r="I509" s="236">
        <f>H509*4*0.8</f>
        <v>1280</v>
      </c>
      <c r="J509" s="351"/>
      <c r="K509" s="241">
        <f>359*4*0.8</f>
        <v>1148.8</v>
      </c>
      <c r="L509" s="237">
        <v>41145</v>
      </c>
      <c r="M509" s="1" t="s">
        <v>2853</v>
      </c>
      <c r="N509" s="235">
        <f t="shared" si="28"/>
        <v>1280</v>
      </c>
      <c r="O509" s="235">
        <f t="shared" si="29"/>
        <v>0</v>
      </c>
      <c r="P509" s="238" t="s">
        <v>4886</v>
      </c>
      <c r="Q509" s="1" t="s">
        <v>2882</v>
      </c>
      <c r="R509" s="239" t="s">
        <v>2883</v>
      </c>
      <c r="S509" s="238" t="s">
        <v>2884</v>
      </c>
      <c r="T509" s="238" t="s">
        <v>799</v>
      </c>
      <c r="U509" s="238" t="s">
        <v>2885</v>
      </c>
      <c r="V509" s="238" t="s">
        <v>2886</v>
      </c>
      <c r="W509" s="236">
        <v>11631.8</v>
      </c>
      <c r="X509" s="233">
        <v>41145</v>
      </c>
      <c r="Y509" s="238" t="s">
        <v>2887</v>
      </c>
      <c r="AB509" s="1" t="s">
        <v>2867</v>
      </c>
    </row>
    <row r="510" spans="1:28" ht="11.25" customHeight="1">
      <c r="A510" s="233">
        <v>41134</v>
      </c>
      <c r="B510" s="264" t="s">
        <v>2888</v>
      </c>
      <c r="C510" s="1" t="s">
        <v>2844</v>
      </c>
      <c r="D510" s="1" t="s">
        <v>1213</v>
      </c>
      <c r="E510" s="1" t="s">
        <v>2889</v>
      </c>
      <c r="F510" s="5">
        <v>50</v>
      </c>
      <c r="G510" s="1" t="s">
        <v>2890</v>
      </c>
      <c r="H510" s="234">
        <v>21</v>
      </c>
      <c r="I510" s="236">
        <f>H510*F510</f>
        <v>1050</v>
      </c>
      <c r="J510" s="351">
        <v>13</v>
      </c>
      <c r="K510" s="250">
        <f>13*F510</f>
        <v>650</v>
      </c>
      <c r="L510" s="237">
        <v>41134</v>
      </c>
      <c r="M510" s="1" t="s">
        <v>2853</v>
      </c>
      <c r="N510" s="235">
        <f t="shared" si="28"/>
        <v>1050</v>
      </c>
      <c r="O510" s="235">
        <f t="shared" si="29"/>
        <v>0</v>
      </c>
      <c r="P510" s="238" t="s">
        <v>2891</v>
      </c>
      <c r="Q510" s="1" t="s">
        <v>2882</v>
      </c>
      <c r="R510" s="239" t="s">
        <v>461</v>
      </c>
      <c r="S510" s="238" t="s">
        <v>2162</v>
      </c>
      <c r="T510" s="238" t="s">
        <v>2163</v>
      </c>
      <c r="U510" s="238" t="s">
        <v>2892</v>
      </c>
      <c r="V510" s="238" t="s">
        <v>2893</v>
      </c>
      <c r="W510" s="236">
        <v>2100</v>
      </c>
      <c r="X510" s="233">
        <v>41166</v>
      </c>
      <c r="Y510" s="255">
        <v>23159123281</v>
      </c>
      <c r="AB510" s="1" t="s">
        <v>2166</v>
      </c>
    </row>
    <row r="511" spans="1:28" ht="11.25" customHeight="1">
      <c r="A511" s="233">
        <v>41134</v>
      </c>
      <c r="B511" s="1" t="s">
        <v>2894</v>
      </c>
      <c r="C511" s="1" t="s">
        <v>2167</v>
      </c>
      <c r="D511" s="1" t="s">
        <v>268</v>
      </c>
      <c r="E511" s="1" t="s">
        <v>2895</v>
      </c>
      <c r="F511" s="5">
        <v>200</v>
      </c>
      <c r="G511" s="1" t="s">
        <v>2896</v>
      </c>
      <c r="H511" s="234">
        <v>1.45</v>
      </c>
      <c r="I511" s="236">
        <f>H511*F511</f>
        <v>290</v>
      </c>
      <c r="J511" s="352">
        <v>1.34</v>
      </c>
      <c r="K511" s="241">
        <f>1.34*F511</f>
        <v>268</v>
      </c>
      <c r="L511" s="237">
        <v>41169</v>
      </c>
      <c r="M511" s="1" t="s">
        <v>2897</v>
      </c>
      <c r="N511" s="235">
        <f t="shared" si="28"/>
        <v>290</v>
      </c>
      <c r="O511" s="235">
        <f t="shared" si="29"/>
        <v>0</v>
      </c>
      <c r="P511" s="238" t="s">
        <v>2898</v>
      </c>
      <c r="Q511" s="1" t="s">
        <v>2899</v>
      </c>
      <c r="R511" s="239" t="s">
        <v>2900</v>
      </c>
      <c r="S511" s="238" t="s">
        <v>2901</v>
      </c>
      <c r="T511" s="238" t="s">
        <v>773</v>
      </c>
      <c r="U511" s="238" t="s">
        <v>2902</v>
      </c>
      <c r="V511" s="238" t="s">
        <v>2903</v>
      </c>
      <c r="Y511" s="255"/>
      <c r="AA511" s="240" t="s">
        <v>2904</v>
      </c>
      <c r="AB511" s="1" t="s">
        <v>2166</v>
      </c>
    </row>
    <row r="512" spans="1:28" ht="12" customHeight="1">
      <c r="A512" s="233">
        <v>41134</v>
      </c>
      <c r="B512" s="1" t="s">
        <v>2905</v>
      </c>
      <c r="C512" s="1" t="s">
        <v>2167</v>
      </c>
      <c r="D512" s="1" t="s">
        <v>240</v>
      </c>
      <c r="E512" s="1">
        <v>6200</v>
      </c>
      <c r="F512" s="5">
        <v>120</v>
      </c>
      <c r="G512" s="1" t="s">
        <v>229</v>
      </c>
      <c r="H512" s="234">
        <v>46</v>
      </c>
      <c r="I512" s="236">
        <f>F512*H512</f>
        <v>5520</v>
      </c>
      <c r="J512" s="351">
        <v>45</v>
      </c>
      <c r="K512" s="241" t="e">
        <f>#REF!*F512</f>
        <v>#REF!</v>
      </c>
      <c r="L512" s="237">
        <v>41134</v>
      </c>
      <c r="M512" s="1" t="s">
        <v>2906</v>
      </c>
      <c r="N512" s="235">
        <f t="shared" si="28"/>
        <v>5520</v>
      </c>
      <c r="O512" s="235">
        <f t="shared" si="29"/>
        <v>0</v>
      </c>
      <c r="P512" s="238" t="s">
        <v>2907</v>
      </c>
      <c r="Q512" s="1" t="s">
        <v>1251</v>
      </c>
      <c r="R512" s="239" t="s">
        <v>2908</v>
      </c>
      <c r="S512" s="238" t="s">
        <v>2909</v>
      </c>
      <c r="T512" s="238" t="s">
        <v>2910</v>
      </c>
      <c r="U512" s="238" t="s">
        <v>2911</v>
      </c>
      <c r="V512" s="238" t="s">
        <v>2912</v>
      </c>
      <c r="W512" s="236">
        <v>9425.2000000000007</v>
      </c>
      <c r="X512" s="233">
        <v>41163</v>
      </c>
      <c r="Y512" s="238" t="s">
        <v>2913</v>
      </c>
      <c r="AB512" s="1" t="s">
        <v>2166</v>
      </c>
    </row>
    <row r="513" spans="1:28" ht="12" customHeight="1">
      <c r="A513" s="233">
        <v>41134</v>
      </c>
      <c r="B513" s="1" t="s">
        <v>2905</v>
      </c>
      <c r="C513" s="1" t="s">
        <v>2167</v>
      </c>
      <c r="D513" s="1" t="s">
        <v>273</v>
      </c>
      <c r="E513" s="1" t="s">
        <v>2914</v>
      </c>
      <c r="F513" s="5">
        <v>300</v>
      </c>
      <c r="G513" s="1" t="s">
        <v>229</v>
      </c>
      <c r="H513" s="234">
        <v>31.5</v>
      </c>
      <c r="I513" s="236">
        <f t="shared" ref="I513:I527" si="32">H513*F513</f>
        <v>9450</v>
      </c>
      <c r="J513" s="351">
        <v>29.5</v>
      </c>
      <c r="K513" s="241">
        <f>29.5*F513</f>
        <v>8850</v>
      </c>
      <c r="L513" s="237">
        <v>41134</v>
      </c>
      <c r="M513" s="1" t="s">
        <v>2906</v>
      </c>
      <c r="N513" s="235">
        <f t="shared" si="28"/>
        <v>9450</v>
      </c>
      <c r="O513" s="235">
        <f t="shared" si="29"/>
        <v>0</v>
      </c>
      <c r="P513" s="238" t="s">
        <v>2907</v>
      </c>
      <c r="Q513" s="1" t="s">
        <v>2915</v>
      </c>
      <c r="R513" s="239" t="s">
        <v>2908</v>
      </c>
      <c r="S513" s="238" t="s">
        <v>2909</v>
      </c>
      <c r="T513" s="238" t="s">
        <v>2910</v>
      </c>
      <c r="U513" s="238" t="s">
        <v>2916</v>
      </c>
      <c r="V513" s="238" t="s">
        <v>2917</v>
      </c>
      <c r="W513" s="236">
        <v>10710</v>
      </c>
      <c r="X513" s="233">
        <v>41163</v>
      </c>
      <c r="Y513" s="238" t="s">
        <v>2913</v>
      </c>
      <c r="AB513" s="1" t="s">
        <v>2166</v>
      </c>
    </row>
    <row r="514" spans="1:28" ht="11.25" customHeight="1">
      <c r="A514" s="233">
        <v>41134</v>
      </c>
      <c r="B514" s="1" t="s">
        <v>2905</v>
      </c>
      <c r="C514" s="1" t="s">
        <v>2167</v>
      </c>
      <c r="D514" s="1" t="s">
        <v>232</v>
      </c>
      <c r="E514" s="1" t="s">
        <v>2918</v>
      </c>
      <c r="F514" s="5">
        <v>2000</v>
      </c>
      <c r="G514" s="1" t="s">
        <v>231</v>
      </c>
      <c r="H514" s="234">
        <v>5.2</v>
      </c>
      <c r="I514" s="236">
        <f t="shared" si="32"/>
        <v>10400</v>
      </c>
      <c r="J514" s="351">
        <v>4.78</v>
      </c>
      <c r="K514" s="241">
        <f>4.78*F514</f>
        <v>9560</v>
      </c>
      <c r="L514" s="237">
        <v>41134</v>
      </c>
      <c r="M514" s="1" t="s">
        <v>2906</v>
      </c>
      <c r="N514" s="235">
        <f t="shared" si="28"/>
        <v>10400</v>
      </c>
      <c r="O514" s="235">
        <f t="shared" si="29"/>
        <v>0</v>
      </c>
      <c r="P514" s="238" t="s">
        <v>2907</v>
      </c>
      <c r="Q514" s="1" t="s">
        <v>2915</v>
      </c>
      <c r="R514" s="239" t="s">
        <v>2908</v>
      </c>
      <c r="S514" s="238" t="s">
        <v>2909</v>
      </c>
      <c r="T514" s="238" t="s">
        <v>2910</v>
      </c>
      <c r="U514" s="238" t="s">
        <v>2919</v>
      </c>
      <c r="V514" s="238" t="s">
        <v>2920</v>
      </c>
      <c r="W514" s="236">
        <v>10400</v>
      </c>
      <c r="X514" s="233">
        <v>41163</v>
      </c>
      <c r="Y514" s="238" t="s">
        <v>2913</v>
      </c>
      <c r="AB514" s="1" t="s">
        <v>2166</v>
      </c>
    </row>
    <row r="515" spans="1:28" ht="11.25" customHeight="1">
      <c r="A515" s="233">
        <v>41134</v>
      </c>
      <c r="B515" s="1" t="s">
        <v>2921</v>
      </c>
      <c r="C515" s="1" t="s">
        <v>2167</v>
      </c>
      <c r="D515" s="1" t="s">
        <v>28</v>
      </c>
      <c r="E515" s="1">
        <v>6800</v>
      </c>
      <c r="F515" s="5">
        <v>2</v>
      </c>
      <c r="G515" s="1" t="s">
        <v>2922</v>
      </c>
      <c r="H515" s="234">
        <v>460</v>
      </c>
      <c r="I515" s="236">
        <f t="shared" si="32"/>
        <v>920</v>
      </c>
      <c r="J515" s="351"/>
      <c r="K515" s="241">
        <f>425*F515</f>
        <v>850</v>
      </c>
      <c r="L515" s="237">
        <v>41145</v>
      </c>
      <c r="M515" s="1" t="s">
        <v>2906</v>
      </c>
      <c r="N515" s="235">
        <f t="shared" ref="N515:N578" si="33">I515</f>
        <v>920</v>
      </c>
      <c r="O515" s="235">
        <f t="shared" ref="O515:O578" si="34">I515-N515</f>
        <v>0</v>
      </c>
      <c r="P515" s="238" t="s">
        <v>4886</v>
      </c>
      <c r="Q515" s="1" t="s">
        <v>1259</v>
      </c>
      <c r="R515" s="239" t="s">
        <v>2923</v>
      </c>
      <c r="S515" s="238" t="s">
        <v>2924</v>
      </c>
      <c r="T515" s="238" t="s">
        <v>799</v>
      </c>
      <c r="U515" s="238" t="s">
        <v>2925</v>
      </c>
      <c r="V515" s="238" t="s">
        <v>2926</v>
      </c>
      <c r="W515" s="236">
        <v>8352.08</v>
      </c>
      <c r="X515" s="233">
        <v>41145</v>
      </c>
      <c r="Y515" s="238" t="s">
        <v>2927</v>
      </c>
      <c r="AB515" s="1" t="s">
        <v>2166</v>
      </c>
    </row>
    <row r="516" spans="1:28" ht="11.25" customHeight="1">
      <c r="A516" s="233">
        <v>41134</v>
      </c>
      <c r="B516" s="1" t="s">
        <v>2921</v>
      </c>
      <c r="C516" s="1" t="s">
        <v>2167</v>
      </c>
      <c r="D516" s="1" t="s">
        <v>273</v>
      </c>
      <c r="E516" s="1" t="s">
        <v>2914</v>
      </c>
      <c r="F516" s="5">
        <v>4</v>
      </c>
      <c r="G516" s="1" t="s">
        <v>2922</v>
      </c>
      <c r="H516" s="234">
        <v>32</v>
      </c>
      <c r="I516" s="236">
        <f t="shared" si="32"/>
        <v>128</v>
      </c>
      <c r="J516" s="351">
        <v>32</v>
      </c>
      <c r="K516" s="241">
        <f>32*F516</f>
        <v>128</v>
      </c>
      <c r="L516" s="237">
        <v>41145</v>
      </c>
      <c r="M516" s="1" t="s">
        <v>2906</v>
      </c>
      <c r="N516" s="235">
        <f t="shared" si="33"/>
        <v>128</v>
      </c>
      <c r="O516" s="235">
        <f t="shared" si="34"/>
        <v>0</v>
      </c>
      <c r="P516" s="238" t="s">
        <v>4886</v>
      </c>
      <c r="Q516" s="1" t="s">
        <v>2928</v>
      </c>
      <c r="R516" s="239" t="s">
        <v>2923</v>
      </c>
      <c r="S516" s="238" t="s">
        <v>2924</v>
      </c>
      <c r="T516" s="238" t="s">
        <v>799</v>
      </c>
      <c r="U516" s="238" t="s">
        <v>2925</v>
      </c>
      <c r="V516" s="238" t="s">
        <v>2929</v>
      </c>
      <c r="W516" s="236">
        <v>11631.8</v>
      </c>
      <c r="X516" s="233">
        <v>41145</v>
      </c>
      <c r="Y516" s="238" t="s">
        <v>2927</v>
      </c>
      <c r="AB516" s="1" t="s">
        <v>2166</v>
      </c>
    </row>
    <row r="517" spans="1:28" ht="11.25" customHeight="1">
      <c r="A517" s="233">
        <v>41134</v>
      </c>
      <c r="B517" s="1" t="s">
        <v>2921</v>
      </c>
      <c r="C517" s="1" t="s">
        <v>2167</v>
      </c>
      <c r="D517" s="1" t="s">
        <v>232</v>
      </c>
      <c r="E517" s="1" t="s">
        <v>2918</v>
      </c>
      <c r="F517" s="5">
        <v>4</v>
      </c>
      <c r="G517" s="1" t="s">
        <v>231</v>
      </c>
      <c r="H517" s="234">
        <v>5.52</v>
      </c>
      <c r="I517" s="236">
        <f t="shared" si="32"/>
        <v>22.08</v>
      </c>
      <c r="J517" s="351">
        <v>5.05</v>
      </c>
      <c r="K517" s="241">
        <f>5.05*F517</f>
        <v>20.2</v>
      </c>
      <c r="L517" s="237">
        <v>41145</v>
      </c>
      <c r="M517" s="1" t="s">
        <v>2906</v>
      </c>
      <c r="N517" s="235">
        <f t="shared" si="33"/>
        <v>22.08</v>
      </c>
      <c r="O517" s="235">
        <f t="shared" si="34"/>
        <v>0</v>
      </c>
      <c r="P517" s="238" t="s">
        <v>4886</v>
      </c>
      <c r="Q517" s="1" t="s">
        <v>2928</v>
      </c>
      <c r="R517" s="239" t="s">
        <v>2923</v>
      </c>
      <c r="S517" s="238" t="s">
        <v>2924</v>
      </c>
      <c r="T517" s="238" t="s">
        <v>799</v>
      </c>
      <c r="U517" s="238" t="s">
        <v>2925</v>
      </c>
      <c r="V517" s="238" t="s">
        <v>2926</v>
      </c>
      <c r="W517" s="236">
        <v>8352.08</v>
      </c>
      <c r="X517" s="233">
        <v>41145</v>
      </c>
      <c r="Y517" s="238" t="s">
        <v>2927</v>
      </c>
      <c r="AB517" s="1" t="s">
        <v>2166</v>
      </c>
    </row>
    <row r="518" spans="1:28" ht="11.25" customHeight="1">
      <c r="A518" s="233">
        <v>41134</v>
      </c>
      <c r="B518" s="1" t="s">
        <v>2921</v>
      </c>
      <c r="C518" s="1" t="s">
        <v>2167</v>
      </c>
      <c r="D518" s="1" t="s">
        <v>263</v>
      </c>
      <c r="E518" s="1">
        <v>501</v>
      </c>
      <c r="F518" s="5">
        <v>4</v>
      </c>
      <c r="G518" s="1" t="s">
        <v>2086</v>
      </c>
      <c r="H518" s="234">
        <v>1.45</v>
      </c>
      <c r="I518" s="236">
        <f t="shared" si="32"/>
        <v>5.8</v>
      </c>
      <c r="J518" s="351">
        <v>1.4</v>
      </c>
      <c r="K518" s="241">
        <f>1.4*F518</f>
        <v>5.6</v>
      </c>
      <c r="L518" s="237">
        <v>41145</v>
      </c>
      <c r="M518" s="1" t="s">
        <v>2077</v>
      </c>
      <c r="N518" s="235">
        <f t="shared" si="33"/>
        <v>5.8</v>
      </c>
      <c r="O518" s="235">
        <f t="shared" si="34"/>
        <v>0</v>
      </c>
      <c r="P518" s="238" t="s">
        <v>4886</v>
      </c>
      <c r="Q518" s="1" t="s">
        <v>2617</v>
      </c>
      <c r="R518" s="239" t="s">
        <v>2618</v>
      </c>
      <c r="S518" s="238" t="s">
        <v>2619</v>
      </c>
      <c r="T518" s="238" t="s">
        <v>799</v>
      </c>
      <c r="U518" s="238" t="s">
        <v>2930</v>
      </c>
      <c r="V518" s="238" t="s">
        <v>2623</v>
      </c>
      <c r="W518" s="236">
        <v>11631.8</v>
      </c>
      <c r="X518" s="233">
        <v>41145</v>
      </c>
      <c r="Y518" s="238" t="s">
        <v>2622</v>
      </c>
      <c r="AB518" s="1" t="s">
        <v>2527</v>
      </c>
    </row>
    <row r="519" spans="1:28" ht="11.25" customHeight="1">
      <c r="A519" s="233">
        <v>41134</v>
      </c>
      <c r="B519" s="1" t="s">
        <v>2169</v>
      </c>
      <c r="C519" s="1" t="s">
        <v>2080</v>
      </c>
      <c r="D519" s="1" t="s">
        <v>305</v>
      </c>
      <c r="E519" s="1">
        <v>1270</v>
      </c>
      <c r="F519" s="5">
        <v>10</v>
      </c>
      <c r="G519" s="1" t="s">
        <v>239</v>
      </c>
      <c r="H519" s="234">
        <v>4.4400000000000004</v>
      </c>
      <c r="I519" s="236">
        <f t="shared" si="32"/>
        <v>44.400000000000006</v>
      </c>
      <c r="J519" s="351"/>
      <c r="K519" s="241">
        <f>4.1*F519</f>
        <v>41</v>
      </c>
      <c r="L519" s="237">
        <v>41145</v>
      </c>
      <c r="M519" s="1" t="s">
        <v>2077</v>
      </c>
      <c r="N519" s="235">
        <f t="shared" si="33"/>
        <v>44.400000000000006</v>
      </c>
      <c r="O519" s="235">
        <f t="shared" si="34"/>
        <v>0</v>
      </c>
      <c r="P519" s="238" t="s">
        <v>4886</v>
      </c>
      <c r="Q519" s="1" t="s">
        <v>2617</v>
      </c>
      <c r="R519" s="239" t="s">
        <v>2618</v>
      </c>
      <c r="S519" s="238" t="s">
        <v>2619</v>
      </c>
      <c r="T519" s="238" t="s">
        <v>799</v>
      </c>
      <c r="U519" s="238" t="s">
        <v>2930</v>
      </c>
      <c r="V519" s="238" t="s">
        <v>2623</v>
      </c>
      <c r="W519" s="236">
        <v>11631.8</v>
      </c>
      <c r="X519" s="233">
        <v>41145</v>
      </c>
      <c r="Y519" s="238" t="s">
        <v>2622</v>
      </c>
      <c r="AB519" s="1" t="s">
        <v>2527</v>
      </c>
    </row>
    <row r="520" spans="1:28" ht="11.25" customHeight="1">
      <c r="A520" s="233">
        <v>41134</v>
      </c>
      <c r="B520" s="1" t="s">
        <v>2169</v>
      </c>
      <c r="C520" s="1" t="s">
        <v>2080</v>
      </c>
      <c r="D520" s="1" t="s">
        <v>1213</v>
      </c>
      <c r="E520" s="1" t="s">
        <v>2509</v>
      </c>
      <c r="F520" s="5">
        <v>10</v>
      </c>
      <c r="G520" s="1" t="s">
        <v>2398</v>
      </c>
      <c r="H520" s="234">
        <v>13.4</v>
      </c>
      <c r="I520" s="236">
        <f t="shared" si="32"/>
        <v>134</v>
      </c>
      <c r="J520" s="351">
        <v>13</v>
      </c>
      <c r="K520" s="250">
        <f>13*F520</f>
        <v>130</v>
      </c>
      <c r="L520" s="237">
        <v>41145</v>
      </c>
      <c r="M520" s="1" t="s">
        <v>2077</v>
      </c>
      <c r="N520" s="235">
        <f t="shared" si="33"/>
        <v>134</v>
      </c>
      <c r="O520" s="235">
        <f t="shared" si="34"/>
        <v>0</v>
      </c>
      <c r="P520" s="238" t="s">
        <v>4886</v>
      </c>
      <c r="Q520" s="1" t="s">
        <v>2617</v>
      </c>
      <c r="R520" s="239" t="s">
        <v>2618</v>
      </c>
      <c r="S520" s="238" t="s">
        <v>2619</v>
      </c>
      <c r="T520" s="238" t="s">
        <v>799</v>
      </c>
      <c r="U520" s="238" t="s">
        <v>2930</v>
      </c>
      <c r="V520" s="238" t="s">
        <v>2623</v>
      </c>
      <c r="W520" s="236">
        <v>11631.8</v>
      </c>
      <c r="X520" s="233">
        <v>41145</v>
      </c>
      <c r="Y520" s="238" t="s">
        <v>2622</v>
      </c>
      <c r="AB520" s="1" t="s">
        <v>2527</v>
      </c>
    </row>
    <row r="521" spans="1:28" ht="11.25" customHeight="1">
      <c r="A521" s="233">
        <v>41134</v>
      </c>
      <c r="B521" s="1" t="s">
        <v>2674</v>
      </c>
      <c r="C521" s="1" t="s">
        <v>2080</v>
      </c>
      <c r="D521" s="5" t="s">
        <v>2012</v>
      </c>
      <c r="E521" s="1" t="s">
        <v>2489</v>
      </c>
      <c r="F521" s="5">
        <v>50</v>
      </c>
      <c r="G521" s="1" t="s">
        <v>4970</v>
      </c>
      <c r="H521" s="234">
        <v>2</v>
      </c>
      <c r="I521" s="236">
        <f t="shared" si="32"/>
        <v>100</v>
      </c>
      <c r="J521" s="351">
        <v>1.46</v>
      </c>
      <c r="K521" s="241">
        <f>1.46*F521</f>
        <v>73</v>
      </c>
      <c r="L521" s="237">
        <v>41127</v>
      </c>
      <c r="M521" s="1" t="s">
        <v>2077</v>
      </c>
      <c r="N521" s="235">
        <f t="shared" si="33"/>
        <v>100</v>
      </c>
      <c r="O521" s="235">
        <f t="shared" si="34"/>
        <v>0</v>
      </c>
      <c r="P521" s="238" t="s">
        <v>4886</v>
      </c>
      <c r="Q521" s="1" t="s">
        <v>1863</v>
      </c>
      <c r="R521" s="239" t="s">
        <v>2676</v>
      </c>
      <c r="S521" s="238" t="s">
        <v>2677</v>
      </c>
      <c r="T521" s="238" t="s">
        <v>2678</v>
      </c>
      <c r="U521" s="238" t="s">
        <v>2679</v>
      </c>
      <c r="V521" s="238" t="s">
        <v>2680</v>
      </c>
      <c r="W521" s="236">
        <v>1370</v>
      </c>
      <c r="X521" s="233">
        <v>41141</v>
      </c>
      <c r="Y521" s="255">
        <v>23155078476</v>
      </c>
      <c r="AB521" s="1" t="s">
        <v>2079</v>
      </c>
    </row>
    <row r="522" spans="1:28" ht="11.25" customHeight="1">
      <c r="A522" s="233">
        <v>41134</v>
      </c>
      <c r="B522" s="1" t="s">
        <v>2674</v>
      </c>
      <c r="C522" s="1" t="s">
        <v>2080</v>
      </c>
      <c r="D522" s="1" t="s">
        <v>249</v>
      </c>
      <c r="E522" s="1">
        <v>1427</v>
      </c>
      <c r="F522" s="5">
        <v>9</v>
      </c>
      <c r="G522" s="1" t="s">
        <v>2398</v>
      </c>
      <c r="H522" s="234">
        <v>120</v>
      </c>
      <c r="I522" s="236">
        <f t="shared" si="32"/>
        <v>1080</v>
      </c>
      <c r="J522" s="351"/>
      <c r="K522" s="241">
        <f>83*F522</f>
        <v>747</v>
      </c>
      <c r="L522" s="237">
        <v>41127</v>
      </c>
      <c r="M522" s="1" t="s">
        <v>2077</v>
      </c>
      <c r="N522" s="235">
        <f t="shared" si="33"/>
        <v>1080</v>
      </c>
      <c r="O522" s="235">
        <f t="shared" si="34"/>
        <v>0</v>
      </c>
      <c r="P522" s="238" t="s">
        <v>4886</v>
      </c>
      <c r="Q522" s="1" t="s">
        <v>1863</v>
      </c>
      <c r="R522" s="239" t="s">
        <v>2676</v>
      </c>
      <c r="S522" s="238" t="s">
        <v>2677</v>
      </c>
      <c r="T522" s="238" t="s">
        <v>2678</v>
      </c>
      <c r="U522" s="238" t="s">
        <v>2679</v>
      </c>
      <c r="V522" s="238" t="s">
        <v>2680</v>
      </c>
      <c r="W522" s="236">
        <v>1370</v>
      </c>
      <c r="X522" s="233">
        <v>41141</v>
      </c>
      <c r="Y522" s="255">
        <v>23155078476</v>
      </c>
      <c r="AB522" s="1" t="s">
        <v>2079</v>
      </c>
    </row>
    <row r="523" spans="1:28" ht="11.25" customHeight="1">
      <c r="A523" s="233">
        <v>41135</v>
      </c>
      <c r="B523" s="1" t="s">
        <v>2709</v>
      </c>
      <c r="C523" s="1" t="s">
        <v>2080</v>
      </c>
      <c r="D523" s="1" t="s">
        <v>2026</v>
      </c>
      <c r="E523" s="1" t="s">
        <v>2931</v>
      </c>
      <c r="F523" s="5">
        <v>1</v>
      </c>
      <c r="G523" s="1" t="s">
        <v>2086</v>
      </c>
      <c r="H523" s="234">
        <v>2650</v>
      </c>
      <c r="I523" s="236">
        <f t="shared" si="32"/>
        <v>2650</v>
      </c>
      <c r="J523" s="351"/>
      <c r="K523" s="241">
        <f>1469.58*F523</f>
        <v>1469.58</v>
      </c>
      <c r="L523" s="237">
        <v>41150</v>
      </c>
      <c r="M523" s="1" t="s">
        <v>2077</v>
      </c>
      <c r="N523" s="235">
        <f t="shared" si="33"/>
        <v>2650</v>
      </c>
      <c r="O523" s="235">
        <f t="shared" si="34"/>
        <v>0</v>
      </c>
      <c r="P523" s="238" t="s">
        <v>4886</v>
      </c>
      <c r="Q523" s="1" t="s">
        <v>2212</v>
      </c>
      <c r="R523" s="239" t="s">
        <v>2082</v>
      </c>
      <c r="S523" s="238" t="s">
        <v>2932</v>
      </c>
      <c r="T523" s="238" t="s">
        <v>801</v>
      </c>
      <c r="V523" s="238" t="s">
        <v>2713</v>
      </c>
      <c r="W523" s="236">
        <v>4884.3999999999996</v>
      </c>
      <c r="X523" s="233">
        <v>41156</v>
      </c>
      <c r="Y523" s="255"/>
      <c r="AB523" s="1" t="s">
        <v>2527</v>
      </c>
    </row>
    <row r="524" spans="1:28" ht="11.25" customHeight="1">
      <c r="A524" s="233">
        <v>41135</v>
      </c>
      <c r="B524" s="1" t="s">
        <v>2933</v>
      </c>
      <c r="C524" s="1" t="s">
        <v>2080</v>
      </c>
      <c r="D524" s="1" t="s">
        <v>1218</v>
      </c>
      <c r="E524" s="1">
        <v>6004</v>
      </c>
      <c r="F524" s="5">
        <v>10</v>
      </c>
      <c r="G524" s="1" t="s">
        <v>2086</v>
      </c>
      <c r="H524" s="234">
        <v>45.2</v>
      </c>
      <c r="I524" s="236">
        <f t="shared" si="32"/>
        <v>452</v>
      </c>
      <c r="J524" s="351"/>
      <c r="K524" s="241">
        <f>39.5*F524</f>
        <v>395</v>
      </c>
      <c r="L524" s="237">
        <v>41135</v>
      </c>
      <c r="M524" s="1" t="s">
        <v>2390</v>
      </c>
      <c r="N524" s="235">
        <f t="shared" si="33"/>
        <v>452</v>
      </c>
      <c r="O524" s="235">
        <f t="shared" si="34"/>
        <v>0</v>
      </c>
      <c r="P524" s="238" t="s">
        <v>2082</v>
      </c>
      <c r="Q524" s="1" t="s">
        <v>2212</v>
      </c>
      <c r="R524" s="1" t="s">
        <v>2934</v>
      </c>
      <c r="S524" s="238" t="s">
        <v>35</v>
      </c>
      <c r="T524" s="265" t="s">
        <v>2935</v>
      </c>
      <c r="V524" s="238" t="s">
        <v>2936</v>
      </c>
      <c r="W524" s="236">
        <v>452</v>
      </c>
      <c r="X524" s="233">
        <v>41135</v>
      </c>
      <c r="Y524" s="255"/>
      <c r="AB524" s="1" t="s">
        <v>2527</v>
      </c>
    </row>
    <row r="525" spans="1:28" ht="11.25" customHeight="1">
      <c r="A525" s="233">
        <v>41135</v>
      </c>
      <c r="B525" s="1" t="s">
        <v>2565</v>
      </c>
      <c r="C525" s="1" t="s">
        <v>2080</v>
      </c>
      <c r="D525" s="1" t="s">
        <v>2010</v>
      </c>
      <c r="E525" s="1">
        <v>10434</v>
      </c>
      <c r="F525" s="5">
        <v>20</v>
      </c>
      <c r="G525" s="1" t="s">
        <v>2398</v>
      </c>
      <c r="H525" s="234">
        <v>15.6</v>
      </c>
      <c r="I525" s="236">
        <f t="shared" si="32"/>
        <v>312</v>
      </c>
      <c r="J525" s="351"/>
      <c r="K525" s="241">
        <f>14.28*F525</f>
        <v>285.59999999999997</v>
      </c>
      <c r="L525" s="237">
        <v>41169</v>
      </c>
      <c r="M525" s="1" t="s">
        <v>2327</v>
      </c>
      <c r="N525" s="235">
        <f t="shared" si="33"/>
        <v>312</v>
      </c>
      <c r="O525" s="235">
        <f t="shared" si="34"/>
        <v>0</v>
      </c>
      <c r="P525" s="238" t="s">
        <v>2937</v>
      </c>
      <c r="Q525" s="1" t="s">
        <v>2938</v>
      </c>
      <c r="R525" s="239" t="s">
        <v>2567</v>
      </c>
      <c r="S525" s="238" t="s">
        <v>2568</v>
      </c>
      <c r="T525" s="238" t="s">
        <v>773</v>
      </c>
      <c r="U525" s="238" t="s">
        <v>2939</v>
      </c>
      <c r="V525" s="238" t="s">
        <v>2488</v>
      </c>
      <c r="Y525" s="255"/>
      <c r="AA525" s="240" t="s">
        <v>2570</v>
      </c>
      <c r="AB525" s="1" t="s">
        <v>2527</v>
      </c>
    </row>
    <row r="526" spans="1:28" ht="11.25" customHeight="1">
      <c r="A526" s="233">
        <v>41135</v>
      </c>
      <c r="B526" s="1" t="s">
        <v>2565</v>
      </c>
      <c r="C526" s="1" t="s">
        <v>2080</v>
      </c>
      <c r="D526" s="1" t="s">
        <v>2010</v>
      </c>
      <c r="E526" s="1">
        <v>10434</v>
      </c>
      <c r="F526" s="5">
        <v>20</v>
      </c>
      <c r="G526" s="1" t="s">
        <v>2398</v>
      </c>
      <c r="H526" s="234">
        <v>15.6</v>
      </c>
      <c r="I526" s="236">
        <f t="shared" si="32"/>
        <v>312</v>
      </c>
      <c r="J526" s="351"/>
      <c r="K526" s="241">
        <f>14.28*F526</f>
        <v>285.59999999999997</v>
      </c>
      <c r="L526" s="237">
        <v>41169</v>
      </c>
      <c r="M526" s="1" t="s">
        <v>2327</v>
      </c>
      <c r="N526" s="235">
        <f t="shared" si="33"/>
        <v>312</v>
      </c>
      <c r="O526" s="235">
        <f t="shared" si="34"/>
        <v>0</v>
      </c>
      <c r="P526" s="238" t="s">
        <v>2937</v>
      </c>
      <c r="Q526" s="1" t="s">
        <v>2938</v>
      </c>
      <c r="R526" s="239" t="s">
        <v>2567</v>
      </c>
      <c r="S526" s="238" t="s">
        <v>2568</v>
      </c>
      <c r="T526" s="238" t="s">
        <v>773</v>
      </c>
      <c r="U526" s="238" t="s">
        <v>2939</v>
      </c>
      <c r="V526" s="238" t="s">
        <v>2488</v>
      </c>
      <c r="Y526" s="255"/>
      <c r="AA526" s="240" t="s">
        <v>2570</v>
      </c>
      <c r="AB526" s="1" t="s">
        <v>2527</v>
      </c>
    </row>
    <row r="527" spans="1:28" ht="11.25" customHeight="1">
      <c r="A527" s="233">
        <v>41135</v>
      </c>
      <c r="B527" s="1" t="s">
        <v>2940</v>
      </c>
      <c r="C527" s="1" t="s">
        <v>2080</v>
      </c>
      <c r="D527" s="1" t="s">
        <v>268</v>
      </c>
      <c r="E527" s="1" t="s">
        <v>2120</v>
      </c>
      <c r="F527" s="5">
        <v>200</v>
      </c>
      <c r="G527" s="1" t="s">
        <v>231</v>
      </c>
      <c r="H527" s="234">
        <v>2</v>
      </c>
      <c r="I527" s="236">
        <f t="shared" si="32"/>
        <v>400</v>
      </c>
      <c r="J527" s="352">
        <v>1.43</v>
      </c>
      <c r="K527" s="241">
        <f>1.43*200</f>
        <v>286</v>
      </c>
      <c r="L527" s="237">
        <v>41135</v>
      </c>
      <c r="M527" s="1" t="s">
        <v>2390</v>
      </c>
      <c r="N527" s="235">
        <f t="shared" si="33"/>
        <v>400</v>
      </c>
      <c r="O527" s="235">
        <f t="shared" si="34"/>
        <v>0</v>
      </c>
      <c r="P527" s="238" t="s">
        <v>2941</v>
      </c>
      <c r="Q527" s="1" t="s">
        <v>2212</v>
      </c>
      <c r="R527" s="239" t="s">
        <v>2942</v>
      </c>
      <c r="S527" s="238" t="s">
        <v>2943</v>
      </c>
      <c r="T527" s="238" t="s">
        <v>2944</v>
      </c>
      <c r="Y527" s="255"/>
      <c r="AB527" s="1" t="s">
        <v>2079</v>
      </c>
    </row>
    <row r="528" spans="1:28" ht="11.25" customHeight="1">
      <c r="A528" s="233">
        <v>41135</v>
      </c>
      <c r="B528" s="1" t="s">
        <v>2940</v>
      </c>
      <c r="C528" s="1" t="s">
        <v>2080</v>
      </c>
      <c r="D528" s="1" t="s">
        <v>268</v>
      </c>
      <c r="E528" s="1" t="s">
        <v>2120</v>
      </c>
      <c r="F528" s="5">
        <v>30</v>
      </c>
      <c r="G528" s="1" t="s">
        <v>231</v>
      </c>
      <c r="H528" s="234">
        <v>2</v>
      </c>
      <c r="I528" s="236">
        <f t="shared" ref="I528:I542" si="35">H528*F528</f>
        <v>60</v>
      </c>
      <c r="J528" s="352">
        <v>1.43</v>
      </c>
      <c r="K528" s="241">
        <f>1.43*F528</f>
        <v>42.9</v>
      </c>
      <c r="L528" s="237">
        <v>41135</v>
      </c>
      <c r="M528" s="1" t="s">
        <v>2390</v>
      </c>
      <c r="N528" s="235">
        <f t="shared" si="33"/>
        <v>60</v>
      </c>
      <c r="O528" s="235">
        <f t="shared" si="34"/>
        <v>0</v>
      </c>
      <c r="P528" s="238" t="s">
        <v>2941</v>
      </c>
      <c r="Q528" s="1" t="s">
        <v>2212</v>
      </c>
      <c r="R528" s="239" t="s">
        <v>2942</v>
      </c>
      <c r="S528" s="238" t="s">
        <v>2943</v>
      </c>
      <c r="T528" s="238" t="s">
        <v>2944</v>
      </c>
      <c r="Y528" s="255"/>
      <c r="AB528" s="1" t="s">
        <v>2079</v>
      </c>
    </row>
    <row r="529" spans="1:28" ht="11.25" customHeight="1">
      <c r="A529" s="233">
        <v>41135</v>
      </c>
      <c r="B529" s="1" t="s">
        <v>2940</v>
      </c>
      <c r="C529" s="1" t="s">
        <v>2080</v>
      </c>
      <c r="D529" s="1" t="s">
        <v>1210</v>
      </c>
      <c r="E529" s="1">
        <v>3200</v>
      </c>
      <c r="F529" s="5">
        <v>30</v>
      </c>
      <c r="G529" s="1" t="s">
        <v>2086</v>
      </c>
      <c r="H529" s="234">
        <v>34.6</v>
      </c>
      <c r="I529" s="236">
        <f t="shared" si="35"/>
        <v>1038</v>
      </c>
      <c r="J529" s="351">
        <v>26</v>
      </c>
      <c r="K529" s="241">
        <f>26*F529</f>
        <v>780</v>
      </c>
      <c r="L529" s="237">
        <v>41135</v>
      </c>
      <c r="M529" s="1" t="s">
        <v>2390</v>
      </c>
      <c r="N529" s="235">
        <f t="shared" si="33"/>
        <v>1038</v>
      </c>
      <c r="O529" s="235">
        <f t="shared" si="34"/>
        <v>0</v>
      </c>
      <c r="P529" s="238" t="s">
        <v>2941</v>
      </c>
      <c r="Q529" s="1" t="s">
        <v>2212</v>
      </c>
      <c r="R529" s="239" t="s">
        <v>2942</v>
      </c>
      <c r="S529" s="238" t="s">
        <v>2943</v>
      </c>
      <c r="T529" s="238" t="s">
        <v>2944</v>
      </c>
      <c r="Y529" s="255"/>
      <c r="AB529" s="1" t="s">
        <v>2079</v>
      </c>
    </row>
    <row r="530" spans="1:28" ht="11.25" customHeight="1">
      <c r="A530" s="233">
        <v>41135</v>
      </c>
      <c r="B530" s="1" t="s">
        <v>2940</v>
      </c>
      <c r="C530" s="1" t="s">
        <v>2080</v>
      </c>
      <c r="D530" s="1" t="s">
        <v>263</v>
      </c>
      <c r="E530" s="1" t="s">
        <v>2118</v>
      </c>
      <c r="F530" s="5">
        <v>30</v>
      </c>
      <c r="G530" s="1" t="s">
        <v>2086</v>
      </c>
      <c r="H530" s="234">
        <v>2.4</v>
      </c>
      <c r="I530" s="236">
        <f t="shared" si="35"/>
        <v>72</v>
      </c>
      <c r="J530" s="351">
        <v>1.92</v>
      </c>
      <c r="K530" s="241">
        <f>1.92*F530</f>
        <v>57.599999999999994</v>
      </c>
      <c r="L530" s="237">
        <v>41135</v>
      </c>
      <c r="M530" s="1" t="s">
        <v>2390</v>
      </c>
      <c r="N530" s="235">
        <f t="shared" si="33"/>
        <v>72</v>
      </c>
      <c r="O530" s="235">
        <f t="shared" si="34"/>
        <v>0</v>
      </c>
      <c r="P530" s="238" t="s">
        <v>2941</v>
      </c>
      <c r="Q530" s="1" t="s">
        <v>2212</v>
      </c>
      <c r="R530" s="239" t="s">
        <v>2942</v>
      </c>
      <c r="S530" s="238" t="s">
        <v>2943</v>
      </c>
      <c r="T530" s="238" t="s">
        <v>2944</v>
      </c>
      <c r="Y530" s="255"/>
      <c r="AB530" s="1" t="s">
        <v>2079</v>
      </c>
    </row>
    <row r="531" spans="1:28" ht="11.25" customHeight="1">
      <c r="A531" s="233">
        <v>41135</v>
      </c>
      <c r="B531" s="1" t="s">
        <v>2940</v>
      </c>
      <c r="C531" s="1" t="s">
        <v>2080</v>
      </c>
      <c r="D531" s="1" t="s">
        <v>353</v>
      </c>
      <c r="E531" s="1" t="s">
        <v>2397</v>
      </c>
      <c r="F531" s="5">
        <v>130</v>
      </c>
      <c r="G531" s="1" t="s">
        <v>2086</v>
      </c>
      <c r="H531" s="234">
        <v>16</v>
      </c>
      <c r="I531" s="236">
        <f t="shared" si="35"/>
        <v>2080</v>
      </c>
      <c r="J531" s="352">
        <v>12.74</v>
      </c>
      <c r="K531" s="241">
        <f>12.74*130</f>
        <v>1656.2</v>
      </c>
      <c r="L531" s="237">
        <v>41135</v>
      </c>
      <c r="M531" s="1" t="s">
        <v>2390</v>
      </c>
      <c r="N531" s="235">
        <f t="shared" si="33"/>
        <v>2080</v>
      </c>
      <c r="O531" s="235">
        <f t="shared" si="34"/>
        <v>0</v>
      </c>
      <c r="P531" s="238" t="s">
        <v>2941</v>
      </c>
      <c r="Q531" s="1" t="s">
        <v>2212</v>
      </c>
      <c r="R531" s="239" t="s">
        <v>2942</v>
      </c>
      <c r="S531" s="238" t="s">
        <v>2943</v>
      </c>
      <c r="T531" s="238" t="s">
        <v>2944</v>
      </c>
      <c r="Y531" s="255"/>
      <c r="AB531" s="1" t="s">
        <v>2079</v>
      </c>
    </row>
    <row r="532" spans="1:28" ht="11.25" customHeight="1">
      <c r="A532" s="233">
        <v>41135</v>
      </c>
      <c r="B532" s="1" t="s">
        <v>2940</v>
      </c>
      <c r="C532" s="1" t="s">
        <v>2080</v>
      </c>
      <c r="D532" s="5" t="s">
        <v>2012</v>
      </c>
      <c r="E532" s="1" t="s">
        <v>2489</v>
      </c>
      <c r="F532" s="5">
        <v>100</v>
      </c>
      <c r="G532" s="1" t="s">
        <v>4970</v>
      </c>
      <c r="H532" s="234">
        <v>2.4</v>
      </c>
      <c r="I532" s="236">
        <f t="shared" si="35"/>
        <v>240</v>
      </c>
      <c r="J532" s="351">
        <v>1.46</v>
      </c>
      <c r="K532" s="241">
        <f>1.46*F532</f>
        <v>146</v>
      </c>
      <c r="L532" s="237">
        <v>41135</v>
      </c>
      <c r="M532" s="1" t="s">
        <v>2390</v>
      </c>
      <c r="N532" s="235">
        <f t="shared" si="33"/>
        <v>240</v>
      </c>
      <c r="O532" s="235">
        <f t="shared" si="34"/>
        <v>0</v>
      </c>
      <c r="P532" s="238" t="s">
        <v>2941</v>
      </c>
      <c r="Q532" s="1" t="s">
        <v>2212</v>
      </c>
      <c r="R532" s="239" t="s">
        <v>2942</v>
      </c>
      <c r="S532" s="238" t="s">
        <v>2943</v>
      </c>
      <c r="T532" s="238" t="s">
        <v>2944</v>
      </c>
      <c r="Y532" s="255"/>
      <c r="AB532" s="1" t="s">
        <v>2079</v>
      </c>
    </row>
    <row r="533" spans="1:28" ht="11.25" customHeight="1">
      <c r="A533" s="233">
        <v>41135</v>
      </c>
      <c r="B533" s="1" t="s">
        <v>2945</v>
      </c>
      <c r="C533" s="1" t="s">
        <v>2946</v>
      </c>
      <c r="D533" s="1" t="s">
        <v>1896</v>
      </c>
      <c r="E533" s="1" t="s">
        <v>2947</v>
      </c>
      <c r="F533" s="5">
        <v>2</v>
      </c>
      <c r="G533" s="1" t="s">
        <v>2529</v>
      </c>
      <c r="H533" s="234">
        <v>62.4</v>
      </c>
      <c r="I533" s="236">
        <f t="shared" si="35"/>
        <v>124.8</v>
      </c>
      <c r="J533" s="351"/>
      <c r="K533" s="241">
        <f>52*F533</f>
        <v>104</v>
      </c>
      <c r="L533" s="237">
        <v>41135</v>
      </c>
      <c r="M533" s="1" t="s">
        <v>2638</v>
      </c>
      <c r="N533" s="235">
        <f t="shared" si="33"/>
        <v>124.8</v>
      </c>
      <c r="O533" s="235">
        <f t="shared" si="34"/>
        <v>0</v>
      </c>
      <c r="P533" s="238" t="s">
        <v>2082</v>
      </c>
      <c r="Q533" s="1" t="s">
        <v>2938</v>
      </c>
      <c r="R533" s="239" t="s">
        <v>2640</v>
      </c>
      <c r="S533" s="238" t="s">
        <v>2641</v>
      </c>
      <c r="T533" s="238" t="s">
        <v>2642</v>
      </c>
      <c r="U533" s="238" t="s">
        <v>37</v>
      </c>
      <c r="V533" s="238" t="s">
        <v>2488</v>
      </c>
      <c r="Y533" s="255"/>
      <c r="AB533" s="1" t="s">
        <v>2527</v>
      </c>
    </row>
    <row r="534" spans="1:28" ht="11.25" customHeight="1">
      <c r="A534" s="233">
        <v>41136</v>
      </c>
      <c r="B534" s="1" t="s">
        <v>2948</v>
      </c>
      <c r="C534" s="1" t="s">
        <v>2080</v>
      </c>
      <c r="D534" s="5" t="s">
        <v>2012</v>
      </c>
      <c r="E534" s="1" t="s">
        <v>2489</v>
      </c>
      <c r="F534" s="5">
        <v>200</v>
      </c>
      <c r="G534" s="1" t="s">
        <v>4970</v>
      </c>
      <c r="H534" s="234">
        <v>2.68</v>
      </c>
      <c r="I534" s="236">
        <f t="shared" si="35"/>
        <v>536</v>
      </c>
      <c r="J534" s="351">
        <v>1.46</v>
      </c>
      <c r="K534" s="241">
        <f>1.46*F534</f>
        <v>292</v>
      </c>
      <c r="L534" s="237">
        <v>41138</v>
      </c>
      <c r="M534" s="1" t="s">
        <v>300</v>
      </c>
      <c r="N534" s="235">
        <f t="shared" si="33"/>
        <v>536</v>
      </c>
      <c r="O534" s="235">
        <f t="shared" si="34"/>
        <v>0</v>
      </c>
      <c r="P534" s="238" t="s">
        <v>2949</v>
      </c>
      <c r="Q534" s="1" t="s">
        <v>2511</v>
      </c>
      <c r="R534" s="239" t="s">
        <v>2950</v>
      </c>
      <c r="S534" s="238" t="s">
        <v>448</v>
      </c>
      <c r="T534" s="238" t="s">
        <v>2951</v>
      </c>
      <c r="U534" s="238" t="s">
        <v>2952</v>
      </c>
      <c r="V534" s="238" t="s">
        <v>2953</v>
      </c>
      <c r="W534" s="236">
        <v>536</v>
      </c>
      <c r="X534" s="233">
        <v>41138</v>
      </c>
      <c r="Y534" s="255" t="s">
        <v>2082</v>
      </c>
      <c r="AA534" s="240" t="s">
        <v>2668</v>
      </c>
      <c r="AB534" s="1" t="s">
        <v>382</v>
      </c>
    </row>
    <row r="535" spans="1:28" ht="11.25" customHeight="1">
      <c r="A535" s="233">
        <v>41136</v>
      </c>
      <c r="B535" s="1" t="s">
        <v>2555</v>
      </c>
      <c r="C535" s="1" t="s">
        <v>2080</v>
      </c>
      <c r="D535" s="1" t="s">
        <v>1711</v>
      </c>
      <c r="E535" s="1">
        <v>8210</v>
      </c>
      <c r="F535" s="5">
        <v>19200</v>
      </c>
      <c r="G535" s="1" t="s">
        <v>2086</v>
      </c>
      <c r="H535" s="234">
        <v>3.68</v>
      </c>
      <c r="I535" s="236">
        <f t="shared" si="35"/>
        <v>70656</v>
      </c>
      <c r="J535" s="351"/>
      <c r="K535" s="241">
        <f>3.63*F535</f>
        <v>69696</v>
      </c>
      <c r="L535" s="237">
        <v>41136</v>
      </c>
      <c r="M535" s="1" t="s">
        <v>2077</v>
      </c>
      <c r="N535" s="235">
        <f t="shared" si="33"/>
        <v>70656</v>
      </c>
      <c r="O535" s="235">
        <f t="shared" si="34"/>
        <v>0</v>
      </c>
      <c r="P535" s="238" t="s">
        <v>2082</v>
      </c>
      <c r="Q535" s="1" t="s">
        <v>2670</v>
      </c>
      <c r="R535" s="239" t="s">
        <v>2600</v>
      </c>
      <c r="S535" s="238" t="s">
        <v>2601</v>
      </c>
      <c r="T535" s="238" t="s">
        <v>2602</v>
      </c>
      <c r="U535" s="238" t="s">
        <v>2954</v>
      </c>
      <c r="V535" s="238" t="s">
        <v>2955</v>
      </c>
      <c r="W535" s="236" t="s">
        <v>2956</v>
      </c>
      <c r="X535" s="233">
        <v>41148</v>
      </c>
      <c r="Y535" s="255"/>
      <c r="AB535" s="1" t="s">
        <v>2527</v>
      </c>
    </row>
    <row r="536" spans="1:28" ht="11.25" customHeight="1">
      <c r="A536" s="233">
        <v>41136</v>
      </c>
      <c r="B536" s="1" t="s">
        <v>2555</v>
      </c>
      <c r="C536" s="1" t="s">
        <v>2080</v>
      </c>
      <c r="D536" s="1" t="s">
        <v>1210</v>
      </c>
      <c r="E536" s="1">
        <v>3200</v>
      </c>
      <c r="F536" s="5">
        <v>70</v>
      </c>
      <c r="G536" s="1" t="s">
        <v>229</v>
      </c>
      <c r="H536" s="234">
        <v>27</v>
      </c>
      <c r="I536" s="236">
        <f t="shared" si="35"/>
        <v>1890</v>
      </c>
      <c r="J536" s="351">
        <v>26</v>
      </c>
      <c r="K536" s="241">
        <f>26*F536</f>
        <v>1820</v>
      </c>
      <c r="L536" s="237">
        <v>41136</v>
      </c>
      <c r="M536" s="1" t="s">
        <v>2077</v>
      </c>
      <c r="N536" s="235">
        <f t="shared" si="33"/>
        <v>1890</v>
      </c>
      <c r="O536" s="235">
        <f t="shared" si="34"/>
        <v>0</v>
      </c>
      <c r="P536" s="238" t="s">
        <v>2082</v>
      </c>
      <c r="Q536" s="1" t="s">
        <v>1256</v>
      </c>
      <c r="R536" s="239" t="s">
        <v>2600</v>
      </c>
      <c r="S536" s="238" t="s">
        <v>2601</v>
      </c>
      <c r="T536" s="238" t="s">
        <v>2602</v>
      </c>
      <c r="U536" s="238" t="s">
        <v>2954</v>
      </c>
      <c r="V536" s="238" t="s">
        <v>2809</v>
      </c>
      <c r="W536" s="236">
        <v>4132.3</v>
      </c>
      <c r="X536" s="233">
        <v>41148</v>
      </c>
      <c r="Y536" s="255"/>
      <c r="AB536" s="1" t="s">
        <v>2527</v>
      </c>
    </row>
    <row r="537" spans="1:28" ht="11.25" customHeight="1">
      <c r="A537" s="233">
        <v>41136</v>
      </c>
      <c r="B537" s="1" t="s">
        <v>2555</v>
      </c>
      <c r="C537" s="1" t="s">
        <v>2080</v>
      </c>
      <c r="D537" s="1" t="s">
        <v>346</v>
      </c>
      <c r="E537" s="1">
        <v>3700</v>
      </c>
      <c r="F537" s="5">
        <v>70</v>
      </c>
      <c r="G537" s="1" t="s">
        <v>229</v>
      </c>
      <c r="H537" s="234">
        <v>3.42</v>
      </c>
      <c r="I537" s="236">
        <f t="shared" si="35"/>
        <v>239.4</v>
      </c>
      <c r="J537" s="351">
        <v>3.3</v>
      </c>
      <c r="K537" s="241">
        <f>3.3*F537</f>
        <v>231</v>
      </c>
      <c r="L537" s="237">
        <v>41136</v>
      </c>
      <c r="M537" s="1" t="s">
        <v>2077</v>
      </c>
      <c r="N537" s="235">
        <f t="shared" si="33"/>
        <v>239.4</v>
      </c>
      <c r="O537" s="235">
        <f t="shared" si="34"/>
        <v>0</v>
      </c>
      <c r="P537" s="238" t="s">
        <v>2082</v>
      </c>
      <c r="Q537" s="1" t="s">
        <v>2670</v>
      </c>
      <c r="R537" s="239" t="s">
        <v>2600</v>
      </c>
      <c r="S537" s="238" t="s">
        <v>2601</v>
      </c>
      <c r="T537" s="238" t="s">
        <v>2602</v>
      </c>
      <c r="U537" s="238" t="s">
        <v>2954</v>
      </c>
      <c r="V537" s="238" t="s">
        <v>2809</v>
      </c>
      <c r="W537" s="236">
        <v>4132.3</v>
      </c>
      <c r="X537" s="233">
        <v>41148</v>
      </c>
      <c r="Y537" s="255"/>
      <c r="AB537" s="1" t="s">
        <v>2527</v>
      </c>
    </row>
    <row r="538" spans="1:28" ht="11.25" customHeight="1">
      <c r="A538" s="233">
        <v>41136</v>
      </c>
      <c r="B538" s="1" t="s">
        <v>2555</v>
      </c>
      <c r="C538" s="1" t="s">
        <v>2080</v>
      </c>
      <c r="D538" s="1" t="s">
        <v>1934</v>
      </c>
      <c r="E538" s="1">
        <v>1110</v>
      </c>
      <c r="F538" s="5">
        <v>100</v>
      </c>
      <c r="G538" s="1" t="s">
        <v>239</v>
      </c>
      <c r="H538" s="234">
        <v>0.8</v>
      </c>
      <c r="I538" s="236">
        <f t="shared" si="35"/>
        <v>80</v>
      </c>
      <c r="J538" s="351"/>
      <c r="K538" s="241">
        <f>0.77*F538</f>
        <v>77</v>
      </c>
      <c r="L538" s="237">
        <v>41136</v>
      </c>
      <c r="M538" s="1" t="s">
        <v>2077</v>
      </c>
      <c r="N538" s="235">
        <f t="shared" si="33"/>
        <v>80</v>
      </c>
      <c r="O538" s="235">
        <f t="shared" si="34"/>
        <v>0</v>
      </c>
      <c r="P538" s="238" t="s">
        <v>2082</v>
      </c>
      <c r="Q538" s="1" t="s">
        <v>2670</v>
      </c>
      <c r="R538" s="239" t="s">
        <v>2600</v>
      </c>
      <c r="S538" s="238" t="s">
        <v>2601</v>
      </c>
      <c r="T538" s="238" t="s">
        <v>2602</v>
      </c>
      <c r="U538" s="238" t="s">
        <v>2954</v>
      </c>
      <c r="V538" s="238" t="s">
        <v>2809</v>
      </c>
      <c r="W538" s="236">
        <v>4132.3</v>
      </c>
      <c r="X538" s="233">
        <v>41148</v>
      </c>
      <c r="Y538" s="255"/>
      <c r="AB538" s="1" t="s">
        <v>2527</v>
      </c>
    </row>
    <row r="539" spans="1:28" ht="11.25" customHeight="1">
      <c r="A539" s="233">
        <v>41136</v>
      </c>
      <c r="B539" s="1" t="s">
        <v>2555</v>
      </c>
      <c r="C539" s="1" t="s">
        <v>2080</v>
      </c>
      <c r="D539" s="1" t="s">
        <v>1219</v>
      </c>
      <c r="E539" s="1" t="s">
        <v>2957</v>
      </c>
      <c r="F539" s="5">
        <v>100</v>
      </c>
      <c r="G539" s="1" t="s">
        <v>2086</v>
      </c>
      <c r="H539" s="234">
        <v>4.08</v>
      </c>
      <c r="I539" s="236">
        <f t="shared" si="35"/>
        <v>408</v>
      </c>
      <c r="J539" s="351"/>
      <c r="K539" s="241">
        <f>4.02*F539</f>
        <v>401.99999999999994</v>
      </c>
      <c r="L539" s="237">
        <v>41136</v>
      </c>
      <c r="M539" s="1" t="s">
        <v>2077</v>
      </c>
      <c r="N539" s="235">
        <f t="shared" si="33"/>
        <v>408</v>
      </c>
      <c r="O539" s="235">
        <f t="shared" si="34"/>
        <v>0</v>
      </c>
      <c r="P539" s="238" t="s">
        <v>2082</v>
      </c>
      <c r="Q539" s="1" t="s">
        <v>2670</v>
      </c>
      <c r="R539" s="239" t="s">
        <v>2600</v>
      </c>
      <c r="S539" s="238" t="s">
        <v>2601</v>
      </c>
      <c r="T539" s="238" t="s">
        <v>2602</v>
      </c>
      <c r="U539" s="238" t="s">
        <v>2954</v>
      </c>
      <c r="V539" s="238" t="s">
        <v>2809</v>
      </c>
      <c r="W539" s="236">
        <v>4132.3</v>
      </c>
      <c r="X539" s="233">
        <v>41148</v>
      </c>
      <c r="Y539" s="255"/>
      <c r="AB539" s="1" t="s">
        <v>2527</v>
      </c>
    </row>
    <row r="540" spans="1:28" ht="11.25" customHeight="1">
      <c r="A540" s="233">
        <v>41137</v>
      </c>
      <c r="B540" s="1" t="s">
        <v>2958</v>
      </c>
      <c r="C540" s="1" t="s">
        <v>2080</v>
      </c>
      <c r="D540" s="1" t="s">
        <v>232</v>
      </c>
      <c r="E540" s="1" t="s">
        <v>2107</v>
      </c>
      <c r="F540" s="5">
        <v>150</v>
      </c>
      <c r="G540" s="1" t="s">
        <v>231</v>
      </c>
      <c r="H540" s="234">
        <v>5.28</v>
      </c>
      <c r="I540" s="236">
        <f t="shared" si="35"/>
        <v>792</v>
      </c>
      <c r="J540" s="351">
        <v>5.0999999999999996</v>
      </c>
      <c r="K540" s="241">
        <f>5.1*120+4.78*30</f>
        <v>755.4</v>
      </c>
      <c r="L540" s="237" t="s">
        <v>5041</v>
      </c>
      <c r="M540" s="1" t="s">
        <v>5041</v>
      </c>
      <c r="N540" s="235">
        <f t="shared" si="33"/>
        <v>792</v>
      </c>
      <c r="O540" s="235">
        <f t="shared" si="34"/>
        <v>0</v>
      </c>
      <c r="P540" s="238" t="s">
        <v>4886</v>
      </c>
      <c r="Q540" s="1" t="s">
        <v>2938</v>
      </c>
      <c r="R540" s="239" t="s">
        <v>2784</v>
      </c>
      <c r="S540" s="238" t="s">
        <v>2785</v>
      </c>
      <c r="T540" s="238" t="s">
        <v>2786</v>
      </c>
      <c r="U540" s="238" t="s">
        <v>2959</v>
      </c>
      <c r="V540" s="238" t="s">
        <v>5640</v>
      </c>
      <c r="W540" s="236" t="s">
        <v>5640</v>
      </c>
      <c r="X540" s="233" t="s">
        <v>5640</v>
      </c>
      <c r="Y540" s="255"/>
      <c r="AB540" s="1" t="s">
        <v>2527</v>
      </c>
    </row>
    <row r="541" spans="1:28" ht="11.25" customHeight="1">
      <c r="A541" s="233">
        <v>41138</v>
      </c>
      <c r="B541" s="1" t="s">
        <v>2565</v>
      </c>
      <c r="C541" s="1" t="s">
        <v>2080</v>
      </c>
      <c r="D541" s="1" t="s">
        <v>305</v>
      </c>
      <c r="E541" s="1">
        <v>1270</v>
      </c>
      <c r="F541" s="5">
        <v>100</v>
      </c>
      <c r="G541" s="1" t="s">
        <v>239</v>
      </c>
      <c r="H541" s="234">
        <v>4.3</v>
      </c>
      <c r="I541" s="235">
        <f t="shared" si="35"/>
        <v>430</v>
      </c>
      <c r="J541" s="351"/>
      <c r="K541" s="241">
        <f>4.14*F541</f>
        <v>413.99999999999994</v>
      </c>
      <c r="L541" s="237">
        <v>41183</v>
      </c>
      <c r="M541" s="1" t="s">
        <v>2327</v>
      </c>
      <c r="N541" s="235">
        <f t="shared" si="33"/>
        <v>430</v>
      </c>
      <c r="O541" s="235">
        <f t="shared" si="34"/>
        <v>0</v>
      </c>
      <c r="P541" s="238" t="s">
        <v>2960</v>
      </c>
      <c r="Q541" s="1" t="s">
        <v>1863</v>
      </c>
      <c r="R541" s="239" t="s">
        <v>2567</v>
      </c>
      <c r="S541" s="238" t="s">
        <v>2568</v>
      </c>
      <c r="T541" s="238" t="s">
        <v>773</v>
      </c>
      <c r="V541" s="238" t="s">
        <v>2488</v>
      </c>
      <c r="Y541" s="255"/>
      <c r="AA541" s="240" t="s">
        <v>2570</v>
      </c>
      <c r="AB541" s="1" t="s">
        <v>2527</v>
      </c>
    </row>
    <row r="542" spans="1:28" ht="11.25" customHeight="1">
      <c r="A542" s="233">
        <v>41141</v>
      </c>
      <c r="B542" s="5" t="s">
        <v>1290</v>
      </c>
      <c r="C542" s="1" t="s">
        <v>2080</v>
      </c>
      <c r="D542" s="1" t="s">
        <v>1711</v>
      </c>
      <c r="E542" s="1">
        <v>8210</v>
      </c>
      <c r="F542" s="5">
        <v>50</v>
      </c>
      <c r="G542" s="1" t="s">
        <v>2086</v>
      </c>
      <c r="H542" s="234">
        <v>6</v>
      </c>
      <c r="I542" s="235">
        <f t="shared" si="35"/>
        <v>300</v>
      </c>
      <c r="J542" s="351"/>
      <c r="K542" s="241">
        <f>3.78*F542</f>
        <v>189</v>
      </c>
      <c r="L542" s="237">
        <v>41189</v>
      </c>
      <c r="M542" s="1" t="s">
        <v>2327</v>
      </c>
      <c r="N542" s="235">
        <f t="shared" si="33"/>
        <v>300</v>
      </c>
      <c r="O542" s="235">
        <f t="shared" si="34"/>
        <v>0</v>
      </c>
      <c r="P542" s="238" t="s">
        <v>2961</v>
      </c>
      <c r="Q542" s="1" t="s">
        <v>2962</v>
      </c>
      <c r="R542" s="239" t="s">
        <v>2963</v>
      </c>
      <c r="S542" s="238" t="s">
        <v>2964</v>
      </c>
      <c r="T542" s="238" t="s">
        <v>2965</v>
      </c>
      <c r="U542" s="238" t="s">
        <v>2966</v>
      </c>
      <c r="V542" s="238" t="s">
        <v>2488</v>
      </c>
      <c r="Y542" s="255"/>
      <c r="AB542" s="1" t="s">
        <v>2079</v>
      </c>
    </row>
    <row r="543" spans="1:28" ht="11.25" customHeight="1">
      <c r="A543" s="233">
        <v>41141</v>
      </c>
      <c r="B543" s="5" t="s">
        <v>1290</v>
      </c>
      <c r="C543" s="1" t="s">
        <v>2080</v>
      </c>
      <c r="D543" s="1" t="s">
        <v>1210</v>
      </c>
      <c r="E543" s="1">
        <v>3200</v>
      </c>
      <c r="F543" s="5">
        <v>5</v>
      </c>
      <c r="G543" s="1" t="s">
        <v>2086</v>
      </c>
      <c r="H543" s="234">
        <v>40.700000000000003</v>
      </c>
      <c r="I543" s="235">
        <f t="shared" ref="I543:I575" si="36">H543*F543</f>
        <v>203.5</v>
      </c>
      <c r="J543" s="351">
        <v>28.3</v>
      </c>
      <c r="K543" s="241">
        <f>28.3*F543</f>
        <v>141.5</v>
      </c>
      <c r="L543" s="237">
        <v>41189</v>
      </c>
      <c r="M543" s="1" t="s">
        <v>2327</v>
      </c>
      <c r="N543" s="235">
        <f t="shared" si="33"/>
        <v>203.5</v>
      </c>
      <c r="O543" s="235">
        <f t="shared" si="34"/>
        <v>0</v>
      </c>
      <c r="P543" s="238" t="s">
        <v>2961</v>
      </c>
      <c r="Q543" s="1" t="s">
        <v>1262</v>
      </c>
      <c r="R543" s="239" t="s">
        <v>2963</v>
      </c>
      <c r="S543" s="238" t="s">
        <v>2964</v>
      </c>
      <c r="T543" s="238" t="s">
        <v>2965</v>
      </c>
      <c r="U543" s="238" t="s">
        <v>2966</v>
      </c>
      <c r="V543" s="238" t="s">
        <v>2488</v>
      </c>
      <c r="Y543" s="255"/>
      <c r="AB543" s="1" t="s">
        <v>2079</v>
      </c>
    </row>
    <row r="544" spans="1:28" ht="11.25" customHeight="1">
      <c r="A544" s="233">
        <v>41141</v>
      </c>
      <c r="B544" s="5" t="s">
        <v>1290</v>
      </c>
      <c r="C544" s="1" t="s">
        <v>2080</v>
      </c>
      <c r="D544" s="1" t="s">
        <v>232</v>
      </c>
      <c r="E544" s="1" t="s">
        <v>2615</v>
      </c>
      <c r="F544" s="5">
        <v>105</v>
      </c>
      <c r="G544" s="1" t="s">
        <v>231</v>
      </c>
      <c r="H544" s="234">
        <v>2.6</v>
      </c>
      <c r="I544" s="236">
        <f t="shared" si="36"/>
        <v>273</v>
      </c>
      <c r="J544" s="352">
        <v>1.827</v>
      </c>
      <c r="K544" s="241">
        <f>1.827*70+1.7*35</f>
        <v>187.39</v>
      </c>
      <c r="L544" s="237">
        <v>41141</v>
      </c>
      <c r="M544" s="1" t="s">
        <v>2327</v>
      </c>
      <c r="N544" s="235">
        <f t="shared" si="33"/>
        <v>273</v>
      </c>
      <c r="O544" s="235">
        <f t="shared" si="34"/>
        <v>0</v>
      </c>
      <c r="P544" s="238" t="s">
        <v>2961</v>
      </c>
      <c r="Q544" s="1" t="s">
        <v>2962</v>
      </c>
      <c r="R544" s="239" t="s">
        <v>2963</v>
      </c>
      <c r="S544" s="238" t="s">
        <v>2964</v>
      </c>
      <c r="T544" s="238" t="s">
        <v>2965</v>
      </c>
      <c r="U544" s="238" t="s">
        <v>2966</v>
      </c>
      <c r="V544" s="238" t="s">
        <v>2488</v>
      </c>
      <c r="Y544" s="255"/>
      <c r="AB544" s="1" t="s">
        <v>2079</v>
      </c>
    </row>
    <row r="545" spans="1:28" ht="11.25" customHeight="1">
      <c r="A545" s="233">
        <v>41141</v>
      </c>
      <c r="B545" s="5" t="s">
        <v>1290</v>
      </c>
      <c r="C545" s="1" t="s">
        <v>2080</v>
      </c>
      <c r="D545" s="1" t="s">
        <v>346</v>
      </c>
      <c r="E545" s="1">
        <v>3700</v>
      </c>
      <c r="F545" s="5">
        <v>5</v>
      </c>
      <c r="G545" s="1" t="s">
        <v>229</v>
      </c>
      <c r="H545" s="234">
        <v>7.5</v>
      </c>
      <c r="I545" s="236">
        <f t="shared" si="36"/>
        <v>37.5</v>
      </c>
      <c r="J545" s="351">
        <v>3.3</v>
      </c>
      <c r="K545" s="241">
        <f>3.3*F545</f>
        <v>16.5</v>
      </c>
      <c r="L545" s="237">
        <v>41141</v>
      </c>
      <c r="M545" s="1" t="s">
        <v>2327</v>
      </c>
      <c r="N545" s="235">
        <f t="shared" si="33"/>
        <v>37.5</v>
      </c>
      <c r="O545" s="235">
        <f t="shared" si="34"/>
        <v>0</v>
      </c>
      <c r="P545" s="238" t="s">
        <v>2961</v>
      </c>
      <c r="Q545" s="1" t="s">
        <v>2962</v>
      </c>
      <c r="R545" s="239" t="s">
        <v>2963</v>
      </c>
      <c r="S545" s="238" t="s">
        <v>2964</v>
      </c>
      <c r="T545" s="238" t="s">
        <v>2965</v>
      </c>
      <c r="U545" s="238" t="s">
        <v>2966</v>
      </c>
      <c r="V545" s="238" t="s">
        <v>2488</v>
      </c>
      <c r="Y545" s="255"/>
      <c r="AB545" s="1" t="s">
        <v>2079</v>
      </c>
    </row>
    <row r="546" spans="1:28" ht="11.25" customHeight="1">
      <c r="A546" s="233">
        <v>41141</v>
      </c>
      <c r="B546" s="1" t="s">
        <v>2565</v>
      </c>
      <c r="C546" s="1" t="s">
        <v>2080</v>
      </c>
      <c r="D546" s="1" t="s">
        <v>825</v>
      </c>
      <c r="E546" s="1" t="s">
        <v>2790</v>
      </c>
      <c r="F546" s="5">
        <v>300</v>
      </c>
      <c r="G546" s="1" t="s">
        <v>2490</v>
      </c>
      <c r="H546" s="234">
        <v>5.6</v>
      </c>
      <c r="I546" s="235">
        <f t="shared" si="36"/>
        <v>1680</v>
      </c>
      <c r="J546" s="351"/>
      <c r="K546" s="241">
        <f>5*F546</f>
        <v>1500</v>
      </c>
      <c r="L546" s="237">
        <v>41183</v>
      </c>
      <c r="M546" s="1" t="s">
        <v>2327</v>
      </c>
      <c r="N546" s="235">
        <f t="shared" si="33"/>
        <v>1680</v>
      </c>
      <c r="O546" s="235">
        <f t="shared" si="34"/>
        <v>0</v>
      </c>
      <c r="P546" s="238" t="s">
        <v>2967</v>
      </c>
      <c r="Q546" s="1" t="s">
        <v>2968</v>
      </c>
      <c r="R546" s="239" t="s">
        <v>2567</v>
      </c>
      <c r="S546" s="238" t="s">
        <v>2568</v>
      </c>
      <c r="T546" s="238" t="s">
        <v>773</v>
      </c>
      <c r="U546" s="238" t="s">
        <v>2969</v>
      </c>
      <c r="V546" s="238" t="s">
        <v>2488</v>
      </c>
      <c r="Y546" s="255"/>
      <c r="AA546" s="240" t="s">
        <v>2570</v>
      </c>
      <c r="AB546" s="1" t="s">
        <v>2527</v>
      </c>
    </row>
    <row r="547" spans="1:28" ht="11.25" customHeight="1">
      <c r="A547" s="233">
        <v>41141</v>
      </c>
      <c r="B547" s="1" t="s">
        <v>2565</v>
      </c>
      <c r="C547" s="1" t="s">
        <v>2080</v>
      </c>
      <c r="D547" s="1" t="s">
        <v>2027</v>
      </c>
      <c r="E547" s="1" t="s">
        <v>2970</v>
      </c>
      <c r="F547" s="5">
        <v>5</v>
      </c>
      <c r="G547" s="1" t="s">
        <v>2490</v>
      </c>
      <c r="H547" s="234">
        <v>6.66</v>
      </c>
      <c r="I547" s="235">
        <f t="shared" si="36"/>
        <v>33.299999999999997</v>
      </c>
      <c r="J547" s="351">
        <v>4.78</v>
      </c>
      <c r="K547" s="241">
        <f>5*F547</f>
        <v>25</v>
      </c>
      <c r="L547" s="237">
        <v>41183</v>
      </c>
      <c r="M547" s="1" t="s">
        <v>2327</v>
      </c>
      <c r="N547" s="235">
        <f t="shared" si="33"/>
        <v>33.299999999999997</v>
      </c>
      <c r="O547" s="235">
        <f t="shared" si="34"/>
        <v>0</v>
      </c>
      <c r="P547" s="238" t="s">
        <v>2967</v>
      </c>
      <c r="Q547" s="1" t="s">
        <v>2968</v>
      </c>
      <c r="R547" s="239" t="s">
        <v>2567</v>
      </c>
      <c r="S547" s="238" t="s">
        <v>2568</v>
      </c>
      <c r="T547" s="238" t="s">
        <v>773</v>
      </c>
      <c r="U547" s="238" t="s">
        <v>2969</v>
      </c>
      <c r="V547" s="238" t="s">
        <v>2488</v>
      </c>
      <c r="Y547" s="255"/>
      <c r="AA547" s="240" t="s">
        <v>2570</v>
      </c>
      <c r="AB547" s="1" t="s">
        <v>2527</v>
      </c>
    </row>
    <row r="548" spans="1:28" ht="11.25" customHeight="1">
      <c r="A548" s="233">
        <v>41141</v>
      </c>
      <c r="B548" s="1" t="s">
        <v>2565</v>
      </c>
      <c r="C548" s="1" t="s">
        <v>2080</v>
      </c>
      <c r="D548" s="1" t="s">
        <v>305</v>
      </c>
      <c r="E548" s="1">
        <v>1270</v>
      </c>
      <c r="F548" s="5">
        <v>100</v>
      </c>
      <c r="G548" s="1" t="s">
        <v>2398</v>
      </c>
      <c r="H548" s="234">
        <v>4.3</v>
      </c>
      <c r="I548" s="236">
        <f t="shared" si="36"/>
        <v>430</v>
      </c>
      <c r="J548" s="351"/>
      <c r="K548" s="241">
        <f>4.14*F548</f>
        <v>413.99999999999994</v>
      </c>
      <c r="L548" s="237">
        <v>41215</v>
      </c>
      <c r="M548" s="1" t="s">
        <v>2327</v>
      </c>
      <c r="N548" s="235">
        <f t="shared" si="33"/>
        <v>430</v>
      </c>
      <c r="O548" s="235">
        <f t="shared" si="34"/>
        <v>0</v>
      </c>
      <c r="P548" s="238" t="s">
        <v>2967</v>
      </c>
      <c r="Q548" s="1" t="s">
        <v>2968</v>
      </c>
      <c r="R548" s="239" t="s">
        <v>2567</v>
      </c>
      <c r="S548" s="238" t="s">
        <v>2568</v>
      </c>
      <c r="T548" s="238" t="s">
        <v>773</v>
      </c>
      <c r="U548" s="238" t="s">
        <v>2969</v>
      </c>
      <c r="V548" s="238" t="s">
        <v>2488</v>
      </c>
      <c r="Y548" s="255"/>
      <c r="AA548" s="240" t="s">
        <v>2570</v>
      </c>
      <c r="AB548" s="1" t="s">
        <v>2527</v>
      </c>
    </row>
    <row r="549" spans="1:28" ht="11.25" customHeight="1">
      <c r="A549" s="233">
        <v>41141</v>
      </c>
      <c r="B549" s="1" t="s">
        <v>2971</v>
      </c>
      <c r="C549" s="1" t="s">
        <v>2080</v>
      </c>
      <c r="D549" s="1" t="s">
        <v>1867</v>
      </c>
      <c r="E549" s="1">
        <v>6006</v>
      </c>
      <c r="F549" s="5">
        <v>6</v>
      </c>
      <c r="G549" s="1" t="s">
        <v>2086</v>
      </c>
      <c r="H549" s="234">
        <v>50</v>
      </c>
      <c r="I549" s="236">
        <f t="shared" si="36"/>
        <v>300</v>
      </c>
      <c r="J549" s="351"/>
      <c r="K549" s="261">
        <f>46.53*F549</f>
        <v>279.18</v>
      </c>
      <c r="L549" s="237">
        <v>41152</v>
      </c>
      <c r="M549" s="1" t="s">
        <v>2327</v>
      </c>
      <c r="N549" s="235">
        <f t="shared" si="33"/>
        <v>300</v>
      </c>
      <c r="O549" s="235">
        <f t="shared" si="34"/>
        <v>0</v>
      </c>
      <c r="P549" s="238" t="s">
        <v>2972</v>
      </c>
      <c r="Q549" s="1" t="s">
        <v>2212</v>
      </c>
      <c r="R549" s="265" t="s">
        <v>68</v>
      </c>
      <c r="S549" s="265" t="s">
        <v>2973</v>
      </c>
      <c r="T549" s="238" t="s">
        <v>67</v>
      </c>
      <c r="U549" s="238" t="s">
        <v>6310</v>
      </c>
      <c r="V549" s="238" t="s">
        <v>2974</v>
      </c>
      <c r="Y549" s="255"/>
      <c r="Z549" s="255" t="s">
        <v>2975</v>
      </c>
      <c r="AB549" s="1" t="s">
        <v>2976</v>
      </c>
    </row>
    <row r="550" spans="1:28" ht="11.25" customHeight="1">
      <c r="A550" s="233">
        <v>41142</v>
      </c>
      <c r="B550" s="1" t="s">
        <v>2977</v>
      </c>
      <c r="C550" s="1" t="s">
        <v>2978</v>
      </c>
      <c r="D550" s="1" t="s">
        <v>2979</v>
      </c>
      <c r="E550" s="1">
        <v>9032</v>
      </c>
      <c r="F550" s="5">
        <v>50</v>
      </c>
      <c r="G550" s="1" t="s">
        <v>2980</v>
      </c>
      <c r="H550" s="234">
        <v>2.2999999999999998</v>
      </c>
      <c r="I550" s="236">
        <f t="shared" si="36"/>
        <v>114.99999999999999</v>
      </c>
      <c r="J550" s="351"/>
      <c r="K550" s="241">
        <f>1.49292*F550</f>
        <v>74.646000000000001</v>
      </c>
      <c r="L550" s="237">
        <v>41142</v>
      </c>
      <c r="M550" s="1" t="s">
        <v>2981</v>
      </c>
      <c r="N550" s="235">
        <f t="shared" si="33"/>
        <v>114.99999999999999</v>
      </c>
      <c r="O550" s="235">
        <f t="shared" si="34"/>
        <v>0</v>
      </c>
      <c r="P550" s="238" t="s">
        <v>2982</v>
      </c>
      <c r="Q550" s="1" t="s">
        <v>2983</v>
      </c>
      <c r="R550" s="239" t="s">
        <v>2984</v>
      </c>
      <c r="S550" s="238" t="s">
        <v>2985</v>
      </c>
      <c r="T550" s="238" t="s">
        <v>2986</v>
      </c>
      <c r="U550" s="238" t="s">
        <v>2987</v>
      </c>
      <c r="V550" s="238" t="s">
        <v>2974</v>
      </c>
      <c r="Y550" s="255"/>
      <c r="AB550" s="1" t="s">
        <v>2988</v>
      </c>
    </row>
    <row r="551" spans="1:28" ht="11.25" customHeight="1">
      <c r="A551" s="233">
        <v>41142</v>
      </c>
      <c r="B551" s="1" t="s">
        <v>2977</v>
      </c>
      <c r="C551" s="1" t="s">
        <v>2978</v>
      </c>
      <c r="D551" s="1" t="s">
        <v>2989</v>
      </c>
      <c r="E551" s="1" t="s">
        <v>2990</v>
      </c>
      <c r="F551" s="5">
        <v>3</v>
      </c>
      <c r="G551" s="1" t="s">
        <v>2991</v>
      </c>
      <c r="H551" s="234">
        <v>65</v>
      </c>
      <c r="I551" s="236">
        <f t="shared" si="36"/>
        <v>195</v>
      </c>
      <c r="J551" s="351"/>
      <c r="K551" s="241">
        <f>42.939*F551</f>
        <v>128.81700000000001</v>
      </c>
      <c r="L551" s="237">
        <v>41142</v>
      </c>
      <c r="M551" s="1" t="s">
        <v>2981</v>
      </c>
      <c r="N551" s="235">
        <f t="shared" si="33"/>
        <v>195</v>
      </c>
      <c r="O551" s="235">
        <f t="shared" si="34"/>
        <v>0</v>
      </c>
      <c r="P551" s="238" t="s">
        <v>2982</v>
      </c>
      <c r="Q551" s="1" t="s">
        <v>2983</v>
      </c>
      <c r="R551" s="239" t="s">
        <v>2984</v>
      </c>
      <c r="S551" s="238" t="s">
        <v>2985</v>
      </c>
      <c r="T551" s="238" t="s">
        <v>2986</v>
      </c>
      <c r="U551" s="238" t="s">
        <v>2987</v>
      </c>
      <c r="V551" s="238" t="s">
        <v>2974</v>
      </c>
      <c r="Y551" s="255"/>
      <c r="AB551" s="1" t="s">
        <v>2988</v>
      </c>
    </row>
    <row r="552" spans="1:28" ht="11.25" customHeight="1">
      <c r="A552" s="233">
        <v>41142</v>
      </c>
      <c r="B552" s="1" t="s">
        <v>2977</v>
      </c>
      <c r="C552" s="1" t="s">
        <v>2978</v>
      </c>
      <c r="D552" s="1" t="s">
        <v>2992</v>
      </c>
      <c r="E552" s="1">
        <v>1100</v>
      </c>
      <c r="F552" s="5">
        <v>20</v>
      </c>
      <c r="G552" s="1" t="s">
        <v>2993</v>
      </c>
      <c r="H552" s="234">
        <v>1</v>
      </c>
      <c r="I552" s="236">
        <f t="shared" si="36"/>
        <v>20</v>
      </c>
      <c r="J552" s="351"/>
      <c r="K552" s="261">
        <f>0.77*F552</f>
        <v>15.4</v>
      </c>
      <c r="L552" s="237">
        <v>41142</v>
      </c>
      <c r="M552" s="1" t="s">
        <v>2981</v>
      </c>
      <c r="N552" s="235">
        <f t="shared" si="33"/>
        <v>20</v>
      </c>
      <c r="O552" s="235">
        <f t="shared" si="34"/>
        <v>0</v>
      </c>
      <c r="P552" s="238" t="s">
        <v>2982</v>
      </c>
      <c r="Q552" s="1" t="s">
        <v>2983</v>
      </c>
      <c r="R552" s="239" t="s">
        <v>2984</v>
      </c>
      <c r="S552" s="238" t="s">
        <v>2985</v>
      </c>
      <c r="T552" s="238" t="s">
        <v>2986</v>
      </c>
      <c r="U552" s="238" t="s">
        <v>2987</v>
      </c>
      <c r="V552" s="238" t="s">
        <v>2974</v>
      </c>
      <c r="Y552" s="255"/>
      <c r="Z552" s="255" t="s">
        <v>2975</v>
      </c>
      <c r="AB552" s="1" t="s">
        <v>2988</v>
      </c>
    </row>
    <row r="553" spans="1:28" ht="11.25" customHeight="1">
      <c r="A553" s="233">
        <v>41142</v>
      </c>
      <c r="B553" s="1" t="s">
        <v>2977</v>
      </c>
      <c r="C553" s="1" t="s">
        <v>2978</v>
      </c>
      <c r="D553" s="1" t="s">
        <v>2994</v>
      </c>
      <c r="E553" s="1" t="s">
        <v>2995</v>
      </c>
      <c r="F553" s="5">
        <v>2</v>
      </c>
      <c r="G553" s="1" t="s">
        <v>243</v>
      </c>
      <c r="H553" s="234">
        <v>26</v>
      </c>
      <c r="I553" s="236">
        <f t="shared" si="36"/>
        <v>52</v>
      </c>
      <c r="J553" s="351"/>
      <c r="K553" s="261">
        <f>17.79*F553</f>
        <v>35.58</v>
      </c>
      <c r="L553" s="237">
        <v>41142</v>
      </c>
      <c r="M553" s="1" t="s">
        <v>2981</v>
      </c>
      <c r="N553" s="235">
        <f t="shared" si="33"/>
        <v>52</v>
      </c>
      <c r="O553" s="235">
        <f t="shared" si="34"/>
        <v>0</v>
      </c>
      <c r="P553" s="238" t="s">
        <v>2982</v>
      </c>
      <c r="Q553" s="1" t="s">
        <v>2983</v>
      </c>
      <c r="R553" s="239" t="s">
        <v>2984</v>
      </c>
      <c r="S553" s="238" t="s">
        <v>2985</v>
      </c>
      <c r="T553" s="238" t="s">
        <v>2986</v>
      </c>
      <c r="U553" s="238" t="s">
        <v>2987</v>
      </c>
      <c r="V553" s="238" t="s">
        <v>2974</v>
      </c>
      <c r="Y553" s="255"/>
      <c r="Z553" s="255" t="s">
        <v>2975</v>
      </c>
      <c r="AB553" s="1" t="s">
        <v>2988</v>
      </c>
    </row>
    <row r="554" spans="1:28" ht="11.25" customHeight="1">
      <c r="A554" s="233">
        <v>41142</v>
      </c>
      <c r="B554" s="1" t="s">
        <v>2996</v>
      </c>
      <c r="C554" s="1" t="s">
        <v>2978</v>
      </c>
      <c r="D554" s="1" t="s">
        <v>232</v>
      </c>
      <c r="E554" s="1" t="s">
        <v>2997</v>
      </c>
      <c r="F554" s="5">
        <v>2200</v>
      </c>
      <c r="G554" s="1" t="s">
        <v>231</v>
      </c>
      <c r="H554" s="234">
        <v>1.8</v>
      </c>
      <c r="I554" s="236">
        <f t="shared" si="36"/>
        <v>3960</v>
      </c>
      <c r="J554" s="352">
        <v>1.7</v>
      </c>
      <c r="K554" s="241">
        <f>1.7*F554</f>
        <v>3740</v>
      </c>
      <c r="L554" s="237">
        <v>41142</v>
      </c>
      <c r="M554" s="1" t="s">
        <v>2998</v>
      </c>
      <c r="N554" s="235">
        <f t="shared" si="33"/>
        <v>3960</v>
      </c>
      <c r="O554" s="235">
        <f t="shared" si="34"/>
        <v>0</v>
      </c>
      <c r="P554" s="238" t="s">
        <v>2999</v>
      </c>
      <c r="Q554" s="1" t="s">
        <v>3000</v>
      </c>
      <c r="R554" s="239" t="s">
        <v>635</v>
      </c>
      <c r="S554" s="238" t="s">
        <v>636</v>
      </c>
      <c r="T554" s="238" t="s">
        <v>72</v>
      </c>
      <c r="U554" s="238" t="s">
        <v>3001</v>
      </c>
      <c r="V554" s="238" t="s">
        <v>3002</v>
      </c>
      <c r="W554" s="236">
        <v>10200</v>
      </c>
      <c r="X554" s="233">
        <v>41163</v>
      </c>
      <c r="Y554" s="238" t="s">
        <v>3003</v>
      </c>
      <c r="AB554" s="1" t="s">
        <v>377</v>
      </c>
    </row>
    <row r="555" spans="1:28" ht="11.25" customHeight="1">
      <c r="A555" s="233">
        <v>41142</v>
      </c>
      <c r="B555" s="1" t="s">
        <v>2996</v>
      </c>
      <c r="C555" s="1" t="s">
        <v>2978</v>
      </c>
      <c r="D555" s="1" t="s">
        <v>1210</v>
      </c>
      <c r="E555" s="1">
        <v>3200</v>
      </c>
      <c r="F555" s="5">
        <v>200</v>
      </c>
      <c r="G555" s="1" t="s">
        <v>2980</v>
      </c>
      <c r="H555" s="234">
        <v>27.71</v>
      </c>
      <c r="I555" s="236">
        <f t="shared" si="36"/>
        <v>5542</v>
      </c>
      <c r="J555" s="351">
        <v>26</v>
      </c>
      <c r="K555" s="241">
        <f>26*F555</f>
        <v>5200</v>
      </c>
      <c r="L555" s="237">
        <v>41142</v>
      </c>
      <c r="M555" s="1" t="s">
        <v>2998</v>
      </c>
      <c r="N555" s="235">
        <f t="shared" si="33"/>
        <v>5542</v>
      </c>
      <c r="O555" s="235">
        <f t="shared" si="34"/>
        <v>0</v>
      </c>
      <c r="P555" s="238" t="s">
        <v>2999</v>
      </c>
      <c r="Q555" s="1" t="s">
        <v>1258</v>
      </c>
      <c r="R555" s="239" t="s">
        <v>635</v>
      </c>
      <c r="S555" s="238" t="s">
        <v>636</v>
      </c>
      <c r="T555" s="238" t="s">
        <v>72</v>
      </c>
      <c r="U555" s="238" t="s">
        <v>3001</v>
      </c>
      <c r="V555" s="238" t="s">
        <v>3002</v>
      </c>
      <c r="W555" s="236">
        <v>10200</v>
      </c>
      <c r="X555" s="233">
        <v>41163</v>
      </c>
      <c r="Y555" s="238" t="s">
        <v>3003</v>
      </c>
      <c r="AB555" s="1" t="s">
        <v>377</v>
      </c>
    </row>
    <row r="556" spans="1:28" ht="11.25" customHeight="1">
      <c r="A556" s="233">
        <v>41142</v>
      </c>
      <c r="B556" s="1" t="s">
        <v>2996</v>
      </c>
      <c r="C556" s="1" t="s">
        <v>2978</v>
      </c>
      <c r="D556" s="1" t="s">
        <v>346</v>
      </c>
      <c r="E556" s="1">
        <v>3700</v>
      </c>
      <c r="F556" s="5">
        <v>200</v>
      </c>
      <c r="G556" s="1" t="s">
        <v>229</v>
      </c>
      <c r="H556" s="234">
        <v>3.49</v>
      </c>
      <c r="I556" s="236">
        <f t="shared" si="36"/>
        <v>698</v>
      </c>
      <c r="J556" s="351">
        <v>3.3</v>
      </c>
      <c r="K556" s="241">
        <f>3.3*F556</f>
        <v>660</v>
      </c>
      <c r="L556" s="237">
        <v>41142</v>
      </c>
      <c r="M556" s="1" t="s">
        <v>2998</v>
      </c>
      <c r="N556" s="235">
        <f t="shared" si="33"/>
        <v>698</v>
      </c>
      <c r="O556" s="235">
        <f t="shared" si="34"/>
        <v>0</v>
      </c>
      <c r="P556" s="238" t="s">
        <v>2999</v>
      </c>
      <c r="Q556" s="1" t="s">
        <v>3000</v>
      </c>
      <c r="R556" s="239" t="s">
        <v>635</v>
      </c>
      <c r="S556" s="238" t="s">
        <v>636</v>
      </c>
      <c r="T556" s="238" t="s">
        <v>72</v>
      </c>
      <c r="U556" s="238" t="s">
        <v>3001</v>
      </c>
      <c r="V556" s="238" t="s">
        <v>3002</v>
      </c>
      <c r="W556" s="236">
        <v>10200</v>
      </c>
      <c r="X556" s="233">
        <v>41163</v>
      </c>
      <c r="Y556" s="238" t="s">
        <v>3003</v>
      </c>
      <c r="AB556" s="1" t="s">
        <v>377</v>
      </c>
    </row>
    <row r="557" spans="1:28" ht="11.25" customHeight="1">
      <c r="A557" s="233">
        <v>41142</v>
      </c>
      <c r="B557" s="1" t="s">
        <v>74</v>
      </c>
      <c r="C557" s="1" t="s">
        <v>2978</v>
      </c>
      <c r="D557" s="5" t="s">
        <v>3004</v>
      </c>
      <c r="E557" s="1">
        <v>7502</v>
      </c>
      <c r="F557" s="5">
        <v>2</v>
      </c>
      <c r="G557" s="232" t="s">
        <v>3005</v>
      </c>
      <c r="H557" s="234">
        <v>186</v>
      </c>
      <c r="I557" s="236">
        <f t="shared" si="36"/>
        <v>372</v>
      </c>
      <c r="J557" s="351">
        <v>106</v>
      </c>
      <c r="K557" s="266">
        <f>106*F557</f>
        <v>212</v>
      </c>
      <c r="L557" s="237">
        <v>41142</v>
      </c>
      <c r="M557" s="1" t="s">
        <v>2998</v>
      </c>
      <c r="N557" s="235">
        <f t="shared" si="33"/>
        <v>372</v>
      </c>
      <c r="O557" s="235">
        <f t="shared" si="34"/>
        <v>0</v>
      </c>
      <c r="P557" s="238" t="s">
        <v>3006</v>
      </c>
      <c r="Q557" s="1" t="s">
        <v>3007</v>
      </c>
      <c r="R557" s="10" t="s">
        <v>75</v>
      </c>
      <c r="S557" s="10">
        <v>13765135488</v>
      </c>
      <c r="T557" s="10" t="s">
        <v>76</v>
      </c>
      <c r="U557" s="238" t="s">
        <v>3008</v>
      </c>
      <c r="V557" s="238" t="s">
        <v>3009</v>
      </c>
      <c r="W557" s="236">
        <v>1062</v>
      </c>
      <c r="X557" s="233">
        <v>41142</v>
      </c>
      <c r="Y557" s="255">
        <v>23155078449</v>
      </c>
      <c r="AA557" s="240" t="s">
        <v>3010</v>
      </c>
      <c r="AB557" s="1" t="s">
        <v>3011</v>
      </c>
    </row>
    <row r="558" spans="1:28" ht="11.25" customHeight="1">
      <c r="A558" s="233">
        <v>41142</v>
      </c>
      <c r="B558" s="1" t="s">
        <v>74</v>
      </c>
      <c r="C558" s="1" t="s">
        <v>3012</v>
      </c>
      <c r="D558" s="1" t="s">
        <v>353</v>
      </c>
      <c r="E558" s="1" t="s">
        <v>3013</v>
      </c>
      <c r="F558" s="5">
        <v>4</v>
      </c>
      <c r="G558" s="232" t="s">
        <v>3014</v>
      </c>
      <c r="H558" s="234">
        <v>29.48</v>
      </c>
      <c r="I558" s="236">
        <f t="shared" si="36"/>
        <v>117.92</v>
      </c>
      <c r="J558" s="351">
        <v>17.5</v>
      </c>
      <c r="K558" s="266">
        <f>17.5*F558</f>
        <v>70</v>
      </c>
      <c r="L558" s="237">
        <v>41142</v>
      </c>
      <c r="M558" s="1" t="s">
        <v>3015</v>
      </c>
      <c r="N558" s="235">
        <f t="shared" si="33"/>
        <v>117.92</v>
      </c>
      <c r="O558" s="235">
        <f t="shared" si="34"/>
        <v>0</v>
      </c>
      <c r="P558" s="238" t="s">
        <v>3016</v>
      </c>
      <c r="Q558" s="1" t="s">
        <v>3017</v>
      </c>
      <c r="R558" s="10" t="s">
        <v>75</v>
      </c>
      <c r="S558" s="10">
        <v>13765135488</v>
      </c>
      <c r="T558" s="10" t="s">
        <v>76</v>
      </c>
      <c r="U558" s="238" t="s">
        <v>3008</v>
      </c>
      <c r="V558" s="238" t="s">
        <v>3009</v>
      </c>
      <c r="W558" s="236">
        <v>1062</v>
      </c>
      <c r="X558" s="233">
        <v>41142</v>
      </c>
      <c r="Y558" s="255">
        <v>23155078449</v>
      </c>
      <c r="AA558" s="240" t="s">
        <v>3010</v>
      </c>
      <c r="AB558" s="1" t="s">
        <v>3011</v>
      </c>
    </row>
    <row r="559" spans="1:28" ht="11.25" customHeight="1">
      <c r="A559" s="233">
        <v>41142</v>
      </c>
      <c r="B559" s="1" t="s">
        <v>74</v>
      </c>
      <c r="C559" s="1" t="s">
        <v>3012</v>
      </c>
      <c r="D559" s="1" t="s">
        <v>1220</v>
      </c>
      <c r="E559" s="1">
        <v>6005</v>
      </c>
      <c r="F559" s="5">
        <v>8</v>
      </c>
      <c r="G559" s="232" t="s">
        <v>3014</v>
      </c>
      <c r="H559" s="234">
        <v>60.26</v>
      </c>
      <c r="I559" s="236">
        <f t="shared" si="36"/>
        <v>482.08</v>
      </c>
      <c r="J559" s="351"/>
      <c r="K559" s="266">
        <f>40.37*F559</f>
        <v>322.95999999999998</v>
      </c>
      <c r="L559" s="237">
        <v>41142</v>
      </c>
      <c r="M559" s="1" t="s">
        <v>3015</v>
      </c>
      <c r="N559" s="235">
        <f t="shared" si="33"/>
        <v>482.08</v>
      </c>
      <c r="O559" s="235">
        <f t="shared" si="34"/>
        <v>0</v>
      </c>
      <c r="P559" s="238" t="s">
        <v>3016</v>
      </c>
      <c r="Q559" s="1" t="s">
        <v>3017</v>
      </c>
      <c r="R559" s="10" t="s">
        <v>75</v>
      </c>
      <c r="S559" s="10">
        <v>13765135488</v>
      </c>
      <c r="T559" s="10" t="s">
        <v>76</v>
      </c>
      <c r="U559" s="238" t="s">
        <v>3008</v>
      </c>
      <c r="V559" s="238" t="s">
        <v>3009</v>
      </c>
      <c r="W559" s="236">
        <v>1062</v>
      </c>
      <c r="X559" s="233">
        <v>41142</v>
      </c>
      <c r="Y559" s="255">
        <v>23155078449</v>
      </c>
      <c r="AA559" s="240" t="s">
        <v>3010</v>
      </c>
      <c r="AB559" s="1" t="s">
        <v>3011</v>
      </c>
    </row>
    <row r="560" spans="1:28" ht="11.25" customHeight="1">
      <c r="A560" s="233">
        <v>41142</v>
      </c>
      <c r="B560" s="1" t="s">
        <v>74</v>
      </c>
      <c r="C560" s="1" t="s">
        <v>3012</v>
      </c>
      <c r="D560" s="1" t="s">
        <v>3018</v>
      </c>
      <c r="E560" s="1" t="s">
        <v>3019</v>
      </c>
      <c r="F560" s="5">
        <v>2</v>
      </c>
      <c r="G560" s="232" t="s">
        <v>3020</v>
      </c>
      <c r="H560" s="234">
        <v>45</v>
      </c>
      <c r="I560" s="236">
        <f t="shared" si="36"/>
        <v>90</v>
      </c>
      <c r="J560" s="351">
        <v>30.15</v>
      </c>
      <c r="K560" s="266">
        <f>30.15*F560</f>
        <v>60.3</v>
      </c>
      <c r="L560" s="237">
        <v>41142</v>
      </c>
      <c r="M560" s="1" t="s">
        <v>3015</v>
      </c>
      <c r="N560" s="235">
        <f t="shared" si="33"/>
        <v>90</v>
      </c>
      <c r="O560" s="235">
        <f t="shared" si="34"/>
        <v>0</v>
      </c>
      <c r="P560" s="238" t="s">
        <v>3016</v>
      </c>
      <c r="Q560" s="1" t="s">
        <v>3017</v>
      </c>
      <c r="R560" s="10" t="s">
        <v>75</v>
      </c>
      <c r="S560" s="10">
        <v>13765135488</v>
      </c>
      <c r="T560" s="10" t="s">
        <v>76</v>
      </c>
      <c r="U560" s="238" t="s">
        <v>3008</v>
      </c>
      <c r="V560" s="238" t="s">
        <v>3009</v>
      </c>
      <c r="W560" s="236">
        <v>1062</v>
      </c>
      <c r="X560" s="233">
        <v>41142</v>
      </c>
      <c r="Y560" s="255">
        <v>23155078449</v>
      </c>
      <c r="AA560" s="240" t="s">
        <v>3010</v>
      </c>
      <c r="AB560" s="1" t="s">
        <v>3011</v>
      </c>
    </row>
    <row r="561" spans="1:28" ht="11.25" customHeight="1">
      <c r="A561" s="233">
        <v>41142</v>
      </c>
      <c r="B561" s="1" t="s">
        <v>853</v>
      </c>
      <c r="C561" s="1" t="s">
        <v>3012</v>
      </c>
      <c r="D561" s="1" t="s">
        <v>3021</v>
      </c>
      <c r="E561" s="1" t="s">
        <v>3022</v>
      </c>
      <c r="F561" s="5">
        <v>10</v>
      </c>
      <c r="G561" s="232" t="s">
        <v>3023</v>
      </c>
      <c r="H561" s="234">
        <v>38.26</v>
      </c>
      <c r="I561" s="236">
        <f t="shared" ref="I561:I566" si="37">H561*F561</f>
        <v>382.59999999999997</v>
      </c>
      <c r="J561" s="351"/>
      <c r="K561" s="266">
        <f>33.111*F561</f>
        <v>331.10999999999996</v>
      </c>
      <c r="L561" s="237">
        <v>41151</v>
      </c>
      <c r="M561" s="1" t="s">
        <v>3024</v>
      </c>
      <c r="N561" s="235">
        <f t="shared" si="33"/>
        <v>382.59999999999997</v>
      </c>
      <c r="O561" s="235">
        <f t="shared" si="34"/>
        <v>0</v>
      </c>
      <c r="P561" s="238" t="s">
        <v>4886</v>
      </c>
      <c r="Q561" s="1" t="s">
        <v>3025</v>
      </c>
      <c r="R561" s="10" t="s">
        <v>3026</v>
      </c>
      <c r="S561" s="10" t="s">
        <v>396</v>
      </c>
      <c r="T561" s="10" t="s">
        <v>3025</v>
      </c>
      <c r="V561" s="238" t="s">
        <v>3027</v>
      </c>
      <c r="Y561" s="255"/>
      <c r="AB561" s="1" t="s">
        <v>377</v>
      </c>
    </row>
    <row r="562" spans="1:28" ht="11.25" customHeight="1">
      <c r="A562" s="233">
        <v>41142</v>
      </c>
      <c r="B562" s="1" t="s">
        <v>853</v>
      </c>
      <c r="C562" s="1" t="s">
        <v>3012</v>
      </c>
      <c r="D562" s="1" t="s">
        <v>3028</v>
      </c>
      <c r="E562" s="1" t="s">
        <v>3029</v>
      </c>
      <c r="F562" s="5">
        <v>10</v>
      </c>
      <c r="G562" s="232" t="s">
        <v>3023</v>
      </c>
      <c r="H562" s="234">
        <v>49.58</v>
      </c>
      <c r="I562" s="236">
        <f t="shared" si="37"/>
        <v>495.79999999999995</v>
      </c>
      <c r="J562" s="351"/>
      <c r="K562" s="266">
        <f>42.939*F562</f>
        <v>429.39</v>
      </c>
      <c r="L562" s="237">
        <v>41151</v>
      </c>
      <c r="M562" s="1" t="s">
        <v>3024</v>
      </c>
      <c r="N562" s="235">
        <f t="shared" si="33"/>
        <v>495.79999999999995</v>
      </c>
      <c r="O562" s="235">
        <f t="shared" si="34"/>
        <v>0</v>
      </c>
      <c r="P562" s="238" t="s">
        <v>4886</v>
      </c>
      <c r="Q562" s="1" t="s">
        <v>3025</v>
      </c>
      <c r="R562" s="10" t="s">
        <v>3026</v>
      </c>
      <c r="S562" s="10" t="s">
        <v>396</v>
      </c>
      <c r="T562" s="10" t="s">
        <v>3025</v>
      </c>
      <c r="V562" s="238" t="s">
        <v>3027</v>
      </c>
      <c r="Y562" s="255"/>
      <c r="AB562" s="1" t="s">
        <v>377</v>
      </c>
    </row>
    <row r="563" spans="1:28" ht="11.25" customHeight="1">
      <c r="A563" s="233">
        <v>41142</v>
      </c>
      <c r="B563" s="1" t="s">
        <v>853</v>
      </c>
      <c r="C563" s="1" t="s">
        <v>3012</v>
      </c>
      <c r="D563" s="5" t="s">
        <v>854</v>
      </c>
      <c r="E563" s="1">
        <v>9031</v>
      </c>
      <c r="F563" s="5">
        <v>500</v>
      </c>
      <c r="G563" s="232" t="s">
        <v>3030</v>
      </c>
      <c r="H563" s="234">
        <v>1.73</v>
      </c>
      <c r="I563" s="236">
        <f t="shared" si="37"/>
        <v>865</v>
      </c>
      <c r="J563" s="351"/>
      <c r="K563" s="266">
        <f>1.4929*F563</f>
        <v>746.44999999999993</v>
      </c>
      <c r="L563" s="237">
        <v>41151</v>
      </c>
      <c r="M563" s="1" t="s">
        <v>3024</v>
      </c>
      <c r="N563" s="235">
        <f t="shared" si="33"/>
        <v>865</v>
      </c>
      <c r="O563" s="235">
        <f t="shared" si="34"/>
        <v>0</v>
      </c>
      <c r="P563" s="238" t="s">
        <v>4886</v>
      </c>
      <c r="Q563" s="1" t="s">
        <v>3025</v>
      </c>
      <c r="R563" s="10" t="s">
        <v>3026</v>
      </c>
      <c r="S563" s="10" t="s">
        <v>396</v>
      </c>
      <c r="T563" s="10" t="s">
        <v>3025</v>
      </c>
      <c r="V563" s="238" t="s">
        <v>3027</v>
      </c>
      <c r="Y563" s="255"/>
      <c r="AB563" s="1" t="s">
        <v>377</v>
      </c>
    </row>
    <row r="564" spans="1:28" ht="11.25" customHeight="1">
      <c r="A564" s="233">
        <v>41142</v>
      </c>
      <c r="B564" s="1" t="s">
        <v>853</v>
      </c>
      <c r="C564" s="1" t="s">
        <v>3012</v>
      </c>
      <c r="D564" s="1" t="s">
        <v>3031</v>
      </c>
      <c r="E564" s="1">
        <v>9032</v>
      </c>
      <c r="F564" s="5">
        <v>500</v>
      </c>
      <c r="G564" s="1" t="s">
        <v>3032</v>
      </c>
      <c r="H564" s="234">
        <v>1.73</v>
      </c>
      <c r="I564" s="236">
        <f t="shared" si="37"/>
        <v>865</v>
      </c>
      <c r="J564" s="351"/>
      <c r="K564" s="266">
        <f>1.4929*F564</f>
        <v>746.44999999999993</v>
      </c>
      <c r="L564" s="237">
        <v>41151</v>
      </c>
      <c r="M564" s="1" t="s">
        <v>3024</v>
      </c>
      <c r="N564" s="235">
        <f t="shared" si="33"/>
        <v>865</v>
      </c>
      <c r="O564" s="235">
        <f t="shared" si="34"/>
        <v>0</v>
      </c>
      <c r="P564" s="238" t="s">
        <v>4886</v>
      </c>
      <c r="Q564" s="1" t="s">
        <v>3025</v>
      </c>
      <c r="R564" s="10" t="s">
        <v>3026</v>
      </c>
      <c r="S564" s="10" t="s">
        <v>396</v>
      </c>
      <c r="T564" s="10" t="s">
        <v>3025</v>
      </c>
      <c r="V564" s="238" t="s">
        <v>3027</v>
      </c>
      <c r="Y564" s="255"/>
      <c r="AB564" s="1" t="s">
        <v>377</v>
      </c>
    </row>
    <row r="565" spans="1:28" ht="11.25" customHeight="1">
      <c r="A565" s="233">
        <v>41142</v>
      </c>
      <c r="B565" s="1" t="s">
        <v>853</v>
      </c>
      <c r="C565" s="1" t="s">
        <v>3012</v>
      </c>
      <c r="D565" s="1" t="s">
        <v>3033</v>
      </c>
      <c r="E565" s="1" t="s">
        <v>3034</v>
      </c>
      <c r="F565" s="5">
        <v>1</v>
      </c>
      <c r="G565" s="232" t="s">
        <v>3023</v>
      </c>
      <c r="H565" s="234">
        <v>135.13999999999999</v>
      </c>
      <c r="I565" s="236">
        <f t="shared" si="37"/>
        <v>135.13999999999999</v>
      </c>
      <c r="J565" s="351"/>
      <c r="K565" s="266">
        <f>107.64*F565</f>
        <v>107.64</v>
      </c>
      <c r="L565" s="237">
        <v>41151</v>
      </c>
      <c r="M565" s="1" t="s">
        <v>3024</v>
      </c>
      <c r="N565" s="235">
        <f t="shared" si="33"/>
        <v>135.13999999999999</v>
      </c>
      <c r="O565" s="235">
        <f t="shared" si="34"/>
        <v>0</v>
      </c>
      <c r="P565" s="238" t="s">
        <v>4886</v>
      </c>
      <c r="Q565" s="1" t="s">
        <v>3025</v>
      </c>
      <c r="R565" s="10" t="s">
        <v>3026</v>
      </c>
      <c r="S565" s="10" t="s">
        <v>396</v>
      </c>
      <c r="T565" s="10" t="s">
        <v>3025</v>
      </c>
      <c r="V565" s="238" t="s">
        <v>3027</v>
      </c>
      <c r="Y565" s="255"/>
      <c r="AB565" s="1" t="s">
        <v>377</v>
      </c>
    </row>
    <row r="566" spans="1:28" ht="11.25" customHeight="1">
      <c r="A566" s="233">
        <v>41142</v>
      </c>
      <c r="B566" s="1" t="s">
        <v>3035</v>
      </c>
      <c r="C566" s="1" t="s">
        <v>3012</v>
      </c>
      <c r="D566" s="225" t="s">
        <v>3036</v>
      </c>
      <c r="E566" s="1" t="s">
        <v>3037</v>
      </c>
      <c r="F566" s="5">
        <v>1</v>
      </c>
      <c r="G566" s="232" t="s">
        <v>3023</v>
      </c>
      <c r="H566" s="234">
        <v>227.27</v>
      </c>
      <c r="I566" s="236">
        <f t="shared" si="37"/>
        <v>227.27</v>
      </c>
      <c r="J566" s="351"/>
      <c r="K566" s="266">
        <f>181.35*F566</f>
        <v>181.35</v>
      </c>
      <c r="L566" s="237">
        <v>41151</v>
      </c>
      <c r="M566" s="1" t="s">
        <v>3024</v>
      </c>
      <c r="N566" s="235">
        <f t="shared" si="33"/>
        <v>227.27</v>
      </c>
      <c r="O566" s="235">
        <f t="shared" si="34"/>
        <v>0</v>
      </c>
      <c r="P566" s="238" t="s">
        <v>4886</v>
      </c>
      <c r="Q566" s="1" t="s">
        <v>3025</v>
      </c>
      <c r="R566" s="10" t="s">
        <v>3026</v>
      </c>
      <c r="S566" s="10" t="s">
        <v>396</v>
      </c>
      <c r="T566" s="10" t="s">
        <v>3025</v>
      </c>
      <c r="V566" s="238" t="s">
        <v>3027</v>
      </c>
      <c r="Y566" s="255"/>
      <c r="AB566" s="1" t="s">
        <v>377</v>
      </c>
    </row>
    <row r="567" spans="1:28" ht="11.25" customHeight="1">
      <c r="A567" s="233">
        <v>41143</v>
      </c>
      <c r="B567" s="1" t="s">
        <v>464</v>
      </c>
      <c r="C567" s="1" t="s">
        <v>3012</v>
      </c>
      <c r="D567" s="5" t="s">
        <v>2012</v>
      </c>
      <c r="E567" s="1" t="s">
        <v>3038</v>
      </c>
      <c r="F567" s="5">
        <v>1200</v>
      </c>
      <c r="G567" s="1" t="s">
        <v>4970</v>
      </c>
      <c r="H567" s="234">
        <v>1.65</v>
      </c>
      <c r="I567" s="236">
        <f t="shared" si="36"/>
        <v>1980</v>
      </c>
      <c r="J567" s="354">
        <v>1.46</v>
      </c>
      <c r="K567" s="241">
        <f>1.46*F567</f>
        <v>1752</v>
      </c>
      <c r="L567" s="237">
        <v>41145</v>
      </c>
      <c r="M567" s="1" t="s">
        <v>3015</v>
      </c>
      <c r="N567" s="235">
        <f t="shared" si="33"/>
        <v>1980</v>
      </c>
      <c r="O567" s="235">
        <f t="shared" si="34"/>
        <v>0</v>
      </c>
      <c r="P567" s="238" t="s">
        <v>4886</v>
      </c>
      <c r="Q567" s="1" t="s">
        <v>3039</v>
      </c>
      <c r="R567" s="239" t="s">
        <v>469</v>
      </c>
      <c r="S567" s="238" t="s">
        <v>3040</v>
      </c>
      <c r="T567" s="238" t="s">
        <v>3041</v>
      </c>
      <c r="U567" s="238" t="s">
        <v>3042</v>
      </c>
      <c r="V567" s="238" t="s">
        <v>3043</v>
      </c>
      <c r="W567" s="236">
        <v>8352.08</v>
      </c>
      <c r="X567" s="233">
        <v>41145</v>
      </c>
      <c r="Y567" s="238" t="s">
        <v>3044</v>
      </c>
      <c r="AB567" s="1" t="s">
        <v>377</v>
      </c>
    </row>
    <row r="568" spans="1:28" ht="11.25" customHeight="1">
      <c r="A568" s="233">
        <v>41143</v>
      </c>
      <c r="B568" s="1" t="s">
        <v>464</v>
      </c>
      <c r="C568" s="1" t="s">
        <v>2172</v>
      </c>
      <c r="D568" s="1" t="s">
        <v>240</v>
      </c>
      <c r="E568" s="1">
        <v>6200</v>
      </c>
      <c r="F568" s="5">
        <v>100</v>
      </c>
      <c r="G568" s="232" t="s">
        <v>3045</v>
      </c>
      <c r="H568" s="234">
        <v>45.8</v>
      </c>
      <c r="I568" s="236">
        <f t="shared" si="36"/>
        <v>4580</v>
      </c>
      <c r="J568" s="351">
        <v>45</v>
      </c>
      <c r="K568" s="241" t="e">
        <f>#REF!*F568</f>
        <v>#REF!</v>
      </c>
      <c r="L568" s="237">
        <v>41145</v>
      </c>
      <c r="M568" s="1" t="s">
        <v>3046</v>
      </c>
      <c r="N568" s="235">
        <f t="shared" si="33"/>
        <v>4580</v>
      </c>
      <c r="O568" s="235">
        <f t="shared" si="34"/>
        <v>0</v>
      </c>
      <c r="P568" s="238" t="s">
        <v>4886</v>
      </c>
      <c r="Q568" s="1" t="s">
        <v>1259</v>
      </c>
      <c r="R568" s="239" t="s">
        <v>469</v>
      </c>
      <c r="S568" s="238" t="s">
        <v>3040</v>
      </c>
      <c r="T568" s="238" t="s">
        <v>3041</v>
      </c>
      <c r="U568" s="238" t="s">
        <v>3042</v>
      </c>
      <c r="V568" s="238" t="s">
        <v>3047</v>
      </c>
      <c r="W568" s="236">
        <v>11631.8</v>
      </c>
      <c r="X568" s="233">
        <v>41145</v>
      </c>
      <c r="Y568" s="238" t="s">
        <v>3044</v>
      </c>
      <c r="AB568" s="1" t="s">
        <v>377</v>
      </c>
    </row>
    <row r="569" spans="1:28" ht="11.25" customHeight="1">
      <c r="A569" s="233">
        <v>41143</v>
      </c>
      <c r="B569" s="1" t="s">
        <v>464</v>
      </c>
      <c r="C569" s="1" t="s">
        <v>2172</v>
      </c>
      <c r="D569" s="1" t="s">
        <v>3048</v>
      </c>
      <c r="E569" s="1" t="s">
        <v>3049</v>
      </c>
      <c r="F569" s="5">
        <v>600</v>
      </c>
      <c r="G569" s="1" t="s">
        <v>3050</v>
      </c>
      <c r="H569" s="234">
        <v>9.42</v>
      </c>
      <c r="I569" s="236">
        <f t="shared" si="36"/>
        <v>5652</v>
      </c>
      <c r="J569" s="351"/>
      <c r="K569" s="241">
        <f>8.8*F569</f>
        <v>5280</v>
      </c>
      <c r="L569" s="237">
        <v>41145</v>
      </c>
      <c r="M569" s="1" t="s">
        <v>3046</v>
      </c>
      <c r="N569" s="235">
        <f t="shared" si="33"/>
        <v>5652</v>
      </c>
      <c r="O569" s="235">
        <f t="shared" si="34"/>
        <v>0</v>
      </c>
      <c r="P569" s="238" t="s">
        <v>4886</v>
      </c>
      <c r="Q569" s="1" t="s">
        <v>3051</v>
      </c>
      <c r="R569" s="239" t="s">
        <v>469</v>
      </c>
      <c r="S569" s="238" t="s">
        <v>3040</v>
      </c>
      <c r="T569" s="238" t="s">
        <v>3041</v>
      </c>
      <c r="U569" s="238" t="s">
        <v>3042</v>
      </c>
      <c r="V569" s="238" t="s">
        <v>3052</v>
      </c>
      <c r="W569" s="236">
        <v>8678.4</v>
      </c>
      <c r="X569" s="233">
        <v>41145</v>
      </c>
      <c r="Y569" s="238" t="s">
        <v>3044</v>
      </c>
      <c r="AB569" s="1" t="s">
        <v>377</v>
      </c>
    </row>
    <row r="570" spans="1:28" ht="11.25" customHeight="1">
      <c r="A570" s="233">
        <v>41143</v>
      </c>
      <c r="B570" s="1" t="s">
        <v>3053</v>
      </c>
      <c r="C570" s="1" t="s">
        <v>2172</v>
      </c>
      <c r="D570" s="1" t="s">
        <v>3054</v>
      </c>
      <c r="E570" s="1">
        <v>1110</v>
      </c>
      <c r="F570" s="5">
        <v>600</v>
      </c>
      <c r="G570" s="1" t="s">
        <v>3055</v>
      </c>
      <c r="H570" s="234">
        <v>0.86</v>
      </c>
      <c r="I570" s="236">
        <f t="shared" si="36"/>
        <v>516</v>
      </c>
      <c r="J570" s="351"/>
      <c r="K570" s="241">
        <f>0.77*F570</f>
        <v>462</v>
      </c>
      <c r="L570" s="237">
        <v>41143</v>
      </c>
      <c r="M570" s="1" t="s">
        <v>3056</v>
      </c>
      <c r="N570" s="235">
        <f t="shared" si="33"/>
        <v>516</v>
      </c>
      <c r="O570" s="235">
        <f t="shared" si="34"/>
        <v>0</v>
      </c>
      <c r="P570" s="238" t="s">
        <v>3057</v>
      </c>
      <c r="Q570" s="1" t="s">
        <v>3058</v>
      </c>
      <c r="R570" s="239" t="s">
        <v>3059</v>
      </c>
      <c r="S570" s="238" t="s">
        <v>3060</v>
      </c>
      <c r="V570" s="238" t="s">
        <v>3061</v>
      </c>
      <c r="W570" s="236">
        <v>1077</v>
      </c>
      <c r="X570" s="233">
        <v>41256</v>
      </c>
      <c r="Y570" s="255">
        <v>23000504124</v>
      </c>
      <c r="AB570" s="1" t="s">
        <v>377</v>
      </c>
    </row>
    <row r="571" spans="1:28" s="225" customFormat="1" ht="11.25" customHeight="1">
      <c r="A571" s="233">
        <v>41143</v>
      </c>
      <c r="B571" s="1" t="s">
        <v>3062</v>
      </c>
      <c r="C571" s="1" t="s">
        <v>2172</v>
      </c>
      <c r="D571" s="1" t="s">
        <v>3063</v>
      </c>
      <c r="E571" s="1">
        <v>1100</v>
      </c>
      <c r="F571" s="5">
        <v>30</v>
      </c>
      <c r="G571" s="1" t="s">
        <v>3055</v>
      </c>
      <c r="H571" s="234">
        <v>1</v>
      </c>
      <c r="I571" s="236">
        <f t="shared" si="36"/>
        <v>30</v>
      </c>
      <c r="J571" s="351"/>
      <c r="K571" s="261">
        <f>0.36*F571</f>
        <v>10.799999999999999</v>
      </c>
      <c r="L571" s="237">
        <v>41143</v>
      </c>
      <c r="M571" s="1" t="s">
        <v>3056</v>
      </c>
      <c r="N571" s="235">
        <f t="shared" si="33"/>
        <v>30</v>
      </c>
      <c r="O571" s="235">
        <f t="shared" si="34"/>
        <v>0</v>
      </c>
      <c r="P571" s="238" t="s">
        <v>3064</v>
      </c>
      <c r="Q571" s="1" t="s">
        <v>3058</v>
      </c>
      <c r="R571" s="239" t="s">
        <v>3065</v>
      </c>
      <c r="S571" s="238" t="s">
        <v>3066</v>
      </c>
      <c r="T571" s="238"/>
      <c r="U571" s="238"/>
      <c r="V571" s="238" t="s">
        <v>3067</v>
      </c>
      <c r="W571" s="236"/>
      <c r="X571" s="233"/>
      <c r="Y571" s="255"/>
      <c r="Z571" s="255" t="s">
        <v>3068</v>
      </c>
      <c r="AA571" s="240"/>
      <c r="AB571" s="225" t="s">
        <v>3069</v>
      </c>
    </row>
    <row r="572" spans="1:28" s="225" customFormat="1" ht="11.25" customHeight="1">
      <c r="A572" s="25">
        <v>41144</v>
      </c>
      <c r="B572" s="225" t="s">
        <v>3070</v>
      </c>
      <c r="C572" s="383" t="s">
        <v>2172</v>
      </c>
      <c r="D572" s="225" t="s">
        <v>86</v>
      </c>
      <c r="E572" s="225">
        <v>9032</v>
      </c>
      <c r="F572" s="5">
        <v>500</v>
      </c>
      <c r="G572" s="1" t="s">
        <v>2175</v>
      </c>
      <c r="H572" s="31">
        <v>2.4</v>
      </c>
      <c r="I572" s="27">
        <f t="shared" si="36"/>
        <v>1200</v>
      </c>
      <c r="J572" s="357"/>
      <c r="K572" s="267">
        <f>1.49*F572</f>
        <v>745</v>
      </c>
      <c r="L572" s="56">
        <v>41144</v>
      </c>
      <c r="M572" s="225" t="s">
        <v>3046</v>
      </c>
      <c r="N572" s="235">
        <f t="shared" si="33"/>
        <v>1200</v>
      </c>
      <c r="O572" s="235">
        <f t="shared" si="34"/>
        <v>0</v>
      </c>
      <c r="P572" s="28" t="s">
        <v>3071</v>
      </c>
      <c r="Q572" s="225" t="s">
        <v>3072</v>
      </c>
      <c r="R572" s="29" t="s">
        <v>3073</v>
      </c>
      <c r="S572" s="28" t="s">
        <v>3074</v>
      </c>
      <c r="T572" s="28" t="s">
        <v>3075</v>
      </c>
      <c r="U572" s="28"/>
      <c r="V572" s="28" t="s">
        <v>3076</v>
      </c>
      <c r="W572" s="27">
        <v>1200</v>
      </c>
      <c r="X572" s="25">
        <v>41144</v>
      </c>
      <c r="Y572" s="268"/>
      <c r="Z572" s="268"/>
      <c r="AA572" s="70"/>
      <c r="AB572" s="225" t="s">
        <v>3069</v>
      </c>
    </row>
    <row r="573" spans="1:28" s="225" customFormat="1" ht="11.25" customHeight="1">
      <c r="A573" s="25">
        <v>41144</v>
      </c>
      <c r="B573" s="1" t="s">
        <v>3077</v>
      </c>
      <c r="C573" s="383" t="s">
        <v>2172</v>
      </c>
      <c r="D573" s="1" t="s">
        <v>1711</v>
      </c>
      <c r="E573" s="225">
        <v>8210</v>
      </c>
      <c r="F573" s="5">
        <v>55</v>
      </c>
      <c r="G573" s="1" t="s">
        <v>2175</v>
      </c>
      <c r="H573" s="31">
        <v>6</v>
      </c>
      <c r="I573" s="27">
        <f t="shared" si="36"/>
        <v>330</v>
      </c>
      <c r="J573" s="357"/>
      <c r="K573" s="267">
        <f>3.78*F573</f>
        <v>207.89999999999998</v>
      </c>
      <c r="L573" s="56">
        <v>41144</v>
      </c>
      <c r="M573" s="225" t="s">
        <v>3056</v>
      </c>
      <c r="N573" s="235">
        <f t="shared" si="33"/>
        <v>330</v>
      </c>
      <c r="O573" s="235">
        <f t="shared" si="34"/>
        <v>0</v>
      </c>
      <c r="P573" s="28" t="s">
        <v>3078</v>
      </c>
      <c r="Q573" s="225" t="s">
        <v>3058</v>
      </c>
      <c r="R573" s="29" t="s">
        <v>3079</v>
      </c>
      <c r="S573" s="28" t="s">
        <v>3080</v>
      </c>
      <c r="T573" s="28"/>
      <c r="U573" s="28"/>
      <c r="V573" s="28" t="s">
        <v>3081</v>
      </c>
      <c r="W573" s="27">
        <v>2855</v>
      </c>
      <c r="X573" s="25">
        <v>41144</v>
      </c>
      <c r="Y573" s="268"/>
      <c r="Z573" s="268"/>
      <c r="AA573" s="70"/>
      <c r="AB573" s="225" t="s">
        <v>3069</v>
      </c>
    </row>
    <row r="574" spans="1:28" s="225" customFormat="1" ht="11.25" customHeight="1">
      <c r="A574" s="25">
        <v>41144</v>
      </c>
      <c r="B574" s="1" t="s">
        <v>3077</v>
      </c>
      <c r="C574" s="383" t="s">
        <v>2172</v>
      </c>
      <c r="D574" s="1" t="s">
        <v>3082</v>
      </c>
      <c r="E574" s="225">
        <v>10434</v>
      </c>
      <c r="F574" s="5">
        <v>55</v>
      </c>
      <c r="G574" s="225" t="s">
        <v>3055</v>
      </c>
      <c r="H574" s="31">
        <v>23</v>
      </c>
      <c r="I574" s="27">
        <f t="shared" si="36"/>
        <v>1265</v>
      </c>
      <c r="J574" s="357"/>
      <c r="K574" s="267">
        <f>14.88*15+15.62*40</f>
        <v>848</v>
      </c>
      <c r="L574" s="56">
        <v>41144</v>
      </c>
      <c r="M574" s="225" t="s">
        <v>3056</v>
      </c>
      <c r="N574" s="235">
        <f t="shared" si="33"/>
        <v>1265</v>
      </c>
      <c r="O574" s="235">
        <f t="shared" si="34"/>
        <v>0</v>
      </c>
      <c r="P574" s="28" t="s">
        <v>3078</v>
      </c>
      <c r="Q574" s="225" t="s">
        <v>3058</v>
      </c>
      <c r="R574" s="29" t="s">
        <v>3079</v>
      </c>
      <c r="S574" s="28" t="s">
        <v>3080</v>
      </c>
      <c r="T574" s="28"/>
      <c r="U574" s="28"/>
      <c r="V574" s="28" t="s">
        <v>3081</v>
      </c>
      <c r="W574" s="27">
        <v>2855</v>
      </c>
      <c r="X574" s="25">
        <v>41144</v>
      </c>
      <c r="Y574" s="268"/>
      <c r="Z574" s="268"/>
      <c r="AA574" s="70"/>
      <c r="AB574" s="225" t="s">
        <v>3069</v>
      </c>
    </row>
    <row r="575" spans="1:28" s="225" customFormat="1" ht="11.25" customHeight="1">
      <c r="A575" s="25">
        <v>41144</v>
      </c>
      <c r="B575" s="1" t="s">
        <v>3077</v>
      </c>
      <c r="C575" s="383" t="s">
        <v>2172</v>
      </c>
      <c r="D575" s="225" t="s">
        <v>3083</v>
      </c>
      <c r="E575" s="225" t="s">
        <v>3084</v>
      </c>
      <c r="F575" s="5">
        <v>210</v>
      </c>
      <c r="G575" s="225" t="s">
        <v>3055</v>
      </c>
      <c r="H575" s="31">
        <v>6</v>
      </c>
      <c r="I575" s="27">
        <f t="shared" si="36"/>
        <v>1260</v>
      </c>
      <c r="J575" s="357"/>
      <c r="K575" s="241">
        <f>3.97*F575</f>
        <v>833.7</v>
      </c>
      <c r="L575" s="56">
        <v>41144</v>
      </c>
      <c r="M575" s="225" t="s">
        <v>3056</v>
      </c>
      <c r="N575" s="235">
        <f t="shared" si="33"/>
        <v>1260</v>
      </c>
      <c r="O575" s="235">
        <f t="shared" si="34"/>
        <v>0</v>
      </c>
      <c r="P575" s="28" t="s">
        <v>3078</v>
      </c>
      <c r="Q575" s="225" t="s">
        <v>3058</v>
      </c>
      <c r="R575" s="29" t="s">
        <v>3079</v>
      </c>
      <c r="S575" s="28" t="s">
        <v>3080</v>
      </c>
      <c r="T575" s="28"/>
      <c r="U575" s="28"/>
      <c r="V575" s="28" t="s">
        <v>3081</v>
      </c>
      <c r="W575" s="27">
        <v>2855</v>
      </c>
      <c r="X575" s="25">
        <v>41144</v>
      </c>
      <c r="Y575" s="268"/>
      <c r="Z575" s="268" t="s">
        <v>3068</v>
      </c>
      <c r="AA575" s="70"/>
      <c r="AB575" s="225" t="s">
        <v>3069</v>
      </c>
    </row>
    <row r="576" spans="1:28" s="225" customFormat="1" ht="11.25" customHeight="1">
      <c r="A576" s="25">
        <v>41145</v>
      </c>
      <c r="B576" s="225" t="s">
        <v>3085</v>
      </c>
      <c r="C576" s="383" t="s">
        <v>2172</v>
      </c>
      <c r="D576" s="5" t="s">
        <v>2012</v>
      </c>
      <c r="E576" s="225" t="s">
        <v>2220</v>
      </c>
      <c r="F576" s="5">
        <v>500</v>
      </c>
      <c r="G576" s="1" t="s">
        <v>4970</v>
      </c>
      <c r="H576" s="234">
        <v>1.59</v>
      </c>
      <c r="I576" s="27">
        <f>H576*F576</f>
        <v>795</v>
      </c>
      <c r="J576" s="358">
        <v>1.46</v>
      </c>
      <c r="K576" s="267">
        <f>1.46*F576</f>
        <v>730</v>
      </c>
      <c r="L576" s="56">
        <v>41215</v>
      </c>
      <c r="M576" s="225" t="s">
        <v>3086</v>
      </c>
      <c r="N576" s="235">
        <f t="shared" si="33"/>
        <v>795</v>
      </c>
      <c r="O576" s="235">
        <f t="shared" si="34"/>
        <v>0</v>
      </c>
      <c r="P576" s="238" t="s">
        <v>4886</v>
      </c>
      <c r="Q576" s="1" t="s">
        <v>3087</v>
      </c>
      <c r="R576" s="10" t="s">
        <v>3088</v>
      </c>
      <c r="S576" s="10">
        <v>13452102967</v>
      </c>
      <c r="T576" s="10" t="s">
        <v>773</v>
      </c>
      <c r="U576" s="28"/>
      <c r="V576" s="28" t="s">
        <v>3067</v>
      </c>
      <c r="W576" s="27"/>
      <c r="X576" s="25"/>
      <c r="Y576" s="268"/>
      <c r="Z576" s="268"/>
      <c r="AA576" s="70"/>
      <c r="AB576" s="225" t="s">
        <v>377</v>
      </c>
    </row>
    <row r="577" spans="1:28" s="225" customFormat="1" ht="11.25" customHeight="1">
      <c r="A577" s="25">
        <v>41145</v>
      </c>
      <c r="B577" s="225" t="s">
        <v>3085</v>
      </c>
      <c r="C577" s="383" t="s">
        <v>2172</v>
      </c>
      <c r="D577" s="1" t="s">
        <v>3089</v>
      </c>
      <c r="E577" s="1">
        <v>10435</v>
      </c>
      <c r="F577" s="5">
        <v>2</v>
      </c>
      <c r="G577" s="225" t="s">
        <v>3055</v>
      </c>
      <c r="H577" s="234">
        <v>15.6</v>
      </c>
      <c r="I577" s="27">
        <f>H577*F577</f>
        <v>31.2</v>
      </c>
      <c r="J577" s="357"/>
      <c r="K577" s="269">
        <f>14.8*F577</f>
        <v>29.6</v>
      </c>
      <c r="L577" s="56">
        <v>41215</v>
      </c>
      <c r="M577" s="225" t="s">
        <v>3086</v>
      </c>
      <c r="N577" s="235">
        <f t="shared" si="33"/>
        <v>31.2</v>
      </c>
      <c r="O577" s="235">
        <f t="shared" si="34"/>
        <v>0</v>
      </c>
      <c r="P577" s="238" t="s">
        <v>4886</v>
      </c>
      <c r="Q577" s="1" t="s">
        <v>3087</v>
      </c>
      <c r="R577" s="10" t="s">
        <v>3088</v>
      </c>
      <c r="S577" s="10">
        <v>13452102967</v>
      </c>
      <c r="T577" s="10" t="s">
        <v>773</v>
      </c>
      <c r="U577" s="28"/>
      <c r="V577" s="28" t="s">
        <v>3067</v>
      </c>
      <c r="W577" s="27"/>
      <c r="X577" s="25"/>
      <c r="Y577" s="268"/>
      <c r="Z577" s="268" t="s">
        <v>3068</v>
      </c>
      <c r="AA577" s="70"/>
      <c r="AB577" s="225" t="s">
        <v>377</v>
      </c>
    </row>
    <row r="578" spans="1:28" s="225" customFormat="1" ht="11.25" customHeight="1">
      <c r="A578" s="25">
        <v>41145</v>
      </c>
      <c r="B578" s="225" t="s">
        <v>3090</v>
      </c>
      <c r="C578" s="383" t="s">
        <v>2172</v>
      </c>
      <c r="D578" s="225" t="s">
        <v>3091</v>
      </c>
      <c r="E578" s="1" t="s">
        <v>2173</v>
      </c>
      <c r="F578" s="5">
        <v>3000</v>
      </c>
      <c r="G578" s="1" t="s">
        <v>231</v>
      </c>
      <c r="H578" s="234">
        <v>5.2</v>
      </c>
      <c r="I578" s="27">
        <f t="shared" ref="I578:I636" si="38">H578*F578</f>
        <v>15600</v>
      </c>
      <c r="J578" s="357"/>
      <c r="K578" s="267">
        <f>4.78*F578</f>
        <v>14340</v>
      </c>
      <c r="L578" s="56">
        <v>41146</v>
      </c>
      <c r="M578" s="225" t="s">
        <v>3046</v>
      </c>
      <c r="N578" s="235">
        <f t="shared" si="33"/>
        <v>15600</v>
      </c>
      <c r="O578" s="235">
        <f t="shared" si="34"/>
        <v>0</v>
      </c>
      <c r="P578" s="28" t="s">
        <v>3092</v>
      </c>
      <c r="Q578" s="225" t="s">
        <v>3093</v>
      </c>
      <c r="R578" s="29" t="s">
        <v>3094</v>
      </c>
      <c r="S578" s="10">
        <v>13888391766</v>
      </c>
      <c r="T578" s="28" t="s">
        <v>3095</v>
      </c>
      <c r="U578" s="238" t="s">
        <v>3096</v>
      </c>
      <c r="V578" s="238" t="s">
        <v>3097</v>
      </c>
      <c r="W578" s="236" t="s">
        <v>3098</v>
      </c>
      <c r="X578" s="25">
        <v>41163</v>
      </c>
      <c r="Y578" s="28" t="s">
        <v>3099</v>
      </c>
      <c r="Z578" s="268"/>
      <c r="AA578" s="70"/>
      <c r="AB578" s="225" t="s">
        <v>377</v>
      </c>
    </row>
    <row r="579" spans="1:28" s="225" customFormat="1" ht="11.25" customHeight="1">
      <c r="A579" s="25">
        <v>41145</v>
      </c>
      <c r="B579" s="225" t="s">
        <v>3090</v>
      </c>
      <c r="C579" s="383" t="s">
        <v>2172</v>
      </c>
      <c r="D579" s="5" t="s">
        <v>2012</v>
      </c>
      <c r="E579" s="1" t="s">
        <v>2220</v>
      </c>
      <c r="F579" s="5">
        <v>500</v>
      </c>
      <c r="G579" s="1" t="s">
        <v>4970</v>
      </c>
      <c r="H579" s="234">
        <v>1.65</v>
      </c>
      <c r="I579" s="27">
        <f t="shared" si="38"/>
        <v>825</v>
      </c>
      <c r="J579" s="358">
        <v>1.46</v>
      </c>
      <c r="K579" s="267">
        <f>1.46*F579</f>
        <v>730</v>
      </c>
      <c r="L579" s="56">
        <v>41146</v>
      </c>
      <c r="M579" s="225" t="s">
        <v>3046</v>
      </c>
      <c r="N579" s="235">
        <f t="shared" ref="N579:N642" si="39">I579</f>
        <v>825</v>
      </c>
      <c r="O579" s="235">
        <f t="shared" ref="O579:O642" si="40">I579-N579</f>
        <v>0</v>
      </c>
      <c r="P579" s="28" t="s">
        <v>3092</v>
      </c>
      <c r="Q579" s="225" t="s">
        <v>3093</v>
      </c>
      <c r="R579" s="29" t="s">
        <v>3094</v>
      </c>
      <c r="S579" s="10">
        <v>13888391766</v>
      </c>
      <c r="T579" s="28" t="s">
        <v>3095</v>
      </c>
      <c r="U579" s="238" t="s">
        <v>3096</v>
      </c>
      <c r="V579" s="28" t="s">
        <v>3100</v>
      </c>
      <c r="W579" s="27">
        <v>10710</v>
      </c>
      <c r="X579" s="25">
        <v>41163</v>
      </c>
      <c r="Y579" s="28" t="s">
        <v>3099</v>
      </c>
      <c r="Z579" s="268"/>
      <c r="AA579" s="70"/>
      <c r="AB579" s="225" t="s">
        <v>377</v>
      </c>
    </row>
    <row r="580" spans="1:28" s="225" customFormat="1" ht="11.25" customHeight="1">
      <c r="A580" s="25">
        <v>41145</v>
      </c>
      <c r="B580" s="225" t="s">
        <v>3090</v>
      </c>
      <c r="C580" s="383" t="s">
        <v>2172</v>
      </c>
      <c r="D580" s="1" t="s">
        <v>263</v>
      </c>
      <c r="E580" s="1">
        <v>501</v>
      </c>
      <c r="F580" s="5">
        <v>300</v>
      </c>
      <c r="G580" s="232" t="s">
        <v>3101</v>
      </c>
      <c r="H580" s="234">
        <v>1.45</v>
      </c>
      <c r="I580" s="27">
        <f t="shared" si="38"/>
        <v>435</v>
      </c>
      <c r="J580" s="357">
        <v>1.39</v>
      </c>
      <c r="K580" s="267">
        <f>1.39*F580</f>
        <v>416.99999999999994</v>
      </c>
      <c r="L580" s="56">
        <v>41146</v>
      </c>
      <c r="M580" s="225" t="s">
        <v>2077</v>
      </c>
      <c r="N580" s="235">
        <f t="shared" si="39"/>
        <v>435</v>
      </c>
      <c r="O580" s="235">
        <f t="shared" si="40"/>
        <v>0</v>
      </c>
      <c r="P580" s="28" t="s">
        <v>3102</v>
      </c>
      <c r="Q580" s="225" t="s">
        <v>1251</v>
      </c>
      <c r="R580" s="29" t="s">
        <v>2736</v>
      </c>
      <c r="S580" s="10">
        <v>13888391766</v>
      </c>
      <c r="T580" s="28" t="s">
        <v>3103</v>
      </c>
      <c r="U580" s="238" t="s">
        <v>3104</v>
      </c>
      <c r="V580" s="28" t="s">
        <v>3105</v>
      </c>
      <c r="W580" s="27">
        <v>10710</v>
      </c>
      <c r="X580" s="25">
        <v>41163</v>
      </c>
      <c r="Y580" s="28" t="s">
        <v>3106</v>
      </c>
      <c r="Z580" s="268"/>
      <c r="AA580" s="70"/>
      <c r="AB580" s="225" t="s">
        <v>377</v>
      </c>
    </row>
    <row r="581" spans="1:28" s="225" customFormat="1" ht="11.25" customHeight="1">
      <c r="A581" s="25">
        <v>41145</v>
      </c>
      <c r="B581" s="225" t="s">
        <v>3107</v>
      </c>
      <c r="C581" s="383" t="s">
        <v>2080</v>
      </c>
      <c r="D581" s="5" t="s">
        <v>854</v>
      </c>
      <c r="E581" s="225">
        <v>9031</v>
      </c>
      <c r="F581" s="5">
        <v>500</v>
      </c>
      <c r="G581" s="232" t="s">
        <v>3108</v>
      </c>
      <c r="H581" s="31">
        <v>2.4</v>
      </c>
      <c r="I581" s="27">
        <f t="shared" si="38"/>
        <v>1200</v>
      </c>
      <c r="J581" s="357"/>
      <c r="K581" s="267">
        <f>1.49*F581</f>
        <v>745</v>
      </c>
      <c r="L581" s="56">
        <v>41155</v>
      </c>
      <c r="M581" s="225" t="s">
        <v>2077</v>
      </c>
      <c r="N581" s="235">
        <f t="shared" si="39"/>
        <v>1200</v>
      </c>
      <c r="O581" s="235">
        <f t="shared" si="40"/>
        <v>0</v>
      </c>
      <c r="P581" s="28" t="s">
        <v>3109</v>
      </c>
      <c r="Q581" s="225" t="s">
        <v>3110</v>
      </c>
      <c r="R581" s="29" t="s">
        <v>3111</v>
      </c>
      <c r="S581" s="28" t="s">
        <v>3112</v>
      </c>
      <c r="T581" s="28" t="s">
        <v>3113</v>
      </c>
      <c r="U581" s="28" t="s">
        <v>3114</v>
      </c>
      <c r="V581" s="28" t="s">
        <v>3115</v>
      </c>
      <c r="W581" s="27">
        <v>1660</v>
      </c>
      <c r="X581" s="25">
        <v>41145</v>
      </c>
      <c r="Y581" s="268"/>
      <c r="Z581" s="268"/>
      <c r="AA581" s="70"/>
      <c r="AB581" s="225" t="s">
        <v>3116</v>
      </c>
    </row>
    <row r="582" spans="1:28" s="225" customFormat="1" ht="11.25" customHeight="1">
      <c r="A582" s="25">
        <v>41145</v>
      </c>
      <c r="B582" s="225" t="s">
        <v>3107</v>
      </c>
      <c r="C582" s="383" t="s">
        <v>2080</v>
      </c>
      <c r="D582" s="1" t="s">
        <v>2010</v>
      </c>
      <c r="E582" s="225">
        <v>10434</v>
      </c>
      <c r="F582" s="5">
        <v>20</v>
      </c>
      <c r="G582" s="225" t="s">
        <v>3117</v>
      </c>
      <c r="H582" s="31">
        <v>23</v>
      </c>
      <c r="I582" s="27">
        <f t="shared" si="38"/>
        <v>460</v>
      </c>
      <c r="J582" s="357"/>
      <c r="K582" s="267">
        <f>14.88*F582</f>
        <v>297.60000000000002</v>
      </c>
      <c r="L582" s="56">
        <v>41155</v>
      </c>
      <c r="M582" s="225" t="s">
        <v>2077</v>
      </c>
      <c r="N582" s="235">
        <f t="shared" si="39"/>
        <v>460</v>
      </c>
      <c r="O582" s="235">
        <f t="shared" si="40"/>
        <v>0</v>
      </c>
      <c r="P582" s="28" t="s">
        <v>3109</v>
      </c>
      <c r="Q582" s="225" t="s">
        <v>3110</v>
      </c>
      <c r="R582" s="29" t="s">
        <v>3111</v>
      </c>
      <c r="S582" s="28" t="s">
        <v>3112</v>
      </c>
      <c r="T582" s="28" t="s">
        <v>3113</v>
      </c>
      <c r="U582" s="28" t="s">
        <v>3114</v>
      </c>
      <c r="V582" s="28" t="s">
        <v>3115</v>
      </c>
      <c r="W582" s="27">
        <v>1660</v>
      </c>
      <c r="X582" s="25">
        <v>41145</v>
      </c>
      <c r="Y582" s="268"/>
      <c r="Z582" s="268"/>
      <c r="AA582" s="70"/>
      <c r="AB582" s="225" t="s">
        <v>3116</v>
      </c>
    </row>
    <row r="583" spans="1:28" s="225" customFormat="1" ht="11.25" customHeight="1">
      <c r="A583" s="25">
        <v>41145</v>
      </c>
      <c r="B583" s="225" t="s">
        <v>641</v>
      </c>
      <c r="C583" s="383" t="s">
        <v>2080</v>
      </c>
      <c r="D583" s="5" t="s">
        <v>2012</v>
      </c>
      <c r="E583" s="225" t="s">
        <v>2489</v>
      </c>
      <c r="F583" s="5">
        <v>100</v>
      </c>
      <c r="G583" s="1" t="s">
        <v>4970</v>
      </c>
      <c r="H583" s="31">
        <v>2</v>
      </c>
      <c r="I583" s="27">
        <f t="shared" si="38"/>
        <v>200</v>
      </c>
      <c r="J583" s="358">
        <v>1.46</v>
      </c>
      <c r="K583" s="267">
        <f>1.46*F583</f>
        <v>146</v>
      </c>
      <c r="L583" s="56">
        <v>41145</v>
      </c>
      <c r="M583" s="225" t="s">
        <v>3118</v>
      </c>
      <c r="N583" s="235">
        <f t="shared" si="39"/>
        <v>200</v>
      </c>
      <c r="O583" s="235">
        <f t="shared" si="40"/>
        <v>0</v>
      </c>
      <c r="P583" s="28" t="s">
        <v>3119</v>
      </c>
      <c r="Q583" s="225" t="s">
        <v>3120</v>
      </c>
      <c r="R583" s="29" t="s">
        <v>2307</v>
      </c>
      <c r="S583" s="28"/>
      <c r="T583" s="28"/>
      <c r="U583" s="28"/>
      <c r="V583" s="28" t="s">
        <v>2488</v>
      </c>
      <c r="W583" s="27"/>
      <c r="X583" s="25"/>
      <c r="Y583" s="268"/>
      <c r="Z583" s="268"/>
      <c r="AA583" s="70"/>
      <c r="AB583" s="225" t="s">
        <v>3116</v>
      </c>
    </row>
    <row r="584" spans="1:28" ht="11.25" customHeight="1">
      <c r="A584" s="25">
        <v>41145</v>
      </c>
      <c r="B584" s="225" t="s">
        <v>3121</v>
      </c>
      <c r="C584" s="383" t="s">
        <v>2080</v>
      </c>
      <c r="D584" s="225" t="s">
        <v>86</v>
      </c>
      <c r="E584" s="225">
        <v>9032</v>
      </c>
      <c r="F584" s="5">
        <v>50</v>
      </c>
      <c r="G584" s="1" t="s">
        <v>2086</v>
      </c>
      <c r="H584" s="31">
        <v>2</v>
      </c>
      <c r="I584" s="27">
        <f t="shared" si="38"/>
        <v>100</v>
      </c>
      <c r="J584" s="357"/>
      <c r="K584" s="267">
        <f>1.49*F584</f>
        <v>74.5</v>
      </c>
      <c r="L584" s="56">
        <v>41145</v>
      </c>
      <c r="M584" s="225" t="s">
        <v>3118</v>
      </c>
      <c r="N584" s="235">
        <f t="shared" si="39"/>
        <v>100</v>
      </c>
      <c r="O584" s="235">
        <f t="shared" si="40"/>
        <v>0</v>
      </c>
      <c r="P584" s="28" t="s">
        <v>3119</v>
      </c>
      <c r="Q584" s="225" t="s">
        <v>3120</v>
      </c>
      <c r="R584" s="29" t="s">
        <v>2307</v>
      </c>
      <c r="S584" s="28"/>
      <c r="T584" s="28"/>
      <c r="U584" s="28"/>
      <c r="V584" s="28" t="s">
        <v>2488</v>
      </c>
      <c r="W584" s="27"/>
      <c r="X584" s="25"/>
      <c r="Y584" s="268"/>
      <c r="Z584" s="268"/>
      <c r="AA584" s="70"/>
      <c r="AB584" s="225" t="s">
        <v>3116</v>
      </c>
    </row>
    <row r="585" spans="1:28" ht="11.25" customHeight="1">
      <c r="A585" s="233">
        <v>41148</v>
      </c>
      <c r="B585" s="1" t="s">
        <v>3122</v>
      </c>
      <c r="C585" s="383" t="s">
        <v>2080</v>
      </c>
      <c r="D585" s="1" t="s">
        <v>232</v>
      </c>
      <c r="E585" s="1" t="s">
        <v>2107</v>
      </c>
      <c r="F585" s="5">
        <v>100</v>
      </c>
      <c r="G585" s="1" t="s">
        <v>231</v>
      </c>
      <c r="H585" s="234">
        <v>8.5</v>
      </c>
      <c r="I585" s="236">
        <f t="shared" si="38"/>
        <v>850</v>
      </c>
      <c r="K585" s="241">
        <f>22*5.1+78*4.78</f>
        <v>485.04</v>
      </c>
      <c r="L585" s="237">
        <v>41148</v>
      </c>
      <c r="M585" s="225" t="s">
        <v>2077</v>
      </c>
      <c r="N585" s="235">
        <f t="shared" si="39"/>
        <v>850</v>
      </c>
      <c r="O585" s="235">
        <f t="shared" si="40"/>
        <v>0</v>
      </c>
      <c r="P585" s="238" t="s">
        <v>3123</v>
      </c>
      <c r="Q585" s="225" t="s">
        <v>3120</v>
      </c>
      <c r="R585" s="239" t="s">
        <v>3124</v>
      </c>
      <c r="S585" s="238" t="s">
        <v>3125</v>
      </c>
      <c r="T585" s="238" t="s">
        <v>139</v>
      </c>
      <c r="V585" s="238" t="s">
        <v>3126</v>
      </c>
      <c r="W585" s="236">
        <v>2200</v>
      </c>
      <c r="X585" s="233">
        <v>41148</v>
      </c>
      <c r="Y585" s="255"/>
      <c r="AB585" s="225" t="s">
        <v>3116</v>
      </c>
    </row>
    <row r="586" spans="1:28" ht="11.25" customHeight="1">
      <c r="A586" s="233">
        <v>41148</v>
      </c>
      <c r="B586" s="1" t="s">
        <v>3122</v>
      </c>
      <c r="C586" s="383" t="s">
        <v>2080</v>
      </c>
      <c r="D586" s="1" t="s">
        <v>353</v>
      </c>
      <c r="E586" s="1" t="s">
        <v>2492</v>
      </c>
      <c r="F586" s="5">
        <v>50</v>
      </c>
      <c r="G586" s="1" t="s">
        <v>2086</v>
      </c>
      <c r="H586" s="234">
        <v>27</v>
      </c>
      <c r="I586" s="236">
        <f t="shared" si="38"/>
        <v>1350</v>
      </c>
      <c r="K586" s="241">
        <f>17.5*F586</f>
        <v>875</v>
      </c>
      <c r="L586" s="237">
        <v>41148</v>
      </c>
      <c r="M586" s="225" t="s">
        <v>2077</v>
      </c>
      <c r="N586" s="235">
        <f t="shared" si="39"/>
        <v>1350</v>
      </c>
      <c r="O586" s="235">
        <f t="shared" si="40"/>
        <v>0</v>
      </c>
      <c r="P586" s="238" t="s">
        <v>3123</v>
      </c>
      <c r="Q586" s="225" t="s">
        <v>3120</v>
      </c>
      <c r="R586" s="239" t="s">
        <v>3124</v>
      </c>
      <c r="S586" s="238" t="s">
        <v>3125</v>
      </c>
      <c r="T586" s="238" t="s">
        <v>139</v>
      </c>
      <c r="V586" s="238" t="s">
        <v>3126</v>
      </c>
      <c r="W586" s="236">
        <v>2200</v>
      </c>
      <c r="X586" s="233">
        <v>41148</v>
      </c>
      <c r="Y586" s="255"/>
      <c r="AB586" s="225" t="s">
        <v>3116</v>
      </c>
    </row>
    <row r="587" spans="1:28" ht="11.25" customHeight="1">
      <c r="A587" s="233">
        <v>41148</v>
      </c>
      <c r="B587" s="1" t="s">
        <v>2958</v>
      </c>
      <c r="C587" s="1" t="s">
        <v>2080</v>
      </c>
      <c r="D587" s="1" t="s">
        <v>9</v>
      </c>
      <c r="E587" s="1">
        <v>2096</v>
      </c>
      <c r="F587" s="5">
        <v>-148</v>
      </c>
      <c r="G587" s="1" t="s">
        <v>2490</v>
      </c>
      <c r="H587" s="234">
        <v>13.62</v>
      </c>
      <c r="I587" s="236">
        <f t="shared" si="38"/>
        <v>-2015.76</v>
      </c>
      <c r="J587" s="351"/>
      <c r="K587" s="241">
        <f>12.65*F587</f>
        <v>-1872.2</v>
      </c>
      <c r="L587" s="237" t="s">
        <v>2082</v>
      </c>
      <c r="M587" s="229" t="s">
        <v>2542</v>
      </c>
      <c r="N587" s="235">
        <f t="shared" si="39"/>
        <v>-2015.76</v>
      </c>
      <c r="O587" s="235">
        <f t="shared" si="40"/>
        <v>0</v>
      </c>
      <c r="P587" s="238" t="s">
        <v>4886</v>
      </c>
      <c r="Q587" s="1" t="s">
        <v>1863</v>
      </c>
      <c r="R587" s="239" t="s">
        <v>5640</v>
      </c>
      <c r="S587" s="238" t="s">
        <v>5640</v>
      </c>
      <c r="T587" s="238" t="s">
        <v>5640</v>
      </c>
      <c r="U587" s="238" t="s">
        <v>5640</v>
      </c>
      <c r="V587" s="238" t="s">
        <v>5640</v>
      </c>
      <c r="W587" s="236" t="s">
        <v>5640</v>
      </c>
      <c r="X587" s="233" t="s">
        <v>5640</v>
      </c>
      <c r="Y587" s="255"/>
      <c r="AB587" s="1" t="s">
        <v>2527</v>
      </c>
    </row>
    <row r="588" spans="1:28" ht="11.25" customHeight="1">
      <c r="A588" s="233">
        <v>41148</v>
      </c>
      <c r="B588" s="1" t="s">
        <v>3127</v>
      </c>
      <c r="C588" s="1" t="s">
        <v>2080</v>
      </c>
      <c r="D588" s="1" t="s">
        <v>9</v>
      </c>
      <c r="E588" s="1">
        <v>2096</v>
      </c>
      <c r="F588" s="5">
        <v>12</v>
      </c>
      <c r="G588" s="1" t="s">
        <v>2490</v>
      </c>
      <c r="H588" s="234">
        <v>14.25</v>
      </c>
      <c r="I588" s="236">
        <f t="shared" si="38"/>
        <v>171</v>
      </c>
      <c r="K588" s="241">
        <f>12.65*F588</f>
        <v>151.80000000000001</v>
      </c>
      <c r="L588" s="237">
        <v>41148</v>
      </c>
      <c r="M588" s="1" t="s">
        <v>2082</v>
      </c>
      <c r="N588" s="235">
        <f t="shared" si="39"/>
        <v>171</v>
      </c>
      <c r="O588" s="235">
        <f t="shared" si="40"/>
        <v>0</v>
      </c>
      <c r="P588" s="238" t="s">
        <v>2082</v>
      </c>
      <c r="Q588" s="1" t="s">
        <v>2082</v>
      </c>
      <c r="R588" s="239" t="s">
        <v>727</v>
      </c>
      <c r="S588" s="238" t="s">
        <v>728</v>
      </c>
      <c r="T588" s="238" t="s">
        <v>796</v>
      </c>
      <c r="U588" s="238" t="s">
        <v>5214</v>
      </c>
      <c r="Y588" s="255"/>
      <c r="AB588" s="1" t="s">
        <v>2527</v>
      </c>
    </row>
    <row r="589" spans="1:28" ht="11.25" customHeight="1">
      <c r="A589" s="233">
        <v>41149</v>
      </c>
      <c r="B589" s="1" t="s">
        <v>140</v>
      </c>
      <c r="C589" s="1" t="s">
        <v>2080</v>
      </c>
      <c r="D589" s="225" t="s">
        <v>1890</v>
      </c>
      <c r="E589" s="1" t="s">
        <v>3128</v>
      </c>
      <c r="F589" s="5">
        <v>9</v>
      </c>
      <c r="G589" s="1" t="s">
        <v>3129</v>
      </c>
      <c r="H589" s="234">
        <v>220</v>
      </c>
      <c r="I589" s="236">
        <f t="shared" si="38"/>
        <v>1980</v>
      </c>
      <c r="K589" s="241">
        <f>181.35*F589</f>
        <v>1632.1499999999999</v>
      </c>
      <c r="L589" s="237">
        <v>41149</v>
      </c>
      <c r="M589" s="225" t="s">
        <v>3118</v>
      </c>
      <c r="N589" s="235">
        <f t="shared" si="39"/>
        <v>1980</v>
      </c>
      <c r="O589" s="235">
        <f t="shared" si="40"/>
        <v>0</v>
      </c>
      <c r="P589" s="238" t="s">
        <v>3130</v>
      </c>
      <c r="Q589" s="225" t="s">
        <v>3120</v>
      </c>
      <c r="R589" s="239" t="s">
        <v>3131</v>
      </c>
      <c r="S589" s="238" t="s">
        <v>3132</v>
      </c>
      <c r="T589" s="238" t="s">
        <v>3133</v>
      </c>
      <c r="V589" s="238" t="s">
        <v>3134</v>
      </c>
      <c r="W589" s="236">
        <v>2200</v>
      </c>
      <c r="X589" s="233">
        <v>41149</v>
      </c>
      <c r="AB589" s="225" t="s">
        <v>3116</v>
      </c>
    </row>
    <row r="590" spans="1:28" ht="11.25" customHeight="1">
      <c r="A590" s="233">
        <v>41149</v>
      </c>
      <c r="B590" s="1" t="s">
        <v>140</v>
      </c>
      <c r="C590" s="1" t="s">
        <v>2080</v>
      </c>
      <c r="D590" s="5" t="s">
        <v>2014</v>
      </c>
      <c r="E590" s="1">
        <v>7502</v>
      </c>
      <c r="F590" s="5">
        <v>1</v>
      </c>
      <c r="G590" s="1" t="s">
        <v>2086</v>
      </c>
      <c r="H590" s="234">
        <v>142.4</v>
      </c>
      <c r="I590" s="236">
        <f t="shared" si="38"/>
        <v>142.4</v>
      </c>
      <c r="J590" s="352">
        <v>125</v>
      </c>
      <c r="K590" s="241">
        <f>125*F590</f>
        <v>125</v>
      </c>
      <c r="L590" s="237">
        <v>41149</v>
      </c>
      <c r="M590" s="225" t="s">
        <v>3118</v>
      </c>
      <c r="N590" s="235">
        <f t="shared" si="39"/>
        <v>142.4</v>
      </c>
      <c r="O590" s="235">
        <f t="shared" si="40"/>
        <v>0</v>
      </c>
      <c r="P590" s="238" t="s">
        <v>3130</v>
      </c>
      <c r="Q590" s="225" t="s">
        <v>3120</v>
      </c>
      <c r="R590" s="239" t="s">
        <v>3131</v>
      </c>
      <c r="S590" s="238" t="s">
        <v>3132</v>
      </c>
      <c r="T590" s="238" t="s">
        <v>3133</v>
      </c>
      <c r="V590" s="238" t="s">
        <v>3134</v>
      </c>
      <c r="W590" s="236">
        <v>2200</v>
      </c>
      <c r="X590" s="233">
        <v>41149</v>
      </c>
      <c r="AB590" s="225" t="s">
        <v>3116</v>
      </c>
    </row>
    <row r="591" spans="1:28" ht="11.25" customHeight="1">
      <c r="A591" s="233">
        <v>41149</v>
      </c>
      <c r="B591" s="1" t="s">
        <v>140</v>
      </c>
      <c r="C591" s="1" t="s">
        <v>2080</v>
      </c>
      <c r="D591" s="1" t="s">
        <v>353</v>
      </c>
      <c r="E591" s="1" t="s">
        <v>2492</v>
      </c>
      <c r="F591" s="5">
        <v>2</v>
      </c>
      <c r="G591" s="1" t="s">
        <v>2086</v>
      </c>
      <c r="H591" s="234">
        <v>20</v>
      </c>
      <c r="I591" s="236">
        <f t="shared" si="38"/>
        <v>40</v>
      </c>
      <c r="K591" s="241">
        <f>17.5*F591</f>
        <v>35</v>
      </c>
      <c r="L591" s="237">
        <v>41149</v>
      </c>
      <c r="M591" s="225" t="s">
        <v>3118</v>
      </c>
      <c r="N591" s="235">
        <f t="shared" si="39"/>
        <v>40</v>
      </c>
      <c r="O591" s="235">
        <f t="shared" si="40"/>
        <v>0</v>
      </c>
      <c r="P591" s="238" t="s">
        <v>3130</v>
      </c>
      <c r="Q591" s="225" t="s">
        <v>3120</v>
      </c>
      <c r="R591" s="239" t="s">
        <v>3131</v>
      </c>
      <c r="S591" s="238" t="s">
        <v>3132</v>
      </c>
      <c r="T591" s="238" t="s">
        <v>3133</v>
      </c>
      <c r="V591" s="238" t="s">
        <v>3134</v>
      </c>
      <c r="W591" s="236">
        <v>2200</v>
      </c>
      <c r="X591" s="233">
        <v>41149</v>
      </c>
      <c r="AB591" s="225" t="s">
        <v>3116</v>
      </c>
    </row>
    <row r="592" spans="1:28" ht="11.25" customHeight="1">
      <c r="A592" s="233">
        <v>41149</v>
      </c>
      <c r="B592" s="1" t="s">
        <v>140</v>
      </c>
      <c r="C592" s="1" t="s">
        <v>2080</v>
      </c>
      <c r="D592" s="1" t="s">
        <v>232</v>
      </c>
      <c r="E592" s="1" t="s">
        <v>2107</v>
      </c>
      <c r="F592" s="5">
        <v>4</v>
      </c>
      <c r="G592" s="1" t="s">
        <v>231</v>
      </c>
      <c r="H592" s="234">
        <v>8.5</v>
      </c>
      <c r="I592" s="236">
        <f t="shared" si="38"/>
        <v>34</v>
      </c>
      <c r="K592" s="241">
        <f>4.78*F592</f>
        <v>19.12</v>
      </c>
      <c r="L592" s="237">
        <v>41149</v>
      </c>
      <c r="M592" s="225" t="s">
        <v>3118</v>
      </c>
      <c r="N592" s="235">
        <f t="shared" si="39"/>
        <v>34</v>
      </c>
      <c r="O592" s="235">
        <f t="shared" si="40"/>
        <v>0</v>
      </c>
      <c r="P592" s="238" t="s">
        <v>3130</v>
      </c>
      <c r="Q592" s="225" t="s">
        <v>3120</v>
      </c>
      <c r="R592" s="239" t="s">
        <v>3131</v>
      </c>
      <c r="S592" s="238" t="s">
        <v>3132</v>
      </c>
      <c r="T592" s="238" t="s">
        <v>3133</v>
      </c>
      <c r="V592" s="238" t="s">
        <v>3134</v>
      </c>
      <c r="W592" s="236">
        <v>2200</v>
      </c>
      <c r="X592" s="233">
        <v>41149</v>
      </c>
      <c r="AB592" s="225" t="s">
        <v>3116</v>
      </c>
    </row>
    <row r="593" spans="1:28" ht="11.25" customHeight="1">
      <c r="A593" s="233">
        <v>41149</v>
      </c>
      <c r="B593" s="1" t="s">
        <v>3135</v>
      </c>
      <c r="C593" s="1" t="s">
        <v>2080</v>
      </c>
      <c r="D593" s="1" t="s">
        <v>263</v>
      </c>
      <c r="E593" s="1">
        <v>501</v>
      </c>
      <c r="F593" s="5">
        <v>2</v>
      </c>
      <c r="G593" s="1" t="s">
        <v>2086</v>
      </c>
      <c r="H593" s="234">
        <v>1.8</v>
      </c>
      <c r="I593" s="236">
        <f t="shared" si="38"/>
        <v>3.6</v>
      </c>
      <c r="J593" s="352">
        <v>1.39</v>
      </c>
      <c r="K593" s="241">
        <f>1.39*F593</f>
        <v>2.78</v>
      </c>
      <c r="L593" s="237">
        <v>41149</v>
      </c>
      <c r="M593" s="225" t="s">
        <v>3118</v>
      </c>
      <c r="N593" s="235">
        <f t="shared" si="39"/>
        <v>3.6</v>
      </c>
      <c r="O593" s="235">
        <f t="shared" si="40"/>
        <v>0</v>
      </c>
      <c r="P593" s="238" t="s">
        <v>3130</v>
      </c>
      <c r="Q593" s="225" t="s">
        <v>3120</v>
      </c>
      <c r="R593" s="239" t="s">
        <v>3131</v>
      </c>
      <c r="S593" s="238" t="s">
        <v>3132</v>
      </c>
      <c r="T593" s="238" t="s">
        <v>3133</v>
      </c>
      <c r="V593" s="238" t="s">
        <v>3134</v>
      </c>
      <c r="W593" s="236">
        <v>2200</v>
      </c>
      <c r="X593" s="233">
        <v>41149</v>
      </c>
      <c r="AB593" s="225" t="s">
        <v>3116</v>
      </c>
    </row>
    <row r="594" spans="1:28" ht="11.25" customHeight="1">
      <c r="A594" s="233">
        <v>41149</v>
      </c>
      <c r="B594" s="1" t="s">
        <v>3136</v>
      </c>
      <c r="C594" s="1" t="s">
        <v>2080</v>
      </c>
      <c r="D594" s="1" t="s">
        <v>2013</v>
      </c>
      <c r="E594" s="1" t="s">
        <v>3137</v>
      </c>
      <c r="F594" s="5">
        <v>10</v>
      </c>
      <c r="G594" s="1" t="s">
        <v>3129</v>
      </c>
      <c r="H594" s="234">
        <v>45</v>
      </c>
      <c r="I594" s="236">
        <f t="shared" si="38"/>
        <v>450</v>
      </c>
      <c r="K594" s="241">
        <f>33.11*F594</f>
        <v>331.1</v>
      </c>
      <c r="L594" s="237">
        <v>41149</v>
      </c>
      <c r="M594" s="225" t="s">
        <v>3118</v>
      </c>
      <c r="N594" s="235">
        <f t="shared" si="39"/>
        <v>450</v>
      </c>
      <c r="O594" s="235">
        <f t="shared" si="40"/>
        <v>0</v>
      </c>
      <c r="P594" s="238" t="s">
        <v>4886</v>
      </c>
      <c r="Q594" s="225" t="s">
        <v>3120</v>
      </c>
      <c r="R594" s="239" t="s">
        <v>3138</v>
      </c>
      <c r="S594" s="238" t="s">
        <v>3139</v>
      </c>
      <c r="T594" s="238" t="s">
        <v>2685</v>
      </c>
      <c r="U594" s="238" t="s">
        <v>5466</v>
      </c>
      <c r="V594" s="238" t="s">
        <v>2488</v>
      </c>
      <c r="AB594" s="225" t="s">
        <v>3116</v>
      </c>
    </row>
    <row r="595" spans="1:28" ht="11.25" customHeight="1">
      <c r="A595" s="233">
        <v>41149</v>
      </c>
      <c r="B595" s="1" t="s">
        <v>3136</v>
      </c>
      <c r="C595" s="1" t="s">
        <v>2080</v>
      </c>
      <c r="D595" s="1" t="s">
        <v>1874</v>
      </c>
      <c r="E595" s="1" t="s">
        <v>2615</v>
      </c>
      <c r="F595" s="5">
        <v>100</v>
      </c>
      <c r="G595" s="1" t="s">
        <v>231</v>
      </c>
      <c r="H595" s="234">
        <v>2.5</v>
      </c>
      <c r="I595" s="236">
        <f t="shared" si="38"/>
        <v>250</v>
      </c>
      <c r="J595" s="359">
        <v>1.7</v>
      </c>
      <c r="K595" s="241">
        <f>1.7*F595</f>
        <v>170</v>
      </c>
      <c r="L595" s="237">
        <v>41149</v>
      </c>
      <c r="M595" s="225" t="s">
        <v>3118</v>
      </c>
      <c r="N595" s="235">
        <f t="shared" si="39"/>
        <v>250</v>
      </c>
      <c r="O595" s="235">
        <f t="shared" si="40"/>
        <v>0</v>
      </c>
      <c r="P595" s="238" t="s">
        <v>4886</v>
      </c>
      <c r="Q595" s="225" t="s">
        <v>3120</v>
      </c>
      <c r="R595" s="239" t="s">
        <v>3138</v>
      </c>
      <c r="S595" s="238" t="s">
        <v>3139</v>
      </c>
      <c r="T595" s="238" t="s">
        <v>2685</v>
      </c>
      <c r="U595" s="238" t="s">
        <v>5466</v>
      </c>
      <c r="V595" s="238" t="s">
        <v>2488</v>
      </c>
      <c r="AB595" s="225" t="s">
        <v>3116</v>
      </c>
    </row>
    <row r="596" spans="1:28" ht="11.25" customHeight="1">
      <c r="A596" s="233">
        <v>41149</v>
      </c>
      <c r="B596" s="1" t="s">
        <v>3136</v>
      </c>
      <c r="C596" s="1" t="s">
        <v>2080</v>
      </c>
      <c r="D596" s="1" t="s">
        <v>266</v>
      </c>
      <c r="E596" s="1">
        <v>12308</v>
      </c>
      <c r="F596" s="5">
        <v>3</v>
      </c>
      <c r="G596" s="1" t="s">
        <v>2398</v>
      </c>
      <c r="H596" s="234">
        <v>26</v>
      </c>
      <c r="I596" s="236">
        <f t="shared" si="38"/>
        <v>78</v>
      </c>
      <c r="K596" s="241">
        <f>18.779*F596</f>
        <v>56.337000000000003</v>
      </c>
      <c r="L596" s="237">
        <v>41149</v>
      </c>
      <c r="M596" s="225" t="s">
        <v>3118</v>
      </c>
      <c r="N596" s="235">
        <f t="shared" si="39"/>
        <v>78</v>
      </c>
      <c r="O596" s="235">
        <f t="shared" si="40"/>
        <v>0</v>
      </c>
      <c r="P596" s="238" t="s">
        <v>4886</v>
      </c>
      <c r="Q596" s="225" t="s">
        <v>3120</v>
      </c>
      <c r="R596" s="239" t="s">
        <v>3138</v>
      </c>
      <c r="S596" s="238" t="s">
        <v>3139</v>
      </c>
      <c r="T596" s="238" t="s">
        <v>2685</v>
      </c>
      <c r="U596" s="238" t="s">
        <v>5466</v>
      </c>
      <c r="V596" s="238" t="s">
        <v>2488</v>
      </c>
      <c r="AB596" s="225" t="s">
        <v>3116</v>
      </c>
    </row>
    <row r="597" spans="1:28" ht="11.25" customHeight="1">
      <c r="A597" s="233">
        <v>41149</v>
      </c>
      <c r="B597" s="1" t="s">
        <v>3136</v>
      </c>
      <c r="C597" s="1" t="s">
        <v>2080</v>
      </c>
      <c r="D597" s="1" t="s">
        <v>86</v>
      </c>
      <c r="E597" s="1">
        <v>9032</v>
      </c>
      <c r="F597" s="5">
        <v>10</v>
      </c>
      <c r="G597" s="1" t="s">
        <v>2086</v>
      </c>
      <c r="H597" s="234">
        <v>2.4</v>
      </c>
      <c r="I597" s="236">
        <f t="shared" si="38"/>
        <v>24</v>
      </c>
      <c r="K597" s="241">
        <f>1.49*F597</f>
        <v>14.9</v>
      </c>
      <c r="L597" s="237">
        <v>41149</v>
      </c>
      <c r="M597" s="225" t="s">
        <v>3118</v>
      </c>
      <c r="N597" s="235">
        <f t="shared" si="39"/>
        <v>24</v>
      </c>
      <c r="O597" s="235">
        <f t="shared" si="40"/>
        <v>0</v>
      </c>
      <c r="P597" s="238" t="s">
        <v>4886</v>
      </c>
      <c r="Q597" s="225" t="s">
        <v>3120</v>
      </c>
      <c r="R597" s="239" t="s">
        <v>3138</v>
      </c>
      <c r="S597" s="238" t="s">
        <v>3139</v>
      </c>
      <c r="T597" s="238" t="s">
        <v>2685</v>
      </c>
      <c r="U597" s="238" t="s">
        <v>5466</v>
      </c>
      <c r="V597" s="238" t="s">
        <v>2488</v>
      </c>
      <c r="AB597" s="225" t="s">
        <v>3116</v>
      </c>
    </row>
    <row r="598" spans="1:28" ht="11.25" customHeight="1">
      <c r="A598" s="233">
        <v>41150</v>
      </c>
      <c r="B598" s="1" t="s">
        <v>3140</v>
      </c>
      <c r="C598" s="1" t="s">
        <v>2080</v>
      </c>
      <c r="D598" s="1" t="s">
        <v>1711</v>
      </c>
      <c r="E598" s="1">
        <v>8210</v>
      </c>
      <c r="F598" s="5">
        <v>2240</v>
      </c>
      <c r="G598" s="1" t="s">
        <v>2086</v>
      </c>
      <c r="H598" s="234">
        <v>4.2</v>
      </c>
      <c r="I598" s="236">
        <f t="shared" si="38"/>
        <v>9408</v>
      </c>
      <c r="K598" s="241">
        <f>3.63*F598</f>
        <v>8131.2</v>
      </c>
      <c r="L598" s="237">
        <v>41150</v>
      </c>
      <c r="M598" s="225" t="s">
        <v>2077</v>
      </c>
      <c r="N598" s="235">
        <f t="shared" si="39"/>
        <v>9408</v>
      </c>
      <c r="O598" s="235">
        <f t="shared" si="40"/>
        <v>0</v>
      </c>
      <c r="P598" s="238" t="s">
        <v>4886</v>
      </c>
      <c r="Q598" s="225" t="s">
        <v>3141</v>
      </c>
      <c r="R598" s="239" t="s">
        <v>3142</v>
      </c>
      <c r="S598" s="238" t="s">
        <v>3143</v>
      </c>
      <c r="T598" s="238" t="s">
        <v>3144</v>
      </c>
      <c r="U598" s="238" t="s">
        <v>3145</v>
      </c>
      <c r="V598" s="238" t="s">
        <v>3146</v>
      </c>
      <c r="W598" s="236">
        <v>9408</v>
      </c>
      <c r="X598" s="233">
        <v>41205</v>
      </c>
      <c r="Y598" s="238" t="s">
        <v>3147</v>
      </c>
      <c r="AB598" s="1" t="s">
        <v>2527</v>
      </c>
    </row>
    <row r="599" spans="1:28" ht="11.25" customHeight="1">
      <c r="A599" s="233">
        <v>41150</v>
      </c>
      <c r="B599" s="1" t="s">
        <v>2649</v>
      </c>
      <c r="C599" s="1" t="s">
        <v>2080</v>
      </c>
      <c r="D599" s="5" t="s">
        <v>2012</v>
      </c>
      <c r="E599" s="1" t="s">
        <v>2489</v>
      </c>
      <c r="F599" s="5">
        <v>2000</v>
      </c>
      <c r="G599" s="1" t="s">
        <v>4970</v>
      </c>
      <c r="H599" s="234">
        <v>1.65</v>
      </c>
      <c r="I599" s="236">
        <f t="shared" si="38"/>
        <v>3300</v>
      </c>
      <c r="J599" s="360">
        <v>1.46</v>
      </c>
      <c r="K599" s="241">
        <f>1.46*F599</f>
        <v>2920</v>
      </c>
      <c r="L599" s="237">
        <v>41150</v>
      </c>
      <c r="M599" s="225" t="s">
        <v>2077</v>
      </c>
      <c r="N599" s="235">
        <f t="shared" si="39"/>
        <v>3300</v>
      </c>
      <c r="O599" s="235">
        <f t="shared" si="40"/>
        <v>0</v>
      </c>
      <c r="P599" s="238" t="s">
        <v>4886</v>
      </c>
      <c r="Q599" s="225" t="s">
        <v>3120</v>
      </c>
      <c r="R599" s="239" t="s">
        <v>3148</v>
      </c>
      <c r="S599" s="238" t="s">
        <v>3149</v>
      </c>
      <c r="T599" s="238" t="s">
        <v>2082</v>
      </c>
      <c r="U599" s="238" t="s">
        <v>2082</v>
      </c>
      <c r="V599" s="238" t="s">
        <v>2651</v>
      </c>
      <c r="W599" s="236">
        <v>11698.5</v>
      </c>
      <c r="X599" s="233">
        <v>41177</v>
      </c>
      <c r="Y599" s="238" t="s">
        <v>2082</v>
      </c>
      <c r="AB599" s="1" t="s">
        <v>2527</v>
      </c>
    </row>
    <row r="600" spans="1:28" ht="11.25" customHeight="1">
      <c r="A600" s="233">
        <v>41150</v>
      </c>
      <c r="B600" s="1" t="s">
        <v>3150</v>
      </c>
      <c r="C600" s="1" t="s">
        <v>2080</v>
      </c>
      <c r="D600" s="1" t="s">
        <v>1916</v>
      </c>
      <c r="E600" s="1">
        <v>6800</v>
      </c>
      <c r="F600" s="5">
        <v>5</v>
      </c>
      <c r="G600" s="232" t="s">
        <v>3151</v>
      </c>
      <c r="H600" s="234">
        <v>466.8</v>
      </c>
      <c r="I600" s="236">
        <f>H600*F600</f>
        <v>2334</v>
      </c>
      <c r="K600" s="241">
        <f>420*F600</f>
        <v>2100</v>
      </c>
      <c r="L600" s="237">
        <v>41151</v>
      </c>
      <c r="M600" s="225" t="s">
        <v>2077</v>
      </c>
      <c r="N600" s="235">
        <f t="shared" si="39"/>
        <v>2334</v>
      </c>
      <c r="O600" s="235">
        <f t="shared" si="40"/>
        <v>0</v>
      </c>
      <c r="P600" s="238" t="s">
        <v>2082</v>
      </c>
      <c r="Q600" s="1" t="s">
        <v>1263</v>
      </c>
      <c r="R600" s="239" t="s">
        <v>3152</v>
      </c>
      <c r="S600" s="10">
        <v>13987101500</v>
      </c>
      <c r="T600" s="238" t="s">
        <v>2082</v>
      </c>
      <c r="U600" s="238" t="s">
        <v>3153</v>
      </c>
      <c r="V600" s="238" t="s">
        <v>3154</v>
      </c>
      <c r="W600" s="236">
        <v>4301</v>
      </c>
      <c r="X600" s="233">
        <v>41177</v>
      </c>
      <c r="Y600" s="238" t="s">
        <v>3155</v>
      </c>
      <c r="AB600" s="1" t="s">
        <v>2527</v>
      </c>
    </row>
    <row r="601" spans="1:28" ht="11.25" customHeight="1">
      <c r="A601" s="233">
        <v>41150</v>
      </c>
      <c r="B601" s="1" t="s">
        <v>3150</v>
      </c>
      <c r="C601" s="1" t="s">
        <v>2080</v>
      </c>
      <c r="D601" s="1" t="s">
        <v>240</v>
      </c>
      <c r="E601" s="1">
        <v>6200</v>
      </c>
      <c r="F601" s="5">
        <v>15</v>
      </c>
      <c r="G601" s="232" t="s">
        <v>3151</v>
      </c>
      <c r="H601" s="234">
        <v>49</v>
      </c>
      <c r="I601" s="236">
        <f t="shared" si="38"/>
        <v>735</v>
      </c>
      <c r="J601" s="352">
        <v>45</v>
      </c>
      <c r="K601" s="241" t="e">
        <f>#REF!*F601</f>
        <v>#REF!</v>
      </c>
      <c r="L601" s="237">
        <v>41151</v>
      </c>
      <c r="M601" s="225" t="s">
        <v>2077</v>
      </c>
      <c r="N601" s="235">
        <f t="shared" si="39"/>
        <v>735</v>
      </c>
      <c r="O601" s="235">
        <f t="shared" si="40"/>
        <v>0</v>
      </c>
      <c r="P601" s="238" t="s">
        <v>2082</v>
      </c>
      <c r="Q601" s="1" t="s">
        <v>1263</v>
      </c>
      <c r="R601" s="239" t="s">
        <v>3152</v>
      </c>
      <c r="S601" s="10">
        <v>13987101500</v>
      </c>
      <c r="T601" s="238" t="s">
        <v>2082</v>
      </c>
      <c r="U601" s="238" t="s">
        <v>3153</v>
      </c>
      <c r="V601" s="238" t="s">
        <v>3154</v>
      </c>
      <c r="W601" s="236">
        <v>4301</v>
      </c>
      <c r="X601" s="233">
        <v>41177</v>
      </c>
      <c r="Y601" s="238" t="s">
        <v>3155</v>
      </c>
      <c r="AB601" s="1" t="s">
        <v>2527</v>
      </c>
    </row>
    <row r="602" spans="1:28" ht="11.25" customHeight="1">
      <c r="A602" s="233">
        <v>41150</v>
      </c>
      <c r="B602" s="1" t="s">
        <v>3150</v>
      </c>
      <c r="C602" s="1" t="s">
        <v>2080</v>
      </c>
      <c r="D602" s="1" t="s">
        <v>844</v>
      </c>
      <c r="E602" s="1" t="s">
        <v>3156</v>
      </c>
      <c r="F602" s="5">
        <v>40</v>
      </c>
      <c r="G602" s="232" t="s">
        <v>3151</v>
      </c>
      <c r="H602" s="234">
        <v>30.8</v>
      </c>
      <c r="I602" s="236">
        <f t="shared" si="38"/>
        <v>1232</v>
      </c>
      <c r="K602" s="241">
        <f>29.5*F602</f>
        <v>1180</v>
      </c>
      <c r="L602" s="237">
        <v>41151</v>
      </c>
      <c r="M602" s="225" t="s">
        <v>2077</v>
      </c>
      <c r="N602" s="235">
        <f t="shared" si="39"/>
        <v>1232</v>
      </c>
      <c r="O602" s="235">
        <f t="shared" si="40"/>
        <v>0</v>
      </c>
      <c r="P602" s="238" t="s">
        <v>2082</v>
      </c>
      <c r="Q602" s="1" t="s">
        <v>3157</v>
      </c>
      <c r="R602" s="239" t="s">
        <v>3152</v>
      </c>
      <c r="S602" s="10">
        <v>13987101500</v>
      </c>
      <c r="T602" s="238" t="s">
        <v>2082</v>
      </c>
      <c r="U602" s="238" t="s">
        <v>3153</v>
      </c>
      <c r="V602" s="238" t="s">
        <v>3154</v>
      </c>
      <c r="W602" s="236">
        <v>4301</v>
      </c>
      <c r="X602" s="233">
        <v>41177</v>
      </c>
      <c r="Y602" s="238" t="s">
        <v>3155</v>
      </c>
      <c r="AB602" s="1" t="s">
        <v>2527</v>
      </c>
    </row>
    <row r="603" spans="1:28" ht="11.25" customHeight="1">
      <c r="A603" s="233">
        <v>41150</v>
      </c>
      <c r="B603" s="1" t="s">
        <v>2169</v>
      </c>
      <c r="C603" s="1" t="s">
        <v>2080</v>
      </c>
      <c r="D603" s="1" t="s">
        <v>273</v>
      </c>
      <c r="E603" s="1" t="s">
        <v>2110</v>
      </c>
      <c r="F603" s="5">
        <v>900</v>
      </c>
      <c r="G603" s="1" t="s">
        <v>2086</v>
      </c>
      <c r="H603" s="234">
        <v>32</v>
      </c>
      <c r="I603" s="236">
        <f t="shared" si="38"/>
        <v>28800</v>
      </c>
      <c r="J603" s="352" t="s">
        <v>6046</v>
      </c>
      <c r="K603" s="241">
        <f>300*29.5+600*29</f>
        <v>26250</v>
      </c>
      <c r="L603" s="237">
        <v>41164</v>
      </c>
      <c r="M603" s="1" t="s">
        <v>3158</v>
      </c>
      <c r="N603" s="235">
        <f t="shared" si="39"/>
        <v>28800</v>
      </c>
      <c r="O603" s="235">
        <f t="shared" si="40"/>
        <v>0</v>
      </c>
      <c r="P603" s="238" t="s">
        <v>4886</v>
      </c>
      <c r="Q603" s="1" t="s">
        <v>2617</v>
      </c>
      <c r="R603" s="239" t="s">
        <v>2618</v>
      </c>
      <c r="S603" s="238" t="s">
        <v>2619</v>
      </c>
      <c r="T603" s="238" t="s">
        <v>2082</v>
      </c>
      <c r="U603" s="238" t="s">
        <v>3159</v>
      </c>
      <c r="V603" s="238" t="s">
        <v>3160</v>
      </c>
      <c r="W603" s="236" t="s">
        <v>3161</v>
      </c>
      <c r="X603" s="233">
        <v>41200</v>
      </c>
      <c r="Y603" s="238" t="s">
        <v>3162</v>
      </c>
      <c r="AB603" s="1" t="s">
        <v>2527</v>
      </c>
    </row>
    <row r="604" spans="1:28" ht="11.25" customHeight="1">
      <c r="A604" s="233">
        <v>41150</v>
      </c>
      <c r="B604" s="1" t="s">
        <v>2169</v>
      </c>
      <c r="C604" s="1" t="s">
        <v>2080</v>
      </c>
      <c r="D604" s="1" t="s">
        <v>232</v>
      </c>
      <c r="E604" s="1" t="s">
        <v>2107</v>
      </c>
      <c r="F604" s="5">
        <v>1000</v>
      </c>
      <c r="G604" s="1" t="s">
        <v>231</v>
      </c>
      <c r="H604" s="234">
        <v>5.52</v>
      </c>
      <c r="I604" s="236">
        <f t="shared" si="38"/>
        <v>5520</v>
      </c>
      <c r="K604" s="241">
        <f>4.88*F604</f>
        <v>4880</v>
      </c>
      <c r="L604" s="237">
        <v>41164</v>
      </c>
      <c r="M604" s="1" t="s">
        <v>3158</v>
      </c>
      <c r="N604" s="235">
        <f t="shared" si="39"/>
        <v>5520</v>
      </c>
      <c r="O604" s="235">
        <f t="shared" si="40"/>
        <v>0</v>
      </c>
      <c r="P604" s="238" t="s">
        <v>4886</v>
      </c>
      <c r="Q604" s="1" t="s">
        <v>2617</v>
      </c>
      <c r="R604" s="239" t="s">
        <v>2618</v>
      </c>
      <c r="S604" s="238" t="s">
        <v>2619</v>
      </c>
      <c r="T604" s="238" t="s">
        <v>2082</v>
      </c>
      <c r="U604" s="238" t="s">
        <v>3159</v>
      </c>
      <c r="V604" s="238" t="s">
        <v>3163</v>
      </c>
      <c r="W604" s="236">
        <v>11214</v>
      </c>
      <c r="X604" s="233">
        <v>41200</v>
      </c>
      <c r="Y604" s="238" t="s">
        <v>3162</v>
      </c>
      <c r="AB604" s="1" t="s">
        <v>2527</v>
      </c>
    </row>
    <row r="605" spans="1:28" ht="11.25" customHeight="1">
      <c r="A605" s="233">
        <v>41150</v>
      </c>
      <c r="B605" s="1" t="s">
        <v>2169</v>
      </c>
      <c r="C605" s="1" t="s">
        <v>2080</v>
      </c>
      <c r="D605" s="1" t="s">
        <v>263</v>
      </c>
      <c r="E605" s="1">
        <v>501</v>
      </c>
      <c r="F605" s="5">
        <v>500</v>
      </c>
      <c r="G605" s="1" t="s">
        <v>2086</v>
      </c>
      <c r="H605" s="234">
        <v>1.45</v>
      </c>
      <c r="I605" s="236">
        <f t="shared" si="38"/>
        <v>725</v>
      </c>
      <c r="J605" s="352" t="s">
        <v>6047</v>
      </c>
      <c r="K605" s="241">
        <f>1.39*400+1.4*100</f>
        <v>696</v>
      </c>
      <c r="L605" s="237">
        <v>41164</v>
      </c>
      <c r="M605" s="1" t="s">
        <v>3158</v>
      </c>
      <c r="N605" s="235">
        <f t="shared" si="39"/>
        <v>725</v>
      </c>
      <c r="O605" s="235">
        <f t="shared" si="40"/>
        <v>0</v>
      </c>
      <c r="P605" s="238" t="s">
        <v>4886</v>
      </c>
      <c r="Q605" s="1" t="s">
        <v>2617</v>
      </c>
      <c r="R605" s="239" t="s">
        <v>2618</v>
      </c>
      <c r="S605" s="238" t="s">
        <v>2619</v>
      </c>
      <c r="T605" s="238" t="s">
        <v>2082</v>
      </c>
      <c r="U605" s="238" t="s">
        <v>3159</v>
      </c>
      <c r="V605" s="238" t="s">
        <v>3163</v>
      </c>
      <c r="W605" s="236">
        <v>11214</v>
      </c>
      <c r="X605" s="233">
        <v>41200</v>
      </c>
      <c r="Y605" s="238" t="s">
        <v>3162</v>
      </c>
      <c r="AB605" s="1" t="s">
        <v>2527</v>
      </c>
    </row>
    <row r="606" spans="1:28" ht="11.25" customHeight="1">
      <c r="A606" s="233">
        <v>41150</v>
      </c>
      <c r="B606" s="1" t="s">
        <v>2169</v>
      </c>
      <c r="C606" s="1" t="s">
        <v>2080</v>
      </c>
      <c r="D606" s="5" t="s">
        <v>1221</v>
      </c>
      <c r="E606" s="1" t="s">
        <v>2625</v>
      </c>
      <c r="F606" s="5">
        <v>100</v>
      </c>
      <c r="G606" s="1" t="s">
        <v>2086</v>
      </c>
      <c r="H606" s="234">
        <v>37.65</v>
      </c>
      <c r="I606" s="236">
        <f t="shared" si="38"/>
        <v>3765</v>
      </c>
      <c r="K606" s="241">
        <f>36*F606</f>
        <v>3600</v>
      </c>
      <c r="L606" s="237">
        <v>41164</v>
      </c>
      <c r="M606" s="1" t="s">
        <v>3158</v>
      </c>
      <c r="N606" s="235">
        <f t="shared" si="39"/>
        <v>3765</v>
      </c>
      <c r="O606" s="235">
        <f t="shared" si="40"/>
        <v>0</v>
      </c>
      <c r="P606" s="238" t="s">
        <v>4886</v>
      </c>
      <c r="Q606" s="1" t="s">
        <v>2617</v>
      </c>
      <c r="R606" s="239" t="s">
        <v>2618</v>
      </c>
      <c r="S606" s="238" t="s">
        <v>2619</v>
      </c>
      <c r="T606" s="238" t="s">
        <v>2082</v>
      </c>
      <c r="U606" s="238" t="s">
        <v>3159</v>
      </c>
      <c r="V606" s="238" t="s">
        <v>3163</v>
      </c>
      <c r="W606" s="236">
        <v>11214</v>
      </c>
      <c r="X606" s="233">
        <v>41200</v>
      </c>
      <c r="Y606" s="238" t="s">
        <v>3162</v>
      </c>
      <c r="AB606" s="1" t="s">
        <v>2527</v>
      </c>
    </row>
    <row r="607" spans="1:28" ht="11.25" customHeight="1">
      <c r="A607" s="233">
        <v>41150</v>
      </c>
      <c r="B607" s="1" t="s">
        <v>2169</v>
      </c>
      <c r="C607" s="1" t="s">
        <v>2080</v>
      </c>
      <c r="D607" s="1" t="s">
        <v>268</v>
      </c>
      <c r="E607" s="1" t="s">
        <v>2120</v>
      </c>
      <c r="F607" s="5">
        <v>100</v>
      </c>
      <c r="G607" s="1" t="s">
        <v>2490</v>
      </c>
      <c r="H607" s="234">
        <v>1.48</v>
      </c>
      <c r="I607" s="236">
        <f t="shared" si="38"/>
        <v>148</v>
      </c>
      <c r="J607" s="352">
        <v>1.4</v>
      </c>
      <c r="K607" s="241">
        <f>1.4*F607</f>
        <v>140</v>
      </c>
      <c r="L607" s="237">
        <v>41164</v>
      </c>
      <c r="M607" s="1" t="s">
        <v>3158</v>
      </c>
      <c r="N607" s="235">
        <f t="shared" si="39"/>
        <v>148</v>
      </c>
      <c r="O607" s="235">
        <f t="shared" si="40"/>
        <v>0</v>
      </c>
      <c r="P607" s="238" t="s">
        <v>4886</v>
      </c>
      <c r="Q607" s="1" t="s">
        <v>2617</v>
      </c>
      <c r="R607" s="239" t="s">
        <v>2618</v>
      </c>
      <c r="S607" s="238" t="s">
        <v>2619</v>
      </c>
      <c r="T607" s="238" t="s">
        <v>2082</v>
      </c>
      <c r="U607" s="238" t="s">
        <v>3159</v>
      </c>
      <c r="V607" s="238" t="s">
        <v>3163</v>
      </c>
      <c r="W607" s="236">
        <v>11214</v>
      </c>
      <c r="X607" s="233">
        <v>41200</v>
      </c>
      <c r="Y607" s="238" t="s">
        <v>3162</v>
      </c>
      <c r="AB607" s="1" t="s">
        <v>2527</v>
      </c>
    </row>
    <row r="608" spans="1:28" ht="11.25" customHeight="1">
      <c r="A608" s="233">
        <v>41150</v>
      </c>
      <c r="B608" s="1" t="s">
        <v>2169</v>
      </c>
      <c r="C608" s="1" t="s">
        <v>2080</v>
      </c>
      <c r="D608" s="1" t="s">
        <v>263</v>
      </c>
      <c r="E608" s="1" t="s">
        <v>2118</v>
      </c>
      <c r="F608" s="5">
        <v>100</v>
      </c>
      <c r="G608" s="1" t="s">
        <v>2086</v>
      </c>
      <c r="H608" s="234">
        <v>2.0099999999999998</v>
      </c>
      <c r="I608" s="236">
        <f t="shared" si="38"/>
        <v>200.99999999999997</v>
      </c>
      <c r="J608" s="352">
        <v>1.88</v>
      </c>
      <c r="K608" s="241">
        <f>1.88*F608</f>
        <v>188</v>
      </c>
      <c r="L608" s="237">
        <v>41164</v>
      </c>
      <c r="M608" s="1" t="s">
        <v>3158</v>
      </c>
      <c r="N608" s="235">
        <f t="shared" si="39"/>
        <v>200.99999999999997</v>
      </c>
      <c r="O608" s="235">
        <f t="shared" si="40"/>
        <v>0</v>
      </c>
      <c r="P608" s="238" t="s">
        <v>4886</v>
      </c>
      <c r="Q608" s="1" t="s">
        <v>2617</v>
      </c>
      <c r="R608" s="239" t="s">
        <v>2618</v>
      </c>
      <c r="S608" s="238" t="s">
        <v>2619</v>
      </c>
      <c r="T608" s="238" t="s">
        <v>2082</v>
      </c>
      <c r="U608" s="238" t="s">
        <v>3159</v>
      </c>
      <c r="V608" s="238" t="s">
        <v>3163</v>
      </c>
      <c r="W608" s="236">
        <v>11214</v>
      </c>
      <c r="X608" s="233">
        <v>41200</v>
      </c>
      <c r="Y608" s="238" t="s">
        <v>3162</v>
      </c>
      <c r="AB608" s="1" t="s">
        <v>2527</v>
      </c>
    </row>
    <row r="609" spans="1:28" ht="11.25" customHeight="1">
      <c r="A609" s="233">
        <v>41150</v>
      </c>
      <c r="B609" s="1" t="s">
        <v>2111</v>
      </c>
      <c r="C609" s="1" t="s">
        <v>2080</v>
      </c>
      <c r="D609" s="1" t="s">
        <v>1210</v>
      </c>
      <c r="E609" s="1">
        <v>3200</v>
      </c>
      <c r="F609" s="5">
        <v>100</v>
      </c>
      <c r="G609" s="1" t="s">
        <v>2086</v>
      </c>
      <c r="H609" s="234">
        <v>26.88</v>
      </c>
      <c r="I609" s="236">
        <f t="shared" si="38"/>
        <v>2688</v>
      </c>
      <c r="J609" s="352">
        <v>26</v>
      </c>
      <c r="K609" s="241">
        <f>26*F609</f>
        <v>2600</v>
      </c>
      <c r="L609" s="237">
        <v>41155</v>
      </c>
      <c r="M609" s="1" t="s">
        <v>2327</v>
      </c>
      <c r="N609" s="235">
        <f t="shared" si="39"/>
        <v>2688</v>
      </c>
      <c r="O609" s="235">
        <f t="shared" si="40"/>
        <v>0</v>
      </c>
      <c r="P609" s="238" t="s">
        <v>3164</v>
      </c>
      <c r="Q609" s="1" t="s">
        <v>1264</v>
      </c>
      <c r="R609" s="239" t="s">
        <v>414</v>
      </c>
      <c r="S609" s="238" t="s">
        <v>415</v>
      </c>
      <c r="V609" s="238" t="s">
        <v>2488</v>
      </c>
      <c r="AB609" s="1" t="s">
        <v>2527</v>
      </c>
    </row>
    <row r="610" spans="1:28" ht="11.25" customHeight="1">
      <c r="A610" s="233">
        <v>41150</v>
      </c>
      <c r="B610" s="1" t="s">
        <v>2111</v>
      </c>
      <c r="C610" s="1" t="s">
        <v>2080</v>
      </c>
      <c r="D610" s="1" t="s">
        <v>346</v>
      </c>
      <c r="E610" s="1">
        <v>3700</v>
      </c>
      <c r="F610" s="5">
        <v>100</v>
      </c>
      <c r="G610" s="1" t="s">
        <v>229</v>
      </c>
      <c r="H610" s="234">
        <v>3.55</v>
      </c>
      <c r="I610" s="236">
        <f t="shared" si="38"/>
        <v>355</v>
      </c>
      <c r="J610" s="352">
        <v>3.1</v>
      </c>
      <c r="K610" s="241">
        <f>3.1*F610</f>
        <v>310</v>
      </c>
      <c r="L610" s="237">
        <v>41155</v>
      </c>
      <c r="M610" s="1" t="s">
        <v>2327</v>
      </c>
      <c r="N610" s="235">
        <f t="shared" si="39"/>
        <v>355</v>
      </c>
      <c r="O610" s="235">
        <f t="shared" si="40"/>
        <v>0</v>
      </c>
      <c r="P610" s="238" t="s">
        <v>3164</v>
      </c>
      <c r="Q610" s="1" t="s">
        <v>3165</v>
      </c>
      <c r="R610" s="239" t="s">
        <v>414</v>
      </c>
      <c r="S610" s="238" t="s">
        <v>415</v>
      </c>
      <c r="V610" s="238" t="s">
        <v>2488</v>
      </c>
      <c r="AB610" s="1" t="s">
        <v>2527</v>
      </c>
    </row>
    <row r="611" spans="1:28" ht="11.25" customHeight="1">
      <c r="A611" s="233">
        <v>41150</v>
      </c>
      <c r="B611" s="1" t="s">
        <v>2111</v>
      </c>
      <c r="C611" s="1" t="s">
        <v>2080</v>
      </c>
      <c r="D611" s="1" t="s">
        <v>232</v>
      </c>
      <c r="E611" s="1" t="s">
        <v>2615</v>
      </c>
      <c r="F611" s="5">
        <v>500</v>
      </c>
      <c r="G611" s="1" t="s">
        <v>231</v>
      </c>
      <c r="H611" s="234">
        <v>1.83</v>
      </c>
      <c r="I611" s="236">
        <f t="shared" si="38"/>
        <v>915</v>
      </c>
      <c r="J611" s="359">
        <v>1.6</v>
      </c>
      <c r="K611" s="241">
        <f>1.6*F611</f>
        <v>800</v>
      </c>
      <c r="L611" s="237">
        <v>41155</v>
      </c>
      <c r="M611" s="1" t="s">
        <v>2327</v>
      </c>
      <c r="N611" s="235">
        <f t="shared" si="39"/>
        <v>915</v>
      </c>
      <c r="O611" s="235">
        <f t="shared" si="40"/>
        <v>0</v>
      </c>
      <c r="P611" s="238" t="s">
        <v>3164</v>
      </c>
      <c r="Q611" s="1" t="s">
        <v>3165</v>
      </c>
      <c r="R611" s="239" t="s">
        <v>414</v>
      </c>
      <c r="S611" s="238" t="s">
        <v>415</v>
      </c>
      <c r="V611" s="238" t="s">
        <v>2488</v>
      </c>
      <c r="AB611" s="1" t="s">
        <v>2527</v>
      </c>
    </row>
    <row r="612" spans="1:28" ht="11.25" customHeight="1">
      <c r="A612" s="233">
        <v>41150</v>
      </c>
      <c r="B612" s="1" t="s">
        <v>2111</v>
      </c>
      <c r="C612" s="1" t="s">
        <v>2080</v>
      </c>
      <c r="D612" s="1" t="s">
        <v>263</v>
      </c>
      <c r="E612" s="1" t="s">
        <v>2118</v>
      </c>
      <c r="F612" s="5">
        <v>10</v>
      </c>
      <c r="G612" s="1" t="s">
        <v>2086</v>
      </c>
      <c r="H612" s="234">
        <v>1.98</v>
      </c>
      <c r="I612" s="236">
        <f t="shared" si="38"/>
        <v>19.8</v>
      </c>
      <c r="J612" s="352">
        <v>1.92</v>
      </c>
      <c r="K612" s="241">
        <f>1.92*F612</f>
        <v>19.2</v>
      </c>
      <c r="L612" s="237">
        <v>41155</v>
      </c>
      <c r="M612" s="1" t="s">
        <v>2327</v>
      </c>
      <c r="N612" s="235">
        <f t="shared" si="39"/>
        <v>19.8</v>
      </c>
      <c r="O612" s="235">
        <f t="shared" si="40"/>
        <v>0</v>
      </c>
      <c r="P612" s="238" t="s">
        <v>3164</v>
      </c>
      <c r="Q612" s="1" t="s">
        <v>3165</v>
      </c>
      <c r="R612" s="239" t="s">
        <v>414</v>
      </c>
      <c r="S612" s="238" t="s">
        <v>415</v>
      </c>
      <c r="U612" s="238" t="s">
        <v>3166</v>
      </c>
      <c r="V612" s="238" t="s">
        <v>2488</v>
      </c>
      <c r="AB612" s="1" t="s">
        <v>2527</v>
      </c>
    </row>
    <row r="613" spans="1:28" ht="11.25" customHeight="1">
      <c r="A613" s="233">
        <v>41150</v>
      </c>
      <c r="B613" s="1" t="s">
        <v>2111</v>
      </c>
      <c r="C613" s="1" t="s">
        <v>2080</v>
      </c>
      <c r="D613" s="1" t="s">
        <v>353</v>
      </c>
      <c r="E613" s="1" t="s">
        <v>2397</v>
      </c>
      <c r="F613" s="5">
        <v>10</v>
      </c>
      <c r="G613" s="1" t="s">
        <v>2086</v>
      </c>
      <c r="H613" s="234">
        <v>13.13</v>
      </c>
      <c r="I613" s="236">
        <f t="shared" si="38"/>
        <v>131.30000000000001</v>
      </c>
      <c r="J613" s="352">
        <v>12.74</v>
      </c>
      <c r="K613" s="241">
        <f>12.74*F613</f>
        <v>127.4</v>
      </c>
      <c r="L613" s="237">
        <v>41155</v>
      </c>
      <c r="M613" s="1" t="s">
        <v>2327</v>
      </c>
      <c r="N613" s="235">
        <f t="shared" si="39"/>
        <v>131.30000000000001</v>
      </c>
      <c r="O613" s="235">
        <f t="shared" si="40"/>
        <v>0</v>
      </c>
      <c r="P613" s="238" t="s">
        <v>3164</v>
      </c>
      <c r="Q613" s="1" t="s">
        <v>3165</v>
      </c>
      <c r="R613" s="239" t="s">
        <v>414</v>
      </c>
      <c r="S613" s="238" t="s">
        <v>415</v>
      </c>
      <c r="U613" s="238" t="s">
        <v>3166</v>
      </c>
      <c r="V613" s="238" t="s">
        <v>2488</v>
      </c>
      <c r="AB613" s="1" t="s">
        <v>2527</v>
      </c>
    </row>
    <row r="614" spans="1:28" ht="11.25" customHeight="1">
      <c r="A614" s="233">
        <v>41151</v>
      </c>
      <c r="B614" s="271" t="s">
        <v>3167</v>
      </c>
      <c r="C614" s="1" t="s">
        <v>2080</v>
      </c>
      <c r="D614" s="1" t="s">
        <v>2028</v>
      </c>
      <c r="E614" s="1" t="s">
        <v>3168</v>
      </c>
      <c r="F614" s="5">
        <v>6</v>
      </c>
      <c r="G614" s="1" t="s">
        <v>3129</v>
      </c>
      <c r="H614" s="234">
        <v>142</v>
      </c>
      <c r="I614" s="236">
        <f t="shared" si="38"/>
        <v>852</v>
      </c>
      <c r="K614" s="241">
        <f>107.64*F614</f>
        <v>645.84</v>
      </c>
      <c r="L614" s="237">
        <v>41151</v>
      </c>
      <c r="M614" s="1" t="s">
        <v>2390</v>
      </c>
      <c r="N614" s="235">
        <f t="shared" si="39"/>
        <v>852</v>
      </c>
      <c r="O614" s="235">
        <f t="shared" si="40"/>
        <v>0</v>
      </c>
      <c r="P614" s="238" t="s">
        <v>3169</v>
      </c>
      <c r="Q614" s="1" t="s">
        <v>2212</v>
      </c>
      <c r="R614" s="239" t="s">
        <v>3170</v>
      </c>
      <c r="S614" s="238" t="s">
        <v>3171</v>
      </c>
      <c r="T614" s="238" t="s">
        <v>2082</v>
      </c>
      <c r="U614" s="238" t="s">
        <v>2082</v>
      </c>
      <c r="V614" s="238" t="s">
        <v>3172</v>
      </c>
      <c r="W614" s="236">
        <v>1952</v>
      </c>
      <c r="X614" s="233">
        <v>41155</v>
      </c>
      <c r="Y614" s="238" t="s">
        <v>2212</v>
      </c>
      <c r="AB614" s="1" t="s">
        <v>2079</v>
      </c>
    </row>
    <row r="615" spans="1:28" ht="11.25" customHeight="1">
      <c r="A615" s="233">
        <v>41151</v>
      </c>
      <c r="B615" s="271" t="s">
        <v>3167</v>
      </c>
      <c r="C615" s="1" t="s">
        <v>2080</v>
      </c>
      <c r="D615" s="1" t="s">
        <v>86</v>
      </c>
      <c r="E615" s="1">
        <v>9032</v>
      </c>
      <c r="F615" s="5">
        <v>500</v>
      </c>
      <c r="G615" s="1" t="s">
        <v>2086</v>
      </c>
      <c r="H615" s="234">
        <v>2.2000000000000002</v>
      </c>
      <c r="I615" s="236">
        <f t="shared" si="38"/>
        <v>1100</v>
      </c>
      <c r="K615" s="241">
        <f>1.4929*F615</f>
        <v>746.44999999999993</v>
      </c>
      <c r="L615" s="237">
        <v>41151</v>
      </c>
      <c r="M615" s="1" t="s">
        <v>2390</v>
      </c>
      <c r="N615" s="235">
        <f t="shared" si="39"/>
        <v>1100</v>
      </c>
      <c r="O615" s="235">
        <f t="shared" si="40"/>
        <v>0</v>
      </c>
      <c r="P615" s="238" t="s">
        <v>3169</v>
      </c>
      <c r="Q615" s="1" t="s">
        <v>2212</v>
      </c>
      <c r="R615" s="239" t="s">
        <v>3170</v>
      </c>
      <c r="S615" s="238" t="s">
        <v>3171</v>
      </c>
      <c r="T615" s="238" t="s">
        <v>2082</v>
      </c>
      <c r="U615" s="238" t="s">
        <v>2082</v>
      </c>
      <c r="V615" s="238" t="s">
        <v>3172</v>
      </c>
      <c r="W615" s="236">
        <v>1952</v>
      </c>
      <c r="X615" s="233">
        <v>41155</v>
      </c>
      <c r="Y615" s="238" t="s">
        <v>2212</v>
      </c>
      <c r="AB615" s="1" t="s">
        <v>2079</v>
      </c>
    </row>
    <row r="616" spans="1:28" ht="11.25" customHeight="1">
      <c r="A616" s="233">
        <v>41151</v>
      </c>
      <c r="B616" s="1" t="s">
        <v>2555</v>
      </c>
      <c r="C616" s="1" t="s">
        <v>2080</v>
      </c>
      <c r="D616" s="1" t="s">
        <v>240</v>
      </c>
      <c r="E616" s="1">
        <v>6200</v>
      </c>
      <c r="F616" s="5">
        <v>10</v>
      </c>
      <c r="G616" s="1" t="s">
        <v>2086</v>
      </c>
      <c r="H616" s="234">
        <v>44.5</v>
      </c>
      <c r="I616" s="236">
        <f t="shared" si="38"/>
        <v>445</v>
      </c>
      <c r="J616" s="352">
        <v>41.85</v>
      </c>
      <c r="K616" s="241" t="e">
        <f>#REF!*F616</f>
        <v>#REF!</v>
      </c>
      <c r="L616" s="237">
        <v>41151</v>
      </c>
      <c r="M616" s="1" t="s">
        <v>2327</v>
      </c>
      <c r="N616" s="235">
        <f t="shared" si="39"/>
        <v>445</v>
      </c>
      <c r="O616" s="235">
        <f t="shared" si="40"/>
        <v>0</v>
      </c>
      <c r="P616" s="238" t="s">
        <v>4886</v>
      </c>
      <c r="Q616" s="1" t="s">
        <v>3173</v>
      </c>
      <c r="R616" s="239" t="s">
        <v>210</v>
      </c>
      <c r="S616" s="10">
        <v>13987101500</v>
      </c>
      <c r="T616" s="238" t="s">
        <v>3174</v>
      </c>
      <c r="U616" s="238" t="s">
        <v>3175</v>
      </c>
      <c r="V616" s="238" t="s">
        <v>3176</v>
      </c>
      <c r="AB616" s="1" t="s">
        <v>3177</v>
      </c>
    </row>
    <row r="617" spans="1:28" ht="11.25" customHeight="1">
      <c r="A617" s="233">
        <v>41151</v>
      </c>
      <c r="B617" s="1" t="s">
        <v>3178</v>
      </c>
      <c r="C617" s="1" t="s">
        <v>3179</v>
      </c>
      <c r="D617" s="1" t="s">
        <v>353</v>
      </c>
      <c r="E617" s="1" t="s">
        <v>3180</v>
      </c>
      <c r="F617" s="5">
        <v>20</v>
      </c>
      <c r="G617" s="1" t="s">
        <v>3181</v>
      </c>
      <c r="H617" s="234">
        <v>17.25</v>
      </c>
      <c r="I617" s="236">
        <f t="shared" si="38"/>
        <v>345</v>
      </c>
      <c r="J617" s="352">
        <v>17</v>
      </c>
      <c r="K617" s="241">
        <f>17*F617</f>
        <v>340</v>
      </c>
      <c r="L617" s="237">
        <v>41151</v>
      </c>
      <c r="M617" s="1" t="s">
        <v>3182</v>
      </c>
      <c r="N617" s="235">
        <f t="shared" si="39"/>
        <v>345</v>
      </c>
      <c r="O617" s="235">
        <f t="shared" si="40"/>
        <v>0</v>
      </c>
      <c r="P617" s="238" t="s">
        <v>4886</v>
      </c>
      <c r="Q617" s="1" t="s">
        <v>3183</v>
      </c>
      <c r="R617" s="239" t="s">
        <v>210</v>
      </c>
      <c r="S617" s="10">
        <v>13987101500</v>
      </c>
      <c r="T617" s="238" t="s">
        <v>3174</v>
      </c>
      <c r="U617" s="238" t="s">
        <v>3175</v>
      </c>
      <c r="V617" s="238" t="s">
        <v>3176</v>
      </c>
      <c r="AB617" s="1" t="s">
        <v>3177</v>
      </c>
    </row>
    <row r="618" spans="1:28" ht="11.25" customHeight="1">
      <c r="A618" s="233">
        <v>41152</v>
      </c>
      <c r="B618" s="1" t="s">
        <v>3184</v>
      </c>
      <c r="C618" s="1" t="s">
        <v>3179</v>
      </c>
      <c r="D618" s="1" t="s">
        <v>6623</v>
      </c>
      <c r="E618" s="1" t="s">
        <v>3185</v>
      </c>
      <c r="F618" s="5">
        <v>5</v>
      </c>
      <c r="G618" s="1" t="s">
        <v>3186</v>
      </c>
      <c r="H618" s="234">
        <v>22</v>
      </c>
      <c r="I618" s="236">
        <f t="shared" si="38"/>
        <v>110</v>
      </c>
      <c r="K618" s="261">
        <f>13.91*F618</f>
        <v>69.55</v>
      </c>
      <c r="L618" s="237">
        <v>41152</v>
      </c>
      <c r="M618" s="1" t="s">
        <v>3187</v>
      </c>
      <c r="N618" s="235">
        <f t="shared" si="39"/>
        <v>110</v>
      </c>
      <c r="O618" s="235">
        <f t="shared" si="40"/>
        <v>0</v>
      </c>
      <c r="P618" s="238" t="s">
        <v>3188</v>
      </c>
      <c r="Q618" s="1" t="s">
        <v>3189</v>
      </c>
      <c r="R618" s="239" t="s">
        <v>3190</v>
      </c>
      <c r="S618" s="238" t="s">
        <v>3191</v>
      </c>
      <c r="T618" s="238" t="s">
        <v>3192</v>
      </c>
      <c r="U618" s="238" t="s">
        <v>3192</v>
      </c>
      <c r="Z618" s="255" t="s">
        <v>3193</v>
      </c>
      <c r="AB618" s="1" t="s">
        <v>3194</v>
      </c>
    </row>
    <row r="619" spans="1:28" ht="11.25" customHeight="1">
      <c r="A619" s="233">
        <v>41155</v>
      </c>
      <c r="B619" s="1" t="s">
        <v>3195</v>
      </c>
      <c r="C619" s="1" t="s">
        <v>3179</v>
      </c>
      <c r="D619" s="1" t="s">
        <v>1711</v>
      </c>
      <c r="E619" s="1">
        <v>8210</v>
      </c>
      <c r="F619" s="5">
        <v>12800</v>
      </c>
      <c r="G619" s="1" t="s">
        <v>3181</v>
      </c>
      <c r="H619" s="234">
        <v>3.8</v>
      </c>
      <c r="I619" s="236">
        <f t="shared" si="38"/>
        <v>48640</v>
      </c>
      <c r="K619" s="241">
        <f>3.63*F619</f>
        <v>46464</v>
      </c>
      <c r="L619" s="237">
        <v>41165</v>
      </c>
      <c r="M619" s="1" t="s">
        <v>3196</v>
      </c>
      <c r="N619" s="235">
        <f t="shared" si="39"/>
        <v>48640</v>
      </c>
      <c r="O619" s="235">
        <f t="shared" si="40"/>
        <v>0</v>
      </c>
      <c r="P619" s="238" t="s">
        <v>4886</v>
      </c>
      <c r="Q619" s="1" t="s">
        <v>3197</v>
      </c>
      <c r="R619" s="239" t="s">
        <v>3198</v>
      </c>
      <c r="S619" s="238" t="s">
        <v>3199</v>
      </c>
      <c r="T619" s="238" t="s">
        <v>3200</v>
      </c>
      <c r="U619" s="238" t="s">
        <v>3201</v>
      </c>
      <c r="V619" s="238" t="s">
        <v>3202</v>
      </c>
      <c r="W619" s="236" t="s">
        <v>3203</v>
      </c>
      <c r="X619" s="233" t="s">
        <v>3204</v>
      </c>
      <c r="Y619" s="238" t="s">
        <v>3205</v>
      </c>
      <c r="AB619" s="1" t="s">
        <v>3177</v>
      </c>
    </row>
    <row r="620" spans="1:28" ht="11.25" customHeight="1">
      <c r="A620" s="233">
        <v>41155</v>
      </c>
      <c r="B620" s="1" t="s">
        <v>3206</v>
      </c>
      <c r="C620" s="1" t="s">
        <v>3179</v>
      </c>
      <c r="D620" s="1" t="s">
        <v>266</v>
      </c>
      <c r="E620" s="1">
        <v>12308</v>
      </c>
      <c r="F620" s="5">
        <v>3</v>
      </c>
      <c r="G620" s="1" t="s">
        <v>3186</v>
      </c>
      <c r="H620" s="234">
        <v>26</v>
      </c>
      <c r="I620" s="236">
        <f t="shared" si="38"/>
        <v>78</v>
      </c>
      <c r="K620" s="261">
        <f>18.779*F620</f>
        <v>56.337000000000003</v>
      </c>
      <c r="L620" s="237">
        <v>41155</v>
      </c>
      <c r="M620" s="1" t="s">
        <v>3187</v>
      </c>
      <c r="N620" s="235">
        <f t="shared" si="39"/>
        <v>78</v>
      </c>
      <c r="O620" s="235">
        <f t="shared" si="40"/>
        <v>0</v>
      </c>
      <c r="P620" s="238" t="s">
        <v>3207</v>
      </c>
      <c r="Q620" s="1" t="s">
        <v>3189</v>
      </c>
      <c r="R620" s="238" t="s">
        <v>3208</v>
      </c>
      <c r="S620" s="238" t="s">
        <v>3209</v>
      </c>
      <c r="T620" s="238" t="s">
        <v>3192</v>
      </c>
      <c r="U620" s="238" t="s">
        <v>5466</v>
      </c>
      <c r="V620" s="238" t="s">
        <v>3176</v>
      </c>
      <c r="Z620" s="255" t="s">
        <v>3193</v>
      </c>
      <c r="AB620" s="225" t="s">
        <v>3210</v>
      </c>
    </row>
    <row r="621" spans="1:28" ht="11.25" customHeight="1">
      <c r="A621" s="233">
        <v>41155</v>
      </c>
      <c r="B621" s="1" t="s">
        <v>3206</v>
      </c>
      <c r="C621" s="1" t="s">
        <v>3179</v>
      </c>
      <c r="D621" s="1" t="s">
        <v>86</v>
      </c>
      <c r="E621" s="1">
        <v>9032</v>
      </c>
      <c r="F621" s="5">
        <v>20</v>
      </c>
      <c r="G621" s="1" t="s">
        <v>3181</v>
      </c>
      <c r="H621" s="234">
        <v>2.4</v>
      </c>
      <c r="I621" s="236">
        <f t="shared" si="38"/>
        <v>48</v>
      </c>
      <c r="K621" s="241">
        <f>1.4929*F621</f>
        <v>29.857999999999997</v>
      </c>
      <c r="L621" s="237">
        <v>41155</v>
      </c>
      <c r="M621" s="1" t="s">
        <v>3187</v>
      </c>
      <c r="N621" s="235">
        <f t="shared" si="39"/>
        <v>48</v>
      </c>
      <c r="O621" s="235">
        <f t="shared" si="40"/>
        <v>0</v>
      </c>
      <c r="P621" s="238" t="s">
        <v>3207</v>
      </c>
      <c r="Q621" s="1" t="s">
        <v>3189</v>
      </c>
      <c r="R621" s="238" t="s">
        <v>3208</v>
      </c>
      <c r="S621" s="238" t="s">
        <v>3209</v>
      </c>
      <c r="T621" s="238" t="s">
        <v>3192</v>
      </c>
      <c r="U621" s="238" t="s">
        <v>5466</v>
      </c>
      <c r="V621" s="238" t="s">
        <v>3176</v>
      </c>
      <c r="AB621" s="225" t="s">
        <v>3210</v>
      </c>
    </row>
    <row r="622" spans="1:28" ht="11.25" customHeight="1">
      <c r="A622" s="233">
        <v>41156</v>
      </c>
      <c r="B622" s="1" t="s">
        <v>3211</v>
      </c>
      <c r="C622" s="1" t="s">
        <v>3179</v>
      </c>
      <c r="D622" s="1" t="s">
        <v>3212</v>
      </c>
      <c r="E622" s="1">
        <v>11329</v>
      </c>
      <c r="F622" s="5">
        <v>4</v>
      </c>
      <c r="G622" s="1" t="s">
        <v>3186</v>
      </c>
      <c r="H622" s="234">
        <v>23.1</v>
      </c>
      <c r="I622" s="236">
        <f t="shared" si="38"/>
        <v>92.4</v>
      </c>
      <c r="K622" s="261">
        <f>22.11*F622</f>
        <v>88.44</v>
      </c>
      <c r="L622" s="237">
        <v>41156</v>
      </c>
      <c r="M622" s="1" t="s">
        <v>3187</v>
      </c>
      <c r="N622" s="235">
        <f t="shared" si="39"/>
        <v>92.4</v>
      </c>
      <c r="O622" s="235">
        <f t="shared" si="40"/>
        <v>0</v>
      </c>
      <c r="P622" s="238" t="s">
        <v>4886</v>
      </c>
      <c r="Q622" s="1" t="s">
        <v>3189</v>
      </c>
      <c r="R622" s="238" t="s">
        <v>3192</v>
      </c>
      <c r="S622" s="238" t="s">
        <v>3192</v>
      </c>
      <c r="T622" s="238" t="s">
        <v>3192</v>
      </c>
      <c r="U622" s="238" t="s">
        <v>3192</v>
      </c>
      <c r="V622" s="238" t="s">
        <v>3213</v>
      </c>
      <c r="W622" s="236">
        <v>4884.3999999999996</v>
      </c>
      <c r="X622" s="233">
        <v>41156</v>
      </c>
      <c r="Z622" s="255" t="s">
        <v>3193</v>
      </c>
      <c r="AB622" s="1" t="s">
        <v>3177</v>
      </c>
    </row>
    <row r="623" spans="1:28" ht="11.25" customHeight="1">
      <c r="A623" s="233">
        <v>41156</v>
      </c>
      <c r="B623" s="1" t="s">
        <v>3214</v>
      </c>
      <c r="C623" s="1" t="s">
        <v>3179</v>
      </c>
      <c r="D623" s="1" t="s">
        <v>69</v>
      </c>
      <c r="E623" s="1">
        <v>1100</v>
      </c>
      <c r="F623" s="5">
        <v>100</v>
      </c>
      <c r="G623" s="1" t="s">
        <v>3186</v>
      </c>
      <c r="H623" s="234">
        <v>0.45</v>
      </c>
      <c r="I623" s="236">
        <f t="shared" si="38"/>
        <v>45</v>
      </c>
      <c r="K623" s="261">
        <f>0.375*F623</f>
        <v>37.5</v>
      </c>
      <c r="L623" s="237">
        <v>41156</v>
      </c>
      <c r="M623" s="1" t="s">
        <v>3187</v>
      </c>
      <c r="N623" s="235">
        <f t="shared" si="39"/>
        <v>45</v>
      </c>
      <c r="O623" s="235">
        <f t="shared" si="40"/>
        <v>0</v>
      </c>
      <c r="P623" s="238" t="s">
        <v>3215</v>
      </c>
      <c r="Q623" s="1" t="s">
        <v>3189</v>
      </c>
      <c r="R623" s="239" t="s">
        <v>3216</v>
      </c>
      <c r="S623" s="238" t="s">
        <v>3217</v>
      </c>
      <c r="T623" s="1" t="s">
        <v>3189</v>
      </c>
      <c r="U623" s="238" t="s">
        <v>3192</v>
      </c>
      <c r="V623" s="238" t="s">
        <v>3218</v>
      </c>
      <c r="W623" s="236">
        <v>1077</v>
      </c>
      <c r="X623" s="233">
        <v>41256</v>
      </c>
      <c r="Y623" s="255">
        <v>23000504124</v>
      </c>
      <c r="Z623" s="255" t="s">
        <v>3193</v>
      </c>
      <c r="AB623" s="1" t="s">
        <v>3177</v>
      </c>
    </row>
    <row r="624" spans="1:28" ht="11.25" customHeight="1">
      <c r="A624" s="233">
        <v>41156</v>
      </c>
      <c r="B624" s="1" t="s">
        <v>3214</v>
      </c>
      <c r="C624" s="1" t="s">
        <v>3179</v>
      </c>
      <c r="D624" s="1" t="s">
        <v>307</v>
      </c>
      <c r="E624" s="1">
        <v>1110</v>
      </c>
      <c r="F624" s="5">
        <v>100</v>
      </c>
      <c r="G624" s="1" t="s">
        <v>3186</v>
      </c>
      <c r="H624" s="234">
        <v>0.86</v>
      </c>
      <c r="I624" s="236">
        <f t="shared" si="38"/>
        <v>86</v>
      </c>
      <c r="K624" s="241">
        <f>0.77*F624</f>
        <v>77</v>
      </c>
      <c r="L624" s="237">
        <v>41156</v>
      </c>
      <c r="M624" s="1" t="s">
        <v>3187</v>
      </c>
      <c r="N624" s="235">
        <f t="shared" si="39"/>
        <v>86</v>
      </c>
      <c r="O624" s="235">
        <f t="shared" si="40"/>
        <v>0</v>
      </c>
      <c r="P624" s="238" t="s">
        <v>3215</v>
      </c>
      <c r="Q624" s="1" t="s">
        <v>3189</v>
      </c>
      <c r="R624" s="239" t="s">
        <v>3216</v>
      </c>
      <c r="S624" s="238" t="s">
        <v>3219</v>
      </c>
      <c r="T624" s="1" t="s">
        <v>3189</v>
      </c>
      <c r="U624" s="238" t="s">
        <v>3192</v>
      </c>
      <c r="V624" s="238" t="s">
        <v>3218</v>
      </c>
      <c r="W624" s="236">
        <v>1077</v>
      </c>
      <c r="X624" s="233">
        <v>41256</v>
      </c>
      <c r="Y624" s="255">
        <v>23000504124</v>
      </c>
      <c r="AB624" s="1" t="s">
        <v>3177</v>
      </c>
    </row>
    <row r="625" spans="1:28" s="5" customFormat="1" ht="11.25" customHeight="1">
      <c r="A625" s="233">
        <v>41156</v>
      </c>
      <c r="B625" s="1" t="s">
        <v>874</v>
      </c>
      <c r="C625" s="1" t="s">
        <v>3179</v>
      </c>
      <c r="D625" s="1" t="s">
        <v>86</v>
      </c>
      <c r="E625" s="1">
        <v>9032</v>
      </c>
      <c r="F625" s="5">
        <v>200</v>
      </c>
      <c r="G625" s="1" t="s">
        <v>3181</v>
      </c>
      <c r="H625" s="234">
        <v>2.5</v>
      </c>
      <c r="I625" s="236">
        <f t="shared" si="38"/>
        <v>500</v>
      </c>
      <c r="J625" s="352"/>
      <c r="K625" s="241">
        <f>1.4929*F625</f>
        <v>298.58</v>
      </c>
      <c r="L625" s="237">
        <v>41164</v>
      </c>
      <c r="M625" s="1" t="s">
        <v>3196</v>
      </c>
      <c r="N625" s="235">
        <f t="shared" si="39"/>
        <v>500</v>
      </c>
      <c r="O625" s="235">
        <f t="shared" si="40"/>
        <v>0</v>
      </c>
      <c r="P625" s="238" t="s">
        <v>3220</v>
      </c>
      <c r="Q625" s="1" t="s">
        <v>3189</v>
      </c>
      <c r="R625" s="239" t="s">
        <v>3221</v>
      </c>
      <c r="S625" s="238" t="s">
        <v>3219</v>
      </c>
      <c r="T625" s="1" t="s">
        <v>3189</v>
      </c>
      <c r="U625" s="238" t="s">
        <v>3192</v>
      </c>
      <c r="V625" s="238" t="s">
        <v>3222</v>
      </c>
      <c r="W625" s="236">
        <v>1160</v>
      </c>
      <c r="X625" s="233">
        <v>41164</v>
      </c>
      <c r="Y625" s="238" t="s">
        <v>3223</v>
      </c>
      <c r="Z625" s="255"/>
      <c r="AA625" s="240"/>
      <c r="AB625" s="1" t="s">
        <v>3194</v>
      </c>
    </row>
    <row r="626" spans="1:28" ht="11.25" customHeight="1">
      <c r="A626" s="7">
        <v>41156</v>
      </c>
      <c r="B626" s="5" t="s">
        <v>874</v>
      </c>
      <c r="C626" s="5" t="s">
        <v>3179</v>
      </c>
      <c r="D626" s="5" t="s">
        <v>672</v>
      </c>
      <c r="E626" s="5" t="s">
        <v>3224</v>
      </c>
      <c r="F626" s="5">
        <v>100</v>
      </c>
      <c r="G626" s="5" t="s">
        <v>239</v>
      </c>
      <c r="H626" s="243">
        <v>0.8</v>
      </c>
      <c r="I626" s="235">
        <f t="shared" si="38"/>
        <v>80</v>
      </c>
      <c r="J626" s="361"/>
      <c r="K626" s="272">
        <f>0.53*F626</f>
        <v>53</v>
      </c>
      <c r="L626" s="245">
        <v>41164</v>
      </c>
      <c r="M626" s="5" t="s">
        <v>3196</v>
      </c>
      <c r="N626" s="235">
        <f t="shared" si="39"/>
        <v>80</v>
      </c>
      <c r="O626" s="235">
        <f t="shared" si="40"/>
        <v>0</v>
      </c>
      <c r="P626" s="246" t="s">
        <v>3220</v>
      </c>
      <c r="Q626" s="5" t="s">
        <v>3189</v>
      </c>
      <c r="R626" s="247" t="s">
        <v>3221</v>
      </c>
      <c r="S626" s="246" t="s">
        <v>3219</v>
      </c>
      <c r="T626" s="5" t="s">
        <v>3189</v>
      </c>
      <c r="U626" s="246" t="s">
        <v>3192</v>
      </c>
      <c r="V626" s="246" t="s">
        <v>3222</v>
      </c>
      <c r="W626" s="235">
        <v>1160</v>
      </c>
      <c r="X626" s="7">
        <v>41164</v>
      </c>
      <c r="Y626" s="246" t="s">
        <v>3223</v>
      </c>
      <c r="Z626" s="273" t="s">
        <v>3193</v>
      </c>
      <c r="AA626" s="248"/>
      <c r="AB626" s="5" t="s">
        <v>3194</v>
      </c>
    </row>
    <row r="627" spans="1:28" ht="11.25" customHeight="1">
      <c r="A627" s="233">
        <v>41156</v>
      </c>
      <c r="B627" s="1" t="s">
        <v>874</v>
      </c>
      <c r="C627" s="1" t="s">
        <v>3179</v>
      </c>
      <c r="D627" s="1" t="s">
        <v>1213</v>
      </c>
      <c r="E627" s="1" t="s">
        <v>3225</v>
      </c>
      <c r="F627" s="5">
        <v>5</v>
      </c>
      <c r="G627" s="1" t="s">
        <v>3186</v>
      </c>
      <c r="H627" s="234">
        <v>23</v>
      </c>
      <c r="I627" s="236">
        <f t="shared" si="38"/>
        <v>115</v>
      </c>
      <c r="K627" s="250">
        <f>13*F627</f>
        <v>65</v>
      </c>
      <c r="L627" s="237">
        <v>41164</v>
      </c>
      <c r="M627" s="1" t="s">
        <v>3196</v>
      </c>
      <c r="N627" s="235">
        <f t="shared" si="39"/>
        <v>115</v>
      </c>
      <c r="O627" s="235">
        <f t="shared" si="40"/>
        <v>0</v>
      </c>
      <c r="P627" s="238" t="s">
        <v>3220</v>
      </c>
      <c r="Q627" s="1" t="s">
        <v>3189</v>
      </c>
      <c r="R627" s="239" t="s">
        <v>3221</v>
      </c>
      <c r="S627" s="238" t="s">
        <v>3219</v>
      </c>
      <c r="T627" s="1" t="s">
        <v>3189</v>
      </c>
      <c r="U627" s="238" t="s">
        <v>3192</v>
      </c>
      <c r="V627" s="238" t="s">
        <v>3222</v>
      </c>
      <c r="W627" s="236">
        <v>1160</v>
      </c>
      <c r="X627" s="233">
        <v>41164</v>
      </c>
      <c r="Y627" s="238" t="s">
        <v>3223</v>
      </c>
      <c r="AB627" s="1" t="s">
        <v>3194</v>
      </c>
    </row>
    <row r="628" spans="1:28" ht="11.25" customHeight="1">
      <c r="A628" s="233">
        <v>41156</v>
      </c>
      <c r="B628" s="1" t="s">
        <v>874</v>
      </c>
      <c r="C628" s="1" t="s">
        <v>3179</v>
      </c>
      <c r="D628" s="1" t="s">
        <v>240</v>
      </c>
      <c r="E628" s="1">
        <v>6200</v>
      </c>
      <c r="F628" s="5">
        <v>1</v>
      </c>
      <c r="G628" s="1" t="s">
        <v>3181</v>
      </c>
      <c r="H628" s="234">
        <v>65</v>
      </c>
      <c r="I628" s="236">
        <f t="shared" si="38"/>
        <v>65</v>
      </c>
      <c r="J628" s="352">
        <v>45</v>
      </c>
      <c r="K628" s="241" t="e">
        <f>#REF!*F628</f>
        <v>#REF!</v>
      </c>
      <c r="L628" s="237">
        <v>41164</v>
      </c>
      <c r="M628" s="1" t="s">
        <v>3196</v>
      </c>
      <c r="N628" s="235">
        <f t="shared" si="39"/>
        <v>65</v>
      </c>
      <c r="O628" s="235">
        <f t="shared" si="40"/>
        <v>0</v>
      </c>
      <c r="P628" s="238" t="s">
        <v>3220</v>
      </c>
      <c r="Q628" s="1" t="s">
        <v>3189</v>
      </c>
      <c r="R628" s="239" t="s">
        <v>3221</v>
      </c>
      <c r="S628" s="238" t="s">
        <v>3219</v>
      </c>
      <c r="T628" s="1" t="s">
        <v>3189</v>
      </c>
      <c r="U628" s="238" t="s">
        <v>3192</v>
      </c>
      <c r="V628" s="238" t="s">
        <v>3222</v>
      </c>
      <c r="W628" s="236">
        <v>1160</v>
      </c>
      <c r="X628" s="233">
        <v>41164</v>
      </c>
      <c r="Y628" s="238" t="s">
        <v>3223</v>
      </c>
      <c r="AB628" s="1" t="s">
        <v>3194</v>
      </c>
    </row>
    <row r="629" spans="1:28" ht="11.25" customHeight="1">
      <c r="A629" s="233">
        <v>41156</v>
      </c>
      <c r="B629" s="1" t="s">
        <v>874</v>
      </c>
      <c r="C629" s="1" t="s">
        <v>3179</v>
      </c>
      <c r="D629" s="1" t="s">
        <v>273</v>
      </c>
      <c r="E629" s="1" t="s">
        <v>3226</v>
      </c>
      <c r="F629" s="5">
        <v>2</v>
      </c>
      <c r="G629" s="1" t="s">
        <v>3181</v>
      </c>
      <c r="H629" s="234">
        <v>45</v>
      </c>
      <c r="I629" s="236">
        <f t="shared" si="38"/>
        <v>90</v>
      </c>
      <c r="J629" s="352">
        <v>32</v>
      </c>
      <c r="K629" s="241">
        <f>32*F629</f>
        <v>64</v>
      </c>
      <c r="L629" s="237">
        <v>41164</v>
      </c>
      <c r="M629" s="1" t="s">
        <v>3196</v>
      </c>
      <c r="N629" s="235">
        <f t="shared" si="39"/>
        <v>90</v>
      </c>
      <c r="O629" s="235">
        <f t="shared" si="40"/>
        <v>0</v>
      </c>
      <c r="P629" s="238" t="s">
        <v>3220</v>
      </c>
      <c r="Q629" s="1" t="s">
        <v>3189</v>
      </c>
      <c r="R629" s="239" t="s">
        <v>3221</v>
      </c>
      <c r="S629" s="238" t="s">
        <v>3219</v>
      </c>
      <c r="T629" s="1" t="s">
        <v>3189</v>
      </c>
      <c r="U629" s="238" t="s">
        <v>3192</v>
      </c>
      <c r="V629" s="238" t="s">
        <v>3222</v>
      </c>
      <c r="W629" s="236">
        <v>1160</v>
      </c>
      <c r="X629" s="233">
        <v>41164</v>
      </c>
      <c r="Y629" s="238" t="s">
        <v>3223</v>
      </c>
      <c r="AB629" s="1" t="s">
        <v>3194</v>
      </c>
    </row>
    <row r="630" spans="1:28" ht="11.25" customHeight="1">
      <c r="A630" s="233">
        <v>41156</v>
      </c>
      <c r="B630" s="1" t="s">
        <v>3227</v>
      </c>
      <c r="C630" s="1" t="s">
        <v>3179</v>
      </c>
      <c r="D630" s="1" t="s">
        <v>1711</v>
      </c>
      <c r="E630" s="1">
        <v>8210</v>
      </c>
      <c r="F630" s="5">
        <v>60</v>
      </c>
      <c r="G630" s="1" t="s">
        <v>3181</v>
      </c>
      <c r="H630" s="234">
        <v>6</v>
      </c>
      <c r="I630" s="236">
        <f t="shared" si="38"/>
        <v>360</v>
      </c>
      <c r="K630" s="241">
        <f>3.78*F630</f>
        <v>226.79999999999998</v>
      </c>
      <c r="L630" s="237">
        <v>41177</v>
      </c>
      <c r="M630" s="1" t="s">
        <v>3196</v>
      </c>
      <c r="N630" s="235">
        <f t="shared" si="39"/>
        <v>360</v>
      </c>
      <c r="O630" s="235">
        <f t="shared" si="40"/>
        <v>0</v>
      </c>
      <c r="P630" s="238" t="s">
        <v>4886</v>
      </c>
      <c r="Q630" s="1" t="s">
        <v>3228</v>
      </c>
      <c r="R630" s="239" t="s">
        <v>3229</v>
      </c>
      <c r="S630" s="238" t="s">
        <v>3230</v>
      </c>
      <c r="T630" s="238" t="s">
        <v>3231</v>
      </c>
      <c r="U630" s="238" t="s">
        <v>3232</v>
      </c>
      <c r="V630" s="238" t="s">
        <v>3233</v>
      </c>
      <c r="W630" s="236">
        <v>860</v>
      </c>
      <c r="X630" s="233">
        <v>41164</v>
      </c>
      <c r="Y630" s="238" t="s">
        <v>3234</v>
      </c>
      <c r="AB630" s="1" t="s">
        <v>3194</v>
      </c>
    </row>
    <row r="631" spans="1:28" ht="11.25" customHeight="1">
      <c r="A631" s="233">
        <v>41156</v>
      </c>
      <c r="B631" s="1" t="s">
        <v>3227</v>
      </c>
      <c r="C631" s="1" t="s">
        <v>3179</v>
      </c>
      <c r="D631" s="5" t="s">
        <v>672</v>
      </c>
      <c r="E631" s="1" t="s">
        <v>3224</v>
      </c>
      <c r="F631" s="5">
        <v>200</v>
      </c>
      <c r="G631" s="1" t="s">
        <v>3186</v>
      </c>
      <c r="H631" s="234">
        <v>2.5</v>
      </c>
      <c r="I631" s="236">
        <f t="shared" si="38"/>
        <v>500</v>
      </c>
      <c r="K631" s="241">
        <f>1.488*F631</f>
        <v>297.60000000000002</v>
      </c>
      <c r="L631" s="237">
        <v>41177</v>
      </c>
      <c r="M631" s="1" t="s">
        <v>3196</v>
      </c>
      <c r="N631" s="235">
        <f t="shared" si="39"/>
        <v>500</v>
      </c>
      <c r="O631" s="235">
        <f t="shared" si="40"/>
        <v>0</v>
      </c>
      <c r="P631" s="238" t="s">
        <v>4886</v>
      </c>
      <c r="Q631" s="1" t="s">
        <v>3228</v>
      </c>
      <c r="R631" s="239" t="s">
        <v>3229</v>
      </c>
      <c r="S631" s="238" t="s">
        <v>3230</v>
      </c>
      <c r="T631" s="238" t="s">
        <v>3231</v>
      </c>
      <c r="U631" s="238" t="s">
        <v>3232</v>
      </c>
      <c r="V631" s="238" t="s">
        <v>3233</v>
      </c>
      <c r="W631" s="236">
        <v>860</v>
      </c>
      <c r="X631" s="233">
        <v>41164</v>
      </c>
      <c r="Y631" s="238" t="s">
        <v>3234</v>
      </c>
      <c r="AB631" s="1" t="s">
        <v>3194</v>
      </c>
    </row>
    <row r="632" spans="1:28" ht="11.25" customHeight="1">
      <c r="A632" s="233">
        <v>41156</v>
      </c>
      <c r="B632" s="1" t="s">
        <v>3235</v>
      </c>
      <c r="C632" s="1" t="s">
        <v>3179</v>
      </c>
      <c r="D632" s="1" t="s">
        <v>664</v>
      </c>
      <c r="E632" s="1">
        <v>8246</v>
      </c>
      <c r="F632" s="5">
        <v>30</v>
      </c>
      <c r="G632" s="1" t="s">
        <v>5603</v>
      </c>
      <c r="H632" s="234">
        <v>19</v>
      </c>
      <c r="I632" s="236">
        <f t="shared" si="38"/>
        <v>570</v>
      </c>
      <c r="K632" s="241">
        <f>13.72*F632</f>
        <v>411.6</v>
      </c>
      <c r="L632" s="237">
        <v>41165</v>
      </c>
      <c r="M632" s="1" t="s">
        <v>3196</v>
      </c>
      <c r="N632" s="235">
        <f t="shared" si="39"/>
        <v>570</v>
      </c>
      <c r="O632" s="235">
        <f t="shared" si="40"/>
        <v>0</v>
      </c>
      <c r="P632" s="238" t="s">
        <v>3192</v>
      </c>
      <c r="Q632" s="1" t="s">
        <v>3236</v>
      </c>
      <c r="R632" s="239" t="s">
        <v>3237</v>
      </c>
      <c r="S632" s="238" t="s">
        <v>3238</v>
      </c>
      <c r="T632" s="238" t="s">
        <v>3239</v>
      </c>
      <c r="U632" s="238" t="s">
        <v>3240</v>
      </c>
      <c r="V632" s="238" t="s">
        <v>3241</v>
      </c>
      <c r="W632" s="236">
        <v>630</v>
      </c>
      <c r="X632" s="233">
        <v>41157</v>
      </c>
      <c r="AA632" s="240" t="s">
        <v>3242</v>
      </c>
      <c r="AB632" s="1" t="s">
        <v>3194</v>
      </c>
    </row>
    <row r="633" spans="1:28" ht="13.5" customHeight="1">
      <c r="A633" s="233">
        <v>41156</v>
      </c>
      <c r="B633" s="1" t="s">
        <v>3235</v>
      </c>
      <c r="C633" s="1" t="s">
        <v>3179</v>
      </c>
      <c r="D633" s="1" t="s">
        <v>3243</v>
      </c>
      <c r="E633" s="1">
        <v>40661</v>
      </c>
      <c r="F633" s="5">
        <v>3</v>
      </c>
      <c r="G633" s="1" t="s">
        <v>3186</v>
      </c>
      <c r="H633" s="234">
        <v>20</v>
      </c>
      <c r="I633" s="236">
        <f t="shared" si="38"/>
        <v>60</v>
      </c>
      <c r="K633" s="261">
        <f>16.08*F633</f>
        <v>48.239999999999995</v>
      </c>
      <c r="L633" s="237">
        <v>41165</v>
      </c>
      <c r="M633" s="1" t="s">
        <v>3196</v>
      </c>
      <c r="N633" s="235">
        <f t="shared" si="39"/>
        <v>60</v>
      </c>
      <c r="O633" s="235">
        <f t="shared" si="40"/>
        <v>0</v>
      </c>
      <c r="P633" s="238" t="s">
        <v>3192</v>
      </c>
      <c r="Q633" s="1" t="s">
        <v>3236</v>
      </c>
      <c r="R633" s="239" t="s">
        <v>3237</v>
      </c>
      <c r="S633" s="238" t="s">
        <v>3238</v>
      </c>
      <c r="T633" s="238" t="s">
        <v>3239</v>
      </c>
      <c r="U633" s="238" t="s">
        <v>3240</v>
      </c>
      <c r="V633" s="238" t="s">
        <v>3241</v>
      </c>
      <c r="W633" s="236">
        <v>630</v>
      </c>
      <c r="X633" s="233">
        <v>41157</v>
      </c>
      <c r="Z633" s="255" t="s">
        <v>3193</v>
      </c>
      <c r="AA633" s="240" t="s">
        <v>3242</v>
      </c>
      <c r="AB633" s="1" t="s">
        <v>3194</v>
      </c>
    </row>
    <row r="634" spans="1:28" ht="11.25" customHeight="1">
      <c r="A634" s="233">
        <v>41156</v>
      </c>
      <c r="B634" s="1" t="s">
        <v>3244</v>
      </c>
      <c r="C634" s="1" t="s">
        <v>3179</v>
      </c>
      <c r="D634" s="1" t="s">
        <v>9</v>
      </c>
      <c r="E634" s="1">
        <v>2096</v>
      </c>
      <c r="F634" s="5">
        <v>100</v>
      </c>
      <c r="G634" s="1" t="s">
        <v>3245</v>
      </c>
      <c r="H634" s="234">
        <v>13.64</v>
      </c>
      <c r="I634" s="236">
        <f t="shared" si="38"/>
        <v>1364</v>
      </c>
      <c r="K634" s="241">
        <f>12.65*F634</f>
        <v>1265</v>
      </c>
      <c r="L634" s="237">
        <v>41156</v>
      </c>
      <c r="M634" s="1" t="s">
        <v>3196</v>
      </c>
      <c r="N634" s="235">
        <f t="shared" si="39"/>
        <v>1364</v>
      </c>
      <c r="O634" s="235">
        <f t="shared" si="40"/>
        <v>0</v>
      </c>
      <c r="P634" s="238" t="s">
        <v>3246</v>
      </c>
      <c r="Q634" s="1" t="s">
        <v>3247</v>
      </c>
      <c r="R634" s="239" t="s">
        <v>3248</v>
      </c>
      <c r="S634" s="238" t="s">
        <v>3249</v>
      </c>
      <c r="T634" s="10" t="s">
        <v>3250</v>
      </c>
      <c r="U634" s="238" t="s">
        <v>3251</v>
      </c>
      <c r="V634" s="238" t="s">
        <v>3252</v>
      </c>
      <c r="W634" s="236">
        <v>1364</v>
      </c>
      <c r="X634" s="233">
        <v>41234</v>
      </c>
      <c r="Y634" s="238" t="s">
        <v>3253</v>
      </c>
      <c r="AB634" s="1" t="s">
        <v>3177</v>
      </c>
    </row>
    <row r="635" spans="1:28" ht="11.25" customHeight="1">
      <c r="A635" s="233">
        <v>41157</v>
      </c>
      <c r="B635" s="1" t="s">
        <v>3254</v>
      </c>
      <c r="C635" s="1" t="s">
        <v>3179</v>
      </c>
      <c r="D635" s="1" t="s">
        <v>86</v>
      </c>
      <c r="E635" s="1">
        <v>9032</v>
      </c>
      <c r="F635" s="5">
        <v>1000</v>
      </c>
      <c r="G635" s="1" t="s">
        <v>3181</v>
      </c>
      <c r="H635" s="234">
        <v>2.4</v>
      </c>
      <c r="I635" s="236">
        <f t="shared" si="38"/>
        <v>2400</v>
      </c>
      <c r="K635" s="241">
        <f>1.4929*F635</f>
        <v>1492.8999999999999</v>
      </c>
      <c r="L635" s="237">
        <v>41158</v>
      </c>
      <c r="M635" s="1" t="s">
        <v>3196</v>
      </c>
      <c r="N635" s="235">
        <f t="shared" si="39"/>
        <v>2400</v>
      </c>
      <c r="O635" s="235">
        <f t="shared" si="40"/>
        <v>0</v>
      </c>
      <c r="P635" s="238" t="s">
        <v>3255</v>
      </c>
      <c r="Q635" s="1" t="s">
        <v>3256</v>
      </c>
      <c r="R635" s="239" t="s">
        <v>3257</v>
      </c>
      <c r="S635" s="238" t="s">
        <v>3258</v>
      </c>
      <c r="T635" s="238" t="s">
        <v>3259</v>
      </c>
      <c r="U635" s="238" t="s">
        <v>3260</v>
      </c>
      <c r="V635" s="238" t="s">
        <v>3261</v>
      </c>
      <c r="W635" s="236">
        <v>2400</v>
      </c>
      <c r="X635" s="233">
        <v>41201</v>
      </c>
      <c r="Y635" s="238" t="s">
        <v>3262</v>
      </c>
      <c r="AB635" s="1" t="s">
        <v>3194</v>
      </c>
    </row>
    <row r="636" spans="1:28" ht="12" customHeight="1">
      <c r="A636" s="233">
        <v>41157</v>
      </c>
      <c r="B636" s="1" t="s">
        <v>3263</v>
      </c>
      <c r="C636" s="1" t="s">
        <v>3179</v>
      </c>
      <c r="D636" s="1" t="s">
        <v>86</v>
      </c>
      <c r="E636" s="1">
        <v>9032</v>
      </c>
      <c r="F636" s="5">
        <v>100</v>
      </c>
      <c r="G636" s="1" t="s">
        <v>3181</v>
      </c>
      <c r="H636" s="234">
        <v>2.2999999999999998</v>
      </c>
      <c r="I636" s="236">
        <f t="shared" si="38"/>
        <v>229.99999999999997</v>
      </c>
      <c r="K636" s="241">
        <f>1.4929*F636</f>
        <v>149.29</v>
      </c>
      <c r="L636" s="237">
        <v>41158</v>
      </c>
      <c r="M636" s="1" t="s">
        <v>3182</v>
      </c>
      <c r="N636" s="235">
        <f t="shared" si="39"/>
        <v>229.99999999999997</v>
      </c>
      <c r="O636" s="235">
        <f t="shared" si="40"/>
        <v>0</v>
      </c>
      <c r="P636" s="238" t="s">
        <v>3264</v>
      </c>
      <c r="Q636" s="1" t="s">
        <v>3256</v>
      </c>
      <c r="R636" s="239" t="s">
        <v>3265</v>
      </c>
      <c r="S636" s="238" t="s">
        <v>3266</v>
      </c>
      <c r="T636" s="238" t="s">
        <v>3267</v>
      </c>
      <c r="U636" s="238" t="s">
        <v>3268</v>
      </c>
      <c r="V636" s="238" t="s">
        <v>3176</v>
      </c>
      <c r="AB636" s="1" t="s">
        <v>3194</v>
      </c>
    </row>
    <row r="637" spans="1:28" ht="11.25" customHeight="1">
      <c r="A637" s="233">
        <v>41158</v>
      </c>
      <c r="B637" s="1" t="s">
        <v>3269</v>
      </c>
      <c r="C637" s="1" t="s">
        <v>3179</v>
      </c>
      <c r="D637" s="5" t="s">
        <v>2012</v>
      </c>
      <c r="E637" s="1" t="s">
        <v>3270</v>
      </c>
      <c r="F637" s="5">
        <v>5000</v>
      </c>
      <c r="G637" s="1" t="s">
        <v>4970</v>
      </c>
      <c r="H637" s="234">
        <v>1.65</v>
      </c>
      <c r="I637" s="236">
        <f t="shared" ref="I637:I667" si="41">H637*F637</f>
        <v>8250</v>
      </c>
      <c r="J637" s="360">
        <v>1.46</v>
      </c>
      <c r="K637" s="241">
        <f>1.46*F637</f>
        <v>7300</v>
      </c>
      <c r="L637" s="237">
        <v>41158</v>
      </c>
      <c r="M637" s="1" t="s">
        <v>3196</v>
      </c>
      <c r="N637" s="235">
        <f t="shared" si="39"/>
        <v>8250</v>
      </c>
      <c r="O637" s="235">
        <f t="shared" si="40"/>
        <v>0</v>
      </c>
      <c r="P637" s="238" t="s">
        <v>3271</v>
      </c>
      <c r="Q637" s="1" t="s">
        <v>3189</v>
      </c>
      <c r="R637" s="239" t="s">
        <v>3272</v>
      </c>
      <c r="S637" s="238" t="s">
        <v>3273</v>
      </c>
      <c r="T637" s="238" t="s">
        <v>3192</v>
      </c>
      <c r="U637" s="238" t="s">
        <v>3192</v>
      </c>
      <c r="V637" s="238" t="s">
        <v>3274</v>
      </c>
      <c r="W637" s="236">
        <v>11698.5</v>
      </c>
      <c r="X637" s="233">
        <v>41177</v>
      </c>
      <c r="Y637" s="238" t="s">
        <v>3192</v>
      </c>
      <c r="AB637" s="1" t="s">
        <v>3177</v>
      </c>
    </row>
    <row r="638" spans="1:28" ht="11.25" customHeight="1">
      <c r="A638" s="233">
        <v>41159</v>
      </c>
      <c r="B638" s="1" t="s">
        <v>3275</v>
      </c>
      <c r="C638" s="1" t="s">
        <v>3179</v>
      </c>
      <c r="D638" s="1" t="s">
        <v>3276</v>
      </c>
      <c r="E638" s="1" t="s">
        <v>3277</v>
      </c>
      <c r="F638" s="5">
        <v>100</v>
      </c>
      <c r="G638" s="1" t="s">
        <v>3181</v>
      </c>
      <c r="H638" s="234">
        <v>1.88</v>
      </c>
      <c r="I638" s="236">
        <f t="shared" si="41"/>
        <v>188</v>
      </c>
      <c r="K638" s="254">
        <f>1.65*F638</f>
        <v>165</v>
      </c>
      <c r="L638" s="237">
        <v>41159</v>
      </c>
      <c r="M638" s="1" t="s">
        <v>3182</v>
      </c>
      <c r="N638" s="235">
        <f t="shared" si="39"/>
        <v>188</v>
      </c>
      <c r="O638" s="235">
        <f t="shared" si="40"/>
        <v>0</v>
      </c>
      <c r="P638" s="238" t="s">
        <v>3192</v>
      </c>
      <c r="Q638" s="1" t="s">
        <v>3228</v>
      </c>
      <c r="R638" s="239" t="s">
        <v>3278</v>
      </c>
      <c r="S638" s="238" t="s">
        <v>3279</v>
      </c>
      <c r="T638" s="238" t="s">
        <v>3280</v>
      </c>
      <c r="U638" s="238" t="s">
        <v>3281</v>
      </c>
      <c r="V638" s="238" t="s">
        <v>3282</v>
      </c>
      <c r="W638" s="236">
        <v>8672.4</v>
      </c>
      <c r="X638" s="233">
        <v>41172</v>
      </c>
      <c r="Z638" s="255" t="s">
        <v>3193</v>
      </c>
      <c r="AB638" s="1" t="s">
        <v>3177</v>
      </c>
    </row>
    <row r="639" spans="1:28" ht="11.25" customHeight="1">
      <c r="A639" s="233">
        <v>41159</v>
      </c>
      <c r="B639" s="1" t="s">
        <v>3275</v>
      </c>
      <c r="C639" s="1" t="s">
        <v>3179</v>
      </c>
      <c r="D639" s="1" t="s">
        <v>3283</v>
      </c>
      <c r="E639" s="1" t="s">
        <v>3284</v>
      </c>
      <c r="F639" s="5">
        <v>50</v>
      </c>
      <c r="G639" s="1" t="s">
        <v>170</v>
      </c>
      <c r="H639" s="234">
        <v>4.3</v>
      </c>
      <c r="I639" s="236">
        <f t="shared" si="41"/>
        <v>215</v>
      </c>
      <c r="K639" s="254">
        <f>4.08*F639</f>
        <v>204</v>
      </c>
      <c r="L639" s="237">
        <v>41159</v>
      </c>
      <c r="M639" s="1" t="s">
        <v>3182</v>
      </c>
      <c r="N639" s="235">
        <f t="shared" si="39"/>
        <v>215</v>
      </c>
      <c r="O639" s="235">
        <f t="shared" si="40"/>
        <v>0</v>
      </c>
      <c r="P639" s="238" t="s">
        <v>3192</v>
      </c>
      <c r="Q639" s="1" t="s">
        <v>3228</v>
      </c>
      <c r="R639" s="239" t="s">
        <v>3278</v>
      </c>
      <c r="S639" s="238" t="s">
        <v>3279</v>
      </c>
      <c r="T639" s="238" t="s">
        <v>3280</v>
      </c>
      <c r="U639" s="238" t="s">
        <v>3281</v>
      </c>
      <c r="V639" s="238" t="s">
        <v>3282</v>
      </c>
      <c r="W639" s="236">
        <v>8672.4</v>
      </c>
      <c r="X639" s="233">
        <v>41172</v>
      </c>
      <c r="Z639" s="255" t="s">
        <v>3285</v>
      </c>
      <c r="AB639" s="1" t="s">
        <v>3177</v>
      </c>
    </row>
    <row r="640" spans="1:28" ht="11.25" customHeight="1">
      <c r="A640" s="233">
        <v>41159</v>
      </c>
      <c r="B640" s="1" t="s">
        <v>3275</v>
      </c>
      <c r="C640" s="1" t="s">
        <v>3179</v>
      </c>
      <c r="D640" s="1" t="s">
        <v>850</v>
      </c>
      <c r="E640" s="1" t="s">
        <v>3286</v>
      </c>
      <c r="F640" s="5">
        <v>10</v>
      </c>
      <c r="G640" s="1" t="s">
        <v>3186</v>
      </c>
      <c r="H640" s="234">
        <v>48.5</v>
      </c>
      <c r="I640" s="236">
        <f t="shared" si="41"/>
        <v>485</v>
      </c>
      <c r="K640" s="254">
        <f>46.9*F640</f>
        <v>469</v>
      </c>
      <c r="L640" s="237">
        <v>41159</v>
      </c>
      <c r="M640" s="1" t="s">
        <v>3182</v>
      </c>
      <c r="N640" s="235">
        <f t="shared" si="39"/>
        <v>485</v>
      </c>
      <c r="O640" s="235">
        <f t="shared" si="40"/>
        <v>0</v>
      </c>
      <c r="P640" s="238" t="s">
        <v>3192</v>
      </c>
      <c r="Q640" s="1" t="s">
        <v>3228</v>
      </c>
      <c r="R640" s="239" t="s">
        <v>3278</v>
      </c>
      <c r="S640" s="238" t="s">
        <v>3279</v>
      </c>
      <c r="T640" s="238" t="s">
        <v>3280</v>
      </c>
      <c r="U640" s="238" t="s">
        <v>3281</v>
      </c>
      <c r="V640" s="238" t="s">
        <v>3282</v>
      </c>
      <c r="W640" s="236">
        <v>8672.4</v>
      </c>
      <c r="X640" s="233">
        <v>41172</v>
      </c>
      <c r="Z640" s="255" t="s">
        <v>3287</v>
      </c>
      <c r="AB640" s="1" t="s">
        <v>3177</v>
      </c>
    </row>
    <row r="641" spans="1:28" ht="11.25" customHeight="1">
      <c r="A641" s="233">
        <v>41159</v>
      </c>
      <c r="B641" s="1" t="s">
        <v>3288</v>
      </c>
      <c r="C641" s="1" t="s">
        <v>3179</v>
      </c>
      <c r="D641" s="1" t="s">
        <v>1213</v>
      </c>
      <c r="E641" s="1" t="s">
        <v>3225</v>
      </c>
      <c r="F641" s="5">
        <v>100</v>
      </c>
      <c r="G641" s="1" t="s">
        <v>3186</v>
      </c>
      <c r="H641" s="234">
        <v>19.5</v>
      </c>
      <c r="I641" s="236">
        <f t="shared" si="41"/>
        <v>1950</v>
      </c>
      <c r="K641" s="250">
        <f>13*F641</f>
        <v>1300</v>
      </c>
      <c r="L641" s="237">
        <v>41159</v>
      </c>
      <c r="M641" s="1" t="s">
        <v>3187</v>
      </c>
      <c r="N641" s="235">
        <f t="shared" si="39"/>
        <v>1950</v>
      </c>
      <c r="O641" s="235">
        <f t="shared" si="40"/>
        <v>0</v>
      </c>
      <c r="P641" s="238" t="s">
        <v>3289</v>
      </c>
      <c r="Q641" s="1" t="s">
        <v>3189</v>
      </c>
      <c r="R641" s="239" t="s">
        <v>3290</v>
      </c>
      <c r="S641" s="238" t="s">
        <v>3291</v>
      </c>
      <c r="T641" s="1" t="s">
        <v>3189</v>
      </c>
      <c r="V641" s="238" t="s">
        <v>3292</v>
      </c>
      <c r="W641" s="236">
        <v>2238</v>
      </c>
      <c r="X641" s="233">
        <v>41172</v>
      </c>
      <c r="AA641" s="240" t="s">
        <v>3242</v>
      </c>
      <c r="AB641" s="1" t="s">
        <v>3177</v>
      </c>
    </row>
    <row r="642" spans="1:28" ht="11.25" customHeight="1">
      <c r="A642" s="233">
        <v>41159</v>
      </c>
      <c r="B642" s="1" t="s">
        <v>3293</v>
      </c>
      <c r="C642" s="1" t="s">
        <v>3179</v>
      </c>
      <c r="D642" s="1" t="s">
        <v>3294</v>
      </c>
      <c r="E642" s="1" t="s">
        <v>3295</v>
      </c>
      <c r="F642" s="5">
        <v>2</v>
      </c>
      <c r="G642" s="232" t="s">
        <v>3296</v>
      </c>
      <c r="H642" s="234">
        <v>30.15</v>
      </c>
      <c r="I642" s="236">
        <f t="shared" si="41"/>
        <v>60.3</v>
      </c>
      <c r="J642" s="351">
        <v>29.25</v>
      </c>
      <c r="K642" s="266">
        <f>29.25*2</f>
        <v>58.5</v>
      </c>
      <c r="L642" s="237">
        <v>41215</v>
      </c>
      <c r="M642" s="1" t="s">
        <v>3182</v>
      </c>
      <c r="N642" s="235">
        <f t="shared" si="39"/>
        <v>60.3</v>
      </c>
      <c r="O642" s="235">
        <f t="shared" si="40"/>
        <v>0</v>
      </c>
      <c r="P642" s="238" t="s">
        <v>3297</v>
      </c>
      <c r="Q642" s="1" t="s">
        <v>3298</v>
      </c>
      <c r="R642" s="10" t="s">
        <v>3299</v>
      </c>
      <c r="S642" s="10">
        <v>13452102967</v>
      </c>
      <c r="T642" s="10" t="s">
        <v>773</v>
      </c>
      <c r="U642" s="238" t="s">
        <v>3300</v>
      </c>
      <c r="V642" s="28" t="s">
        <v>3176</v>
      </c>
      <c r="Z642" s="268"/>
      <c r="AB642" s="1" t="s">
        <v>3177</v>
      </c>
    </row>
    <row r="643" spans="1:28" ht="11.25" customHeight="1">
      <c r="A643" s="233">
        <v>41159</v>
      </c>
      <c r="B643" s="1" t="s">
        <v>3293</v>
      </c>
      <c r="C643" s="1" t="s">
        <v>3179</v>
      </c>
      <c r="D643" s="1" t="s">
        <v>1215</v>
      </c>
      <c r="E643" s="1">
        <v>4690</v>
      </c>
      <c r="F643" s="5">
        <v>2</v>
      </c>
      <c r="G643" s="1" t="s">
        <v>3301</v>
      </c>
      <c r="H643" s="234">
        <v>221.97</v>
      </c>
      <c r="I643" s="236">
        <f t="shared" si="41"/>
        <v>443.94</v>
      </c>
      <c r="J643" s="351">
        <v>30.15</v>
      </c>
      <c r="K643" s="266">
        <f>212.43*0.96*F643</f>
        <v>407.86559999999997</v>
      </c>
      <c r="L643" s="237">
        <v>41215</v>
      </c>
      <c r="M643" s="1" t="s">
        <v>3182</v>
      </c>
      <c r="N643" s="235">
        <f t="shared" ref="N643:N706" si="42">I643</f>
        <v>443.94</v>
      </c>
      <c r="O643" s="235">
        <f t="shared" ref="O643:O706" si="43">I643-N643</f>
        <v>0</v>
      </c>
      <c r="P643" s="238" t="s">
        <v>3297</v>
      </c>
      <c r="Q643" s="1" t="s">
        <v>3298</v>
      </c>
      <c r="R643" s="10" t="s">
        <v>3299</v>
      </c>
      <c r="S643" s="10">
        <v>13452102967</v>
      </c>
      <c r="T643" s="10" t="s">
        <v>773</v>
      </c>
      <c r="U643" s="238" t="s">
        <v>3300</v>
      </c>
      <c r="V643" s="28" t="s">
        <v>3176</v>
      </c>
      <c r="Z643" s="268" t="s">
        <v>3302</v>
      </c>
      <c r="AB643" s="1" t="s">
        <v>3177</v>
      </c>
    </row>
    <row r="644" spans="1:28" ht="12" customHeight="1">
      <c r="A644" s="233">
        <v>41159</v>
      </c>
      <c r="B644" s="1" t="s">
        <v>3303</v>
      </c>
      <c r="C644" s="1" t="s">
        <v>3179</v>
      </c>
      <c r="D644" s="1" t="s">
        <v>3304</v>
      </c>
      <c r="E644" s="1" t="s">
        <v>3305</v>
      </c>
      <c r="F644" s="5">
        <v>2</v>
      </c>
      <c r="G644" s="1" t="s">
        <v>3301</v>
      </c>
      <c r="H644" s="234">
        <v>30</v>
      </c>
      <c r="I644" s="236">
        <f t="shared" si="41"/>
        <v>60</v>
      </c>
      <c r="K644" s="266">
        <f>17.7885*F644</f>
        <v>35.576999999999998</v>
      </c>
      <c r="L644" s="237">
        <v>41163</v>
      </c>
      <c r="M644" s="1" t="s">
        <v>3182</v>
      </c>
      <c r="N644" s="235">
        <f t="shared" si="42"/>
        <v>60</v>
      </c>
      <c r="O644" s="235">
        <f t="shared" si="43"/>
        <v>0</v>
      </c>
      <c r="P644" s="238" t="s">
        <v>3306</v>
      </c>
      <c r="Q644" s="1" t="s">
        <v>3256</v>
      </c>
      <c r="R644" s="10" t="s">
        <v>3307</v>
      </c>
      <c r="S644" s="10">
        <v>18723588777</v>
      </c>
      <c r="T644" s="10" t="s">
        <v>3308</v>
      </c>
      <c r="U644" s="238" t="s">
        <v>3309</v>
      </c>
      <c r="V644" s="96" t="s">
        <v>3310</v>
      </c>
      <c r="W644" s="236">
        <v>763</v>
      </c>
      <c r="X644" s="233">
        <v>41177</v>
      </c>
      <c r="Y644" s="238" t="s">
        <v>3311</v>
      </c>
      <c r="Z644" s="268"/>
      <c r="AA644" s="240" t="s">
        <v>3242</v>
      </c>
      <c r="AB644" s="1" t="s">
        <v>3194</v>
      </c>
    </row>
    <row r="645" spans="1:28" ht="11.25" customHeight="1">
      <c r="A645" s="233">
        <v>41159</v>
      </c>
      <c r="B645" s="1" t="s">
        <v>3303</v>
      </c>
      <c r="C645" s="1" t="s">
        <v>3179</v>
      </c>
      <c r="D645" s="5" t="s">
        <v>854</v>
      </c>
      <c r="E645" s="1">
        <v>9031</v>
      </c>
      <c r="F645" s="5">
        <v>100</v>
      </c>
      <c r="G645" s="232" t="s">
        <v>3312</v>
      </c>
      <c r="H645" s="234">
        <v>2.4</v>
      </c>
      <c r="I645" s="236">
        <f t="shared" si="41"/>
        <v>240</v>
      </c>
      <c r="K645" s="266">
        <f>1.4929*F645</f>
        <v>149.29</v>
      </c>
      <c r="L645" s="237">
        <v>41163</v>
      </c>
      <c r="M645" s="1" t="s">
        <v>3182</v>
      </c>
      <c r="N645" s="235">
        <f t="shared" si="42"/>
        <v>240</v>
      </c>
      <c r="O645" s="235">
        <f t="shared" si="43"/>
        <v>0</v>
      </c>
      <c r="P645" s="238" t="s">
        <v>3306</v>
      </c>
      <c r="Q645" s="1" t="s">
        <v>3256</v>
      </c>
      <c r="R645" s="10" t="s">
        <v>3307</v>
      </c>
      <c r="S645" s="10">
        <v>18723588777</v>
      </c>
      <c r="T645" s="10" t="s">
        <v>3308</v>
      </c>
      <c r="U645" s="238" t="s">
        <v>3309</v>
      </c>
      <c r="V645" s="96" t="s">
        <v>3310</v>
      </c>
      <c r="W645" s="236">
        <v>763</v>
      </c>
      <c r="X645" s="233">
        <v>41177</v>
      </c>
      <c r="Y645" s="238" t="s">
        <v>3311</v>
      </c>
      <c r="Z645" s="268"/>
      <c r="AA645" s="240" t="s">
        <v>3242</v>
      </c>
      <c r="AB645" s="1" t="s">
        <v>3194</v>
      </c>
    </row>
    <row r="646" spans="1:28" ht="11.25" customHeight="1">
      <c r="A646" s="233">
        <v>41159</v>
      </c>
      <c r="B646" s="1" t="s">
        <v>3303</v>
      </c>
      <c r="C646" s="1" t="s">
        <v>3179</v>
      </c>
      <c r="D646" s="1" t="s">
        <v>3313</v>
      </c>
      <c r="E646" s="1" t="s">
        <v>3314</v>
      </c>
      <c r="F646" s="5">
        <v>2</v>
      </c>
      <c r="G646" s="1" t="s">
        <v>3315</v>
      </c>
      <c r="H646" s="234">
        <v>70</v>
      </c>
      <c r="I646" s="236">
        <f t="shared" si="41"/>
        <v>140</v>
      </c>
      <c r="K646" s="266">
        <f>42.939*F646</f>
        <v>85.878</v>
      </c>
      <c r="L646" s="237">
        <v>41163</v>
      </c>
      <c r="M646" s="1" t="s">
        <v>3182</v>
      </c>
      <c r="N646" s="235">
        <f t="shared" si="42"/>
        <v>140</v>
      </c>
      <c r="O646" s="235">
        <f t="shared" si="43"/>
        <v>0</v>
      </c>
      <c r="P646" s="238" t="s">
        <v>3306</v>
      </c>
      <c r="Q646" s="1" t="s">
        <v>3256</v>
      </c>
      <c r="R646" s="10" t="s">
        <v>3307</v>
      </c>
      <c r="S646" s="10">
        <v>18723588777</v>
      </c>
      <c r="T646" s="10" t="s">
        <v>3308</v>
      </c>
      <c r="U646" s="238" t="s">
        <v>3309</v>
      </c>
      <c r="V646" s="96" t="s">
        <v>3310</v>
      </c>
      <c r="W646" s="236">
        <v>763</v>
      </c>
      <c r="X646" s="233">
        <v>41177</v>
      </c>
      <c r="Y646" s="238" t="s">
        <v>3311</v>
      </c>
      <c r="Z646" s="268"/>
      <c r="AA646" s="240" t="s">
        <v>3242</v>
      </c>
      <c r="AB646" s="1" t="s">
        <v>3194</v>
      </c>
    </row>
    <row r="647" spans="1:28" ht="11.25" customHeight="1">
      <c r="A647" s="233">
        <v>41159</v>
      </c>
      <c r="B647" s="1" t="s">
        <v>3303</v>
      </c>
      <c r="C647" s="1" t="s">
        <v>3179</v>
      </c>
      <c r="D647" s="1" t="s">
        <v>353</v>
      </c>
      <c r="E647" s="1" t="s">
        <v>3316</v>
      </c>
      <c r="F647" s="5">
        <v>5</v>
      </c>
      <c r="G647" s="1" t="s">
        <v>3181</v>
      </c>
      <c r="H647" s="234">
        <v>19</v>
      </c>
      <c r="I647" s="236">
        <f t="shared" si="41"/>
        <v>95</v>
      </c>
      <c r="J647" s="352">
        <v>12.74</v>
      </c>
      <c r="K647" s="266">
        <f>12.74*F647</f>
        <v>63.7</v>
      </c>
      <c r="L647" s="237">
        <v>41163</v>
      </c>
      <c r="M647" s="1" t="s">
        <v>3182</v>
      </c>
      <c r="N647" s="235">
        <f t="shared" si="42"/>
        <v>95</v>
      </c>
      <c r="O647" s="235">
        <f t="shared" si="43"/>
        <v>0</v>
      </c>
      <c r="P647" s="238" t="s">
        <v>3306</v>
      </c>
      <c r="Q647" s="1" t="s">
        <v>3256</v>
      </c>
      <c r="R647" s="10" t="s">
        <v>3307</v>
      </c>
      <c r="S647" s="10">
        <v>18723588777</v>
      </c>
      <c r="T647" s="10" t="s">
        <v>3308</v>
      </c>
      <c r="U647" s="238" t="s">
        <v>3309</v>
      </c>
      <c r="V647" s="96" t="s">
        <v>3310</v>
      </c>
      <c r="W647" s="236">
        <v>763</v>
      </c>
      <c r="X647" s="233">
        <v>41177</v>
      </c>
      <c r="Y647" s="238" t="s">
        <v>3311</v>
      </c>
      <c r="Z647" s="268"/>
      <c r="AA647" s="240" t="s">
        <v>3242</v>
      </c>
      <c r="AB647" s="1" t="s">
        <v>3194</v>
      </c>
    </row>
    <row r="648" spans="1:28" ht="12" customHeight="1">
      <c r="A648" s="233">
        <v>41159</v>
      </c>
      <c r="B648" s="1" t="s">
        <v>3303</v>
      </c>
      <c r="C648" s="1" t="s">
        <v>3179</v>
      </c>
      <c r="D648" s="1" t="s">
        <v>268</v>
      </c>
      <c r="E648" s="1" t="s">
        <v>3317</v>
      </c>
      <c r="F648" s="5">
        <v>50</v>
      </c>
      <c r="G648" s="1" t="s">
        <v>3245</v>
      </c>
      <c r="H648" s="234">
        <v>2</v>
      </c>
      <c r="I648" s="236">
        <f t="shared" si="41"/>
        <v>100</v>
      </c>
      <c r="J648" s="352">
        <v>1.43</v>
      </c>
      <c r="K648" s="266">
        <f>1.43*F648</f>
        <v>71.5</v>
      </c>
      <c r="L648" s="237">
        <v>41163</v>
      </c>
      <c r="M648" s="1" t="s">
        <v>3182</v>
      </c>
      <c r="N648" s="235">
        <f t="shared" si="42"/>
        <v>100</v>
      </c>
      <c r="O648" s="235">
        <f t="shared" si="43"/>
        <v>0</v>
      </c>
      <c r="P648" s="238" t="s">
        <v>3306</v>
      </c>
      <c r="Q648" s="1" t="s">
        <v>3256</v>
      </c>
      <c r="R648" s="10" t="s">
        <v>3307</v>
      </c>
      <c r="S648" s="10">
        <v>18723588777</v>
      </c>
      <c r="T648" s="10" t="s">
        <v>3308</v>
      </c>
      <c r="U648" s="238" t="s">
        <v>3309</v>
      </c>
      <c r="V648" s="96" t="s">
        <v>3310</v>
      </c>
      <c r="W648" s="236">
        <v>763</v>
      </c>
      <c r="X648" s="233">
        <v>41177</v>
      </c>
      <c r="Y648" s="238" t="s">
        <v>3311</v>
      </c>
      <c r="Z648" s="268"/>
      <c r="AA648" s="240" t="s">
        <v>3242</v>
      </c>
      <c r="AB648" s="1" t="s">
        <v>3194</v>
      </c>
    </row>
    <row r="649" spans="1:28" ht="11.25" customHeight="1">
      <c r="A649" s="233">
        <v>41159</v>
      </c>
      <c r="B649" s="1" t="s">
        <v>3303</v>
      </c>
      <c r="C649" s="383" t="s">
        <v>3318</v>
      </c>
      <c r="D649" s="303" t="s">
        <v>5011</v>
      </c>
      <c r="E649" s="1" t="s">
        <v>3319</v>
      </c>
      <c r="F649" s="5">
        <v>2</v>
      </c>
      <c r="G649" s="1" t="s">
        <v>3320</v>
      </c>
      <c r="H649" s="234">
        <v>15</v>
      </c>
      <c r="I649" s="236">
        <f t="shared" si="41"/>
        <v>30</v>
      </c>
      <c r="K649" s="266">
        <f>9.8*F649</f>
        <v>19.600000000000001</v>
      </c>
      <c r="L649" s="237">
        <v>41163</v>
      </c>
      <c r="M649" s="1" t="s">
        <v>3182</v>
      </c>
      <c r="N649" s="235">
        <f t="shared" si="42"/>
        <v>30</v>
      </c>
      <c r="O649" s="235">
        <f t="shared" si="43"/>
        <v>0</v>
      </c>
      <c r="P649" s="238" t="s">
        <v>3306</v>
      </c>
      <c r="Q649" s="1" t="s">
        <v>3256</v>
      </c>
      <c r="R649" s="10" t="s">
        <v>3307</v>
      </c>
      <c r="S649" s="10">
        <v>18723588777</v>
      </c>
      <c r="T649" s="10" t="s">
        <v>3308</v>
      </c>
      <c r="U649" s="238" t="s">
        <v>3309</v>
      </c>
      <c r="V649" s="96" t="s">
        <v>3310</v>
      </c>
      <c r="W649" s="236">
        <v>763</v>
      </c>
      <c r="X649" s="233">
        <v>41177</v>
      </c>
      <c r="Y649" s="238" t="s">
        <v>3311</v>
      </c>
      <c r="Z649" s="268"/>
      <c r="AA649" s="240" t="s">
        <v>3242</v>
      </c>
      <c r="AB649" s="1" t="s">
        <v>3194</v>
      </c>
    </row>
    <row r="650" spans="1:28" ht="11.25" customHeight="1">
      <c r="A650" s="233">
        <v>41159</v>
      </c>
      <c r="B650" s="1" t="s">
        <v>3303</v>
      </c>
      <c r="C650" s="1" t="s">
        <v>3179</v>
      </c>
      <c r="D650" s="1" t="s">
        <v>692</v>
      </c>
      <c r="E650" s="1" t="s">
        <v>3321</v>
      </c>
      <c r="F650" s="5">
        <v>20</v>
      </c>
      <c r="G650" s="1" t="s">
        <v>3186</v>
      </c>
      <c r="H650" s="234">
        <v>2.5</v>
      </c>
      <c r="I650" s="236">
        <f t="shared" si="41"/>
        <v>50</v>
      </c>
      <c r="K650" s="266">
        <f>1.5376*F650</f>
        <v>30.752000000000002</v>
      </c>
      <c r="L650" s="237">
        <v>41163</v>
      </c>
      <c r="M650" s="1" t="s">
        <v>3182</v>
      </c>
      <c r="N650" s="235">
        <f t="shared" si="42"/>
        <v>50</v>
      </c>
      <c r="O650" s="235">
        <f t="shared" si="43"/>
        <v>0</v>
      </c>
      <c r="P650" s="238" t="s">
        <v>3306</v>
      </c>
      <c r="Q650" s="1" t="s">
        <v>3256</v>
      </c>
      <c r="R650" s="10" t="s">
        <v>3307</v>
      </c>
      <c r="S650" s="10">
        <v>18723588777</v>
      </c>
      <c r="T650" s="10" t="s">
        <v>3308</v>
      </c>
      <c r="U650" s="238" t="s">
        <v>3309</v>
      </c>
      <c r="V650" s="96" t="s">
        <v>3310</v>
      </c>
      <c r="W650" s="236">
        <v>763</v>
      </c>
      <c r="X650" s="233">
        <v>41177</v>
      </c>
      <c r="Y650" s="238" t="s">
        <v>3311</v>
      </c>
      <c r="Z650" s="268" t="s">
        <v>3193</v>
      </c>
      <c r="AA650" s="240" t="s">
        <v>3242</v>
      </c>
      <c r="AB650" s="1" t="s">
        <v>3194</v>
      </c>
    </row>
    <row r="651" spans="1:28" ht="11.25" customHeight="1">
      <c r="A651" s="233">
        <v>41159</v>
      </c>
      <c r="B651" s="1" t="s">
        <v>3303</v>
      </c>
      <c r="C651" s="1" t="s">
        <v>3179</v>
      </c>
      <c r="D651" s="1" t="s">
        <v>3243</v>
      </c>
      <c r="E651" s="1">
        <v>40661</v>
      </c>
      <c r="F651" s="5">
        <v>2</v>
      </c>
      <c r="G651" s="1" t="s">
        <v>3186</v>
      </c>
      <c r="H651" s="234">
        <v>24</v>
      </c>
      <c r="I651" s="236">
        <f t="shared" si="41"/>
        <v>48</v>
      </c>
      <c r="K651" s="266">
        <f>16.08*F651</f>
        <v>32.159999999999997</v>
      </c>
      <c r="L651" s="237">
        <v>41163</v>
      </c>
      <c r="M651" s="1" t="s">
        <v>3182</v>
      </c>
      <c r="N651" s="235">
        <f t="shared" si="42"/>
        <v>48</v>
      </c>
      <c r="O651" s="235">
        <f t="shared" si="43"/>
        <v>0</v>
      </c>
      <c r="P651" s="238" t="s">
        <v>3306</v>
      </c>
      <c r="Q651" s="1" t="s">
        <v>3256</v>
      </c>
      <c r="R651" s="10" t="s">
        <v>3307</v>
      </c>
      <c r="S651" s="10">
        <v>18723588777</v>
      </c>
      <c r="T651" s="10" t="s">
        <v>3308</v>
      </c>
      <c r="U651" s="238" t="s">
        <v>3309</v>
      </c>
      <c r="V651" s="96" t="s">
        <v>3310</v>
      </c>
      <c r="W651" s="236">
        <v>763</v>
      </c>
      <c r="X651" s="233">
        <v>41177</v>
      </c>
      <c r="Y651" s="238" t="s">
        <v>3311</v>
      </c>
      <c r="Z651" s="255" t="s">
        <v>3193</v>
      </c>
      <c r="AA651" s="240" t="s">
        <v>3242</v>
      </c>
      <c r="AB651" s="1" t="s">
        <v>3194</v>
      </c>
    </row>
    <row r="652" spans="1:28" ht="11.25" customHeight="1">
      <c r="A652" s="233">
        <v>41160</v>
      </c>
      <c r="B652" s="1" t="s">
        <v>971</v>
      </c>
      <c r="C652" s="1" t="s">
        <v>3179</v>
      </c>
      <c r="D652" s="1" t="s">
        <v>86</v>
      </c>
      <c r="E652" s="1">
        <v>9032</v>
      </c>
      <c r="F652" s="5">
        <v>50</v>
      </c>
      <c r="G652" s="1" t="s">
        <v>3181</v>
      </c>
      <c r="H652" s="234">
        <v>2.4</v>
      </c>
      <c r="I652" s="235">
        <f t="shared" si="41"/>
        <v>120</v>
      </c>
      <c r="K652" s="266">
        <f>1.4929*F652</f>
        <v>74.644999999999996</v>
      </c>
      <c r="L652" s="237">
        <v>41204</v>
      </c>
      <c r="M652" s="1" t="s">
        <v>3196</v>
      </c>
      <c r="N652" s="235">
        <f t="shared" si="42"/>
        <v>120</v>
      </c>
      <c r="O652" s="235">
        <f t="shared" si="43"/>
        <v>0</v>
      </c>
      <c r="P652" s="238" t="s">
        <v>3322</v>
      </c>
      <c r="Q652" s="1" t="s">
        <v>3189</v>
      </c>
      <c r="R652" s="247" t="s">
        <v>3580</v>
      </c>
      <c r="S652" s="238" t="s">
        <v>3323</v>
      </c>
      <c r="T652" s="238" t="s">
        <v>5513</v>
      </c>
      <c r="U652" s="238" t="s">
        <v>3189</v>
      </c>
      <c r="V652" s="246" t="s">
        <v>3324</v>
      </c>
      <c r="W652" s="236">
        <v>3968</v>
      </c>
      <c r="X652" s="233">
        <v>41199</v>
      </c>
      <c r="Y652" s="246" t="s">
        <v>3325</v>
      </c>
      <c r="AB652" s="1" t="s">
        <v>3194</v>
      </c>
    </row>
    <row r="653" spans="1:28" ht="11.25" customHeight="1">
      <c r="A653" s="233">
        <v>41160</v>
      </c>
      <c r="B653" s="1" t="s">
        <v>971</v>
      </c>
      <c r="C653" s="1" t="s">
        <v>3179</v>
      </c>
      <c r="D653" s="5" t="s">
        <v>854</v>
      </c>
      <c r="E653" s="1">
        <v>9031</v>
      </c>
      <c r="F653" s="5">
        <v>50</v>
      </c>
      <c r="G653" s="232" t="s">
        <v>3312</v>
      </c>
      <c r="H653" s="234">
        <v>2.4</v>
      </c>
      <c r="I653" s="235">
        <f t="shared" si="41"/>
        <v>120</v>
      </c>
      <c r="K653" s="266">
        <f>1.4929*F653</f>
        <v>74.644999999999996</v>
      </c>
      <c r="L653" s="237">
        <v>41204</v>
      </c>
      <c r="M653" s="1" t="s">
        <v>3196</v>
      </c>
      <c r="N653" s="235">
        <f t="shared" si="42"/>
        <v>120</v>
      </c>
      <c r="O653" s="235">
        <f t="shared" si="43"/>
        <v>0</v>
      </c>
      <c r="P653" s="238" t="s">
        <v>3322</v>
      </c>
      <c r="Q653" s="1" t="s">
        <v>3189</v>
      </c>
      <c r="R653" s="247" t="s">
        <v>3580</v>
      </c>
      <c r="S653" s="238" t="s">
        <v>3323</v>
      </c>
      <c r="T653" s="238" t="s">
        <v>5513</v>
      </c>
      <c r="U653" s="238" t="s">
        <v>3189</v>
      </c>
      <c r="V653" s="246" t="s">
        <v>3324</v>
      </c>
      <c r="W653" s="236">
        <v>3968</v>
      </c>
      <c r="X653" s="233">
        <v>41199</v>
      </c>
      <c r="Y653" s="246" t="s">
        <v>3325</v>
      </c>
      <c r="AB653" s="1" t="s">
        <v>3194</v>
      </c>
    </row>
    <row r="654" spans="1:28" ht="11.25" customHeight="1">
      <c r="A654" s="233">
        <v>41160</v>
      </c>
      <c r="B654" s="1" t="s">
        <v>971</v>
      </c>
      <c r="C654" s="1" t="s">
        <v>3179</v>
      </c>
      <c r="D654" s="1" t="s">
        <v>240</v>
      </c>
      <c r="E654" s="1">
        <v>6200</v>
      </c>
      <c r="F654" s="5">
        <v>2</v>
      </c>
      <c r="G654" s="1" t="s">
        <v>229</v>
      </c>
      <c r="H654" s="234">
        <v>68</v>
      </c>
      <c r="I654" s="235">
        <f t="shared" si="41"/>
        <v>136</v>
      </c>
      <c r="J654" s="352">
        <v>45</v>
      </c>
      <c r="K654" s="266" t="e">
        <f>#REF!*F654</f>
        <v>#REF!</v>
      </c>
      <c r="L654" s="237">
        <v>41204</v>
      </c>
      <c r="M654" s="1" t="s">
        <v>3196</v>
      </c>
      <c r="N654" s="235">
        <f t="shared" si="42"/>
        <v>136</v>
      </c>
      <c r="O654" s="235">
        <f t="shared" si="43"/>
        <v>0</v>
      </c>
      <c r="P654" s="238" t="s">
        <v>3322</v>
      </c>
      <c r="Q654" s="1" t="s">
        <v>3189</v>
      </c>
      <c r="R654" s="247" t="s">
        <v>3580</v>
      </c>
      <c r="S654" s="238" t="s">
        <v>3323</v>
      </c>
      <c r="T654" s="238" t="s">
        <v>5513</v>
      </c>
      <c r="U654" s="238" t="s">
        <v>3189</v>
      </c>
      <c r="V654" s="246" t="s">
        <v>3324</v>
      </c>
      <c r="W654" s="236">
        <v>3968</v>
      </c>
      <c r="X654" s="233">
        <v>41199</v>
      </c>
      <c r="Y654" s="246" t="s">
        <v>3325</v>
      </c>
      <c r="AB654" s="1" t="s">
        <v>3194</v>
      </c>
    </row>
    <row r="655" spans="1:28" ht="11.25" customHeight="1">
      <c r="A655" s="233">
        <v>41160</v>
      </c>
      <c r="B655" s="1" t="s">
        <v>971</v>
      </c>
      <c r="C655" s="1" t="s">
        <v>3179</v>
      </c>
      <c r="D655" s="1" t="s">
        <v>273</v>
      </c>
      <c r="E655" s="1" t="s">
        <v>3226</v>
      </c>
      <c r="F655" s="5">
        <v>4</v>
      </c>
      <c r="G655" s="1" t="s">
        <v>229</v>
      </c>
      <c r="H655" s="234">
        <v>48</v>
      </c>
      <c r="I655" s="235">
        <f t="shared" si="41"/>
        <v>192</v>
      </c>
      <c r="J655" s="352">
        <v>32</v>
      </c>
      <c r="K655" s="266">
        <f>32*F655</f>
        <v>128</v>
      </c>
      <c r="L655" s="237">
        <v>41204</v>
      </c>
      <c r="M655" s="1" t="s">
        <v>3196</v>
      </c>
      <c r="N655" s="235">
        <f t="shared" si="42"/>
        <v>192</v>
      </c>
      <c r="O655" s="235">
        <f t="shared" si="43"/>
        <v>0</v>
      </c>
      <c r="P655" s="238" t="s">
        <v>3322</v>
      </c>
      <c r="Q655" s="1" t="s">
        <v>3189</v>
      </c>
      <c r="R655" s="247" t="s">
        <v>3580</v>
      </c>
      <c r="S655" s="238" t="s">
        <v>3323</v>
      </c>
      <c r="T655" s="238" t="s">
        <v>5513</v>
      </c>
      <c r="U655" s="238" t="s">
        <v>3189</v>
      </c>
      <c r="V655" s="246" t="s">
        <v>3324</v>
      </c>
      <c r="W655" s="236">
        <v>3968</v>
      </c>
      <c r="X655" s="233">
        <v>41199</v>
      </c>
      <c r="Y655" s="246" t="s">
        <v>3325</v>
      </c>
      <c r="AB655" s="1" t="s">
        <v>3194</v>
      </c>
    </row>
    <row r="656" spans="1:28" ht="11.25" customHeight="1">
      <c r="A656" s="233">
        <v>41160</v>
      </c>
      <c r="B656" s="1" t="s">
        <v>971</v>
      </c>
      <c r="C656" s="1" t="s">
        <v>3179</v>
      </c>
      <c r="D656" s="1" t="s">
        <v>1213</v>
      </c>
      <c r="E656" s="1" t="s">
        <v>3225</v>
      </c>
      <c r="F656" s="5">
        <v>2</v>
      </c>
      <c r="G656" s="1" t="s">
        <v>3186</v>
      </c>
      <c r="H656" s="234">
        <v>21</v>
      </c>
      <c r="I656" s="235">
        <f t="shared" si="41"/>
        <v>42</v>
      </c>
      <c r="K656" s="274">
        <f>13*F656</f>
        <v>26</v>
      </c>
      <c r="L656" s="237">
        <v>41204</v>
      </c>
      <c r="M656" s="1" t="s">
        <v>3196</v>
      </c>
      <c r="N656" s="235">
        <f t="shared" si="42"/>
        <v>42</v>
      </c>
      <c r="O656" s="235">
        <f t="shared" si="43"/>
        <v>0</v>
      </c>
      <c r="P656" s="238" t="s">
        <v>3322</v>
      </c>
      <c r="Q656" s="1" t="s">
        <v>3189</v>
      </c>
      <c r="R656" s="247" t="s">
        <v>3580</v>
      </c>
      <c r="S656" s="238" t="s">
        <v>3323</v>
      </c>
      <c r="T656" s="238" t="s">
        <v>5513</v>
      </c>
      <c r="U656" s="238" t="s">
        <v>3189</v>
      </c>
      <c r="V656" s="246" t="s">
        <v>3324</v>
      </c>
      <c r="W656" s="236">
        <v>3968</v>
      </c>
      <c r="X656" s="233">
        <v>41199</v>
      </c>
      <c r="Y656" s="246" t="s">
        <v>3325</v>
      </c>
      <c r="Z656" s="255" t="s">
        <v>3193</v>
      </c>
      <c r="AB656" s="1" t="s">
        <v>3194</v>
      </c>
    </row>
    <row r="657" spans="1:28" ht="11.25" customHeight="1">
      <c r="A657" s="233">
        <v>41160</v>
      </c>
      <c r="B657" s="1" t="s">
        <v>971</v>
      </c>
      <c r="C657" s="1" t="s">
        <v>3179</v>
      </c>
      <c r="D657" s="1" t="s">
        <v>246</v>
      </c>
      <c r="E657" s="1">
        <v>4515</v>
      </c>
      <c r="F657" s="5">
        <v>2</v>
      </c>
      <c r="G657" s="1" t="s">
        <v>243</v>
      </c>
      <c r="H657" s="234">
        <v>26</v>
      </c>
      <c r="I657" s="235">
        <f t="shared" si="41"/>
        <v>52</v>
      </c>
      <c r="K657" s="266">
        <f>12.6*F657</f>
        <v>25.2</v>
      </c>
      <c r="L657" s="237">
        <v>41204</v>
      </c>
      <c r="M657" s="1" t="s">
        <v>3196</v>
      </c>
      <c r="N657" s="235">
        <f t="shared" si="42"/>
        <v>52</v>
      </c>
      <c r="O657" s="235">
        <f t="shared" si="43"/>
        <v>0</v>
      </c>
      <c r="P657" s="238" t="s">
        <v>3322</v>
      </c>
      <c r="Q657" s="1" t="s">
        <v>3189</v>
      </c>
      <c r="R657" s="247" t="s">
        <v>3580</v>
      </c>
      <c r="S657" s="238" t="s">
        <v>3323</v>
      </c>
      <c r="T657" s="238" t="s">
        <v>5513</v>
      </c>
      <c r="U657" s="238" t="s">
        <v>3189</v>
      </c>
      <c r="V657" s="246" t="s">
        <v>3324</v>
      </c>
      <c r="W657" s="236">
        <v>3968</v>
      </c>
      <c r="X657" s="233">
        <v>41199</v>
      </c>
      <c r="Y657" s="246" t="s">
        <v>3325</v>
      </c>
      <c r="Z657" s="255" t="s">
        <v>3193</v>
      </c>
      <c r="AB657" s="1" t="s">
        <v>3194</v>
      </c>
    </row>
    <row r="658" spans="1:28" ht="11.25" customHeight="1">
      <c r="A658" s="233">
        <v>41160</v>
      </c>
      <c r="B658" s="1" t="s">
        <v>971</v>
      </c>
      <c r="C658" s="1" t="s">
        <v>3179</v>
      </c>
      <c r="D658" s="1" t="s">
        <v>1711</v>
      </c>
      <c r="E658" s="1">
        <v>8210</v>
      </c>
      <c r="F658" s="5">
        <v>20</v>
      </c>
      <c r="G658" s="1" t="s">
        <v>3181</v>
      </c>
      <c r="H658" s="234">
        <v>6</v>
      </c>
      <c r="I658" s="235">
        <f t="shared" si="41"/>
        <v>120</v>
      </c>
      <c r="K658" s="266">
        <f>3.78*F658</f>
        <v>75.599999999999994</v>
      </c>
      <c r="L658" s="237">
        <v>41204</v>
      </c>
      <c r="M658" s="1" t="s">
        <v>3196</v>
      </c>
      <c r="N658" s="235">
        <f t="shared" si="42"/>
        <v>120</v>
      </c>
      <c r="O658" s="235">
        <f t="shared" si="43"/>
        <v>0</v>
      </c>
      <c r="P658" s="238" t="s">
        <v>3322</v>
      </c>
      <c r="Q658" s="1" t="s">
        <v>3189</v>
      </c>
      <c r="R658" s="247" t="s">
        <v>3580</v>
      </c>
      <c r="S658" s="238" t="s">
        <v>3323</v>
      </c>
      <c r="T658" s="238" t="s">
        <v>5513</v>
      </c>
      <c r="U658" s="238" t="s">
        <v>3189</v>
      </c>
      <c r="V658" s="246" t="s">
        <v>3324</v>
      </c>
      <c r="W658" s="236">
        <v>3968</v>
      </c>
      <c r="X658" s="233">
        <v>41199</v>
      </c>
      <c r="Y658" s="246" t="s">
        <v>3325</v>
      </c>
      <c r="AB658" s="1" t="s">
        <v>3194</v>
      </c>
    </row>
    <row r="659" spans="1:28" ht="11.25" customHeight="1">
      <c r="A659" s="233">
        <v>41160</v>
      </c>
      <c r="B659" s="1" t="s">
        <v>971</v>
      </c>
      <c r="C659" s="1" t="s">
        <v>1329</v>
      </c>
      <c r="D659" s="95" t="s">
        <v>5008</v>
      </c>
      <c r="E659" s="1" t="s">
        <v>3326</v>
      </c>
      <c r="F659" s="5">
        <v>1</v>
      </c>
      <c r="G659" s="1" t="s">
        <v>3320</v>
      </c>
      <c r="H659" s="234">
        <v>16</v>
      </c>
      <c r="I659" s="235">
        <f t="shared" si="41"/>
        <v>16</v>
      </c>
      <c r="K659" s="266">
        <f>10.05*F659</f>
        <v>10.050000000000001</v>
      </c>
      <c r="L659" s="237">
        <v>41204</v>
      </c>
      <c r="M659" s="1" t="s">
        <v>3196</v>
      </c>
      <c r="N659" s="235">
        <f t="shared" si="42"/>
        <v>16</v>
      </c>
      <c r="O659" s="235">
        <f t="shared" si="43"/>
        <v>0</v>
      </c>
      <c r="P659" s="238" t="s">
        <v>3322</v>
      </c>
      <c r="Q659" s="1" t="s">
        <v>3189</v>
      </c>
      <c r="R659" s="247" t="s">
        <v>3580</v>
      </c>
      <c r="S659" s="238" t="s">
        <v>3323</v>
      </c>
      <c r="T659" s="238" t="s">
        <v>5513</v>
      </c>
      <c r="U659" s="238" t="s">
        <v>3189</v>
      </c>
      <c r="V659" s="246" t="s">
        <v>3324</v>
      </c>
      <c r="W659" s="236">
        <v>3968</v>
      </c>
      <c r="X659" s="233">
        <v>41199</v>
      </c>
      <c r="Y659" s="246" t="s">
        <v>3325</v>
      </c>
      <c r="AB659" s="1" t="s">
        <v>3194</v>
      </c>
    </row>
    <row r="660" spans="1:28" ht="13.5" customHeight="1">
      <c r="A660" s="233">
        <v>41162</v>
      </c>
      <c r="B660" s="1" t="s">
        <v>3327</v>
      </c>
      <c r="C660" s="1" t="s">
        <v>3179</v>
      </c>
      <c r="D660" s="1" t="s">
        <v>353</v>
      </c>
      <c r="E660" s="1" t="s">
        <v>3180</v>
      </c>
      <c r="F660" s="5">
        <v>20</v>
      </c>
      <c r="G660" s="1" t="s">
        <v>229</v>
      </c>
      <c r="H660" s="234">
        <v>25</v>
      </c>
      <c r="I660" s="236">
        <f t="shared" si="41"/>
        <v>500</v>
      </c>
      <c r="J660" s="352">
        <v>17.5</v>
      </c>
      <c r="K660" s="266">
        <f>17.5*F660</f>
        <v>350</v>
      </c>
      <c r="L660" s="237">
        <v>41162</v>
      </c>
      <c r="M660" s="1" t="s">
        <v>3187</v>
      </c>
      <c r="N660" s="235">
        <f t="shared" si="42"/>
        <v>500</v>
      </c>
      <c r="O660" s="235">
        <f t="shared" si="43"/>
        <v>0</v>
      </c>
      <c r="P660" s="238" t="s">
        <v>3328</v>
      </c>
      <c r="Q660" s="1" t="s">
        <v>3189</v>
      </c>
      <c r="R660" s="239" t="s">
        <v>3329</v>
      </c>
      <c r="S660" s="238" t="s">
        <v>3330</v>
      </c>
      <c r="T660" s="238" t="s">
        <v>3331</v>
      </c>
      <c r="U660" s="238" t="s">
        <v>3189</v>
      </c>
      <c r="V660" s="238" t="s">
        <v>3332</v>
      </c>
      <c r="W660" s="236">
        <v>2200</v>
      </c>
      <c r="X660" s="233">
        <v>41164</v>
      </c>
      <c r="AB660" s="1" t="s">
        <v>3194</v>
      </c>
    </row>
    <row r="661" spans="1:28" ht="11.25" customHeight="1">
      <c r="A661" s="233">
        <v>41162</v>
      </c>
      <c r="B661" s="1" t="s">
        <v>3327</v>
      </c>
      <c r="C661" s="1" t="s">
        <v>3179</v>
      </c>
      <c r="D661" s="1" t="s">
        <v>232</v>
      </c>
      <c r="E661" s="1" t="s">
        <v>3333</v>
      </c>
      <c r="F661" s="5">
        <v>40</v>
      </c>
      <c r="G661" s="1" t="s">
        <v>231</v>
      </c>
      <c r="H661" s="234">
        <v>8.5</v>
      </c>
      <c r="I661" s="236">
        <f t="shared" si="41"/>
        <v>340</v>
      </c>
      <c r="K661" s="266">
        <f>4.78*F661</f>
        <v>191.20000000000002</v>
      </c>
      <c r="L661" s="237">
        <v>41162</v>
      </c>
      <c r="M661" s="1" t="s">
        <v>3187</v>
      </c>
      <c r="N661" s="235">
        <f t="shared" si="42"/>
        <v>340</v>
      </c>
      <c r="O661" s="235">
        <f t="shared" si="43"/>
        <v>0</v>
      </c>
      <c r="P661" s="238" t="s">
        <v>3328</v>
      </c>
      <c r="Q661" s="1" t="s">
        <v>3189</v>
      </c>
      <c r="R661" s="239" t="s">
        <v>3329</v>
      </c>
      <c r="S661" s="238" t="s">
        <v>3330</v>
      </c>
      <c r="T661" s="238" t="s">
        <v>3331</v>
      </c>
      <c r="U661" s="238" t="s">
        <v>3189</v>
      </c>
      <c r="V661" s="238" t="s">
        <v>3332</v>
      </c>
      <c r="W661" s="236">
        <v>2200</v>
      </c>
      <c r="X661" s="233">
        <v>41164</v>
      </c>
      <c r="AB661" s="1" t="s">
        <v>3194</v>
      </c>
    </row>
    <row r="662" spans="1:28" ht="11.25" customHeight="1">
      <c r="A662" s="233">
        <v>41162</v>
      </c>
      <c r="B662" s="1" t="s">
        <v>3327</v>
      </c>
      <c r="C662" s="1" t="s">
        <v>3179</v>
      </c>
      <c r="D662" s="1" t="s">
        <v>263</v>
      </c>
      <c r="E662" s="1">
        <v>501</v>
      </c>
      <c r="F662" s="5">
        <v>20</v>
      </c>
      <c r="G662" s="1" t="s">
        <v>2086</v>
      </c>
      <c r="H662" s="234">
        <v>1.8</v>
      </c>
      <c r="I662" s="236">
        <f t="shared" si="41"/>
        <v>36</v>
      </c>
      <c r="K662" s="266">
        <f>1.39*F662</f>
        <v>27.799999999999997</v>
      </c>
      <c r="L662" s="237">
        <v>41162</v>
      </c>
      <c r="M662" s="1" t="s">
        <v>2390</v>
      </c>
      <c r="N662" s="235">
        <f t="shared" si="42"/>
        <v>36</v>
      </c>
      <c r="O662" s="235">
        <f t="shared" si="43"/>
        <v>0</v>
      </c>
      <c r="P662" s="238" t="s">
        <v>3334</v>
      </c>
      <c r="Q662" s="1" t="s">
        <v>2212</v>
      </c>
      <c r="R662" s="239" t="s">
        <v>3131</v>
      </c>
      <c r="S662" s="238" t="s">
        <v>3132</v>
      </c>
      <c r="T662" s="238" t="s">
        <v>3133</v>
      </c>
      <c r="U662" s="238" t="s">
        <v>2212</v>
      </c>
      <c r="V662" s="238" t="s">
        <v>3335</v>
      </c>
      <c r="W662" s="236">
        <v>2200</v>
      </c>
      <c r="X662" s="233">
        <v>41164</v>
      </c>
      <c r="AB662" s="1" t="s">
        <v>2079</v>
      </c>
    </row>
    <row r="663" spans="1:28" ht="11.25" customHeight="1">
      <c r="A663" s="233">
        <v>41162</v>
      </c>
      <c r="B663" s="1" t="s">
        <v>3135</v>
      </c>
      <c r="C663" s="1" t="s">
        <v>2080</v>
      </c>
      <c r="D663" s="5" t="s">
        <v>2014</v>
      </c>
      <c r="E663" s="1">
        <v>7502</v>
      </c>
      <c r="F663" s="5">
        <v>10</v>
      </c>
      <c r="G663" s="1" t="s">
        <v>229</v>
      </c>
      <c r="H663" s="234">
        <v>132.4</v>
      </c>
      <c r="I663" s="236">
        <f t="shared" si="41"/>
        <v>1324</v>
      </c>
      <c r="J663" s="352">
        <v>105</v>
      </c>
      <c r="K663" s="266">
        <f>105*F663</f>
        <v>1050</v>
      </c>
      <c r="L663" s="237">
        <v>41162</v>
      </c>
      <c r="M663" s="1" t="s">
        <v>2390</v>
      </c>
      <c r="N663" s="235">
        <f t="shared" si="42"/>
        <v>1324</v>
      </c>
      <c r="O663" s="235">
        <f t="shared" si="43"/>
        <v>0</v>
      </c>
      <c r="P663" s="238" t="s">
        <v>3334</v>
      </c>
      <c r="Q663" s="1" t="s">
        <v>2212</v>
      </c>
      <c r="R663" s="239" t="s">
        <v>3131</v>
      </c>
      <c r="S663" s="238" t="s">
        <v>3132</v>
      </c>
      <c r="T663" s="238" t="s">
        <v>3133</v>
      </c>
      <c r="U663" s="238" t="s">
        <v>2212</v>
      </c>
      <c r="V663" s="238" t="s">
        <v>3335</v>
      </c>
      <c r="W663" s="236">
        <v>2200</v>
      </c>
      <c r="X663" s="233">
        <v>41164</v>
      </c>
      <c r="AB663" s="1" t="s">
        <v>2079</v>
      </c>
    </row>
    <row r="664" spans="1:28" ht="11.25" customHeight="1">
      <c r="A664" s="233">
        <v>41162</v>
      </c>
      <c r="B664" s="1" t="s">
        <v>1012</v>
      </c>
      <c r="C664" s="1" t="s">
        <v>2080</v>
      </c>
      <c r="D664" s="1" t="s">
        <v>692</v>
      </c>
      <c r="E664" s="1" t="s">
        <v>2544</v>
      </c>
      <c r="F664" s="5">
        <v>200</v>
      </c>
      <c r="G664" s="1" t="s">
        <v>2398</v>
      </c>
      <c r="H664" s="234">
        <v>2.5</v>
      </c>
      <c r="I664" s="236">
        <f t="shared" si="41"/>
        <v>500</v>
      </c>
      <c r="K664" s="266">
        <f>1.5376*F664</f>
        <v>307.52000000000004</v>
      </c>
      <c r="L664" s="237">
        <v>41162</v>
      </c>
      <c r="M664" s="1" t="s">
        <v>2390</v>
      </c>
      <c r="N664" s="235">
        <f t="shared" si="42"/>
        <v>500</v>
      </c>
      <c r="O664" s="235">
        <f t="shared" si="43"/>
        <v>0</v>
      </c>
      <c r="P664" s="238" t="s">
        <v>3336</v>
      </c>
      <c r="Q664" s="1" t="s">
        <v>2212</v>
      </c>
      <c r="R664" s="239" t="s">
        <v>2082</v>
      </c>
      <c r="S664" s="239" t="s">
        <v>2082</v>
      </c>
      <c r="T664" s="238" t="s">
        <v>3337</v>
      </c>
      <c r="U664" s="238" t="s">
        <v>2212</v>
      </c>
      <c r="V664" s="238" t="s">
        <v>3338</v>
      </c>
      <c r="W664" s="236">
        <v>1150</v>
      </c>
      <c r="X664" s="233">
        <v>41199</v>
      </c>
      <c r="Y664" s="238" t="s">
        <v>2212</v>
      </c>
      <c r="Z664" s="255" t="s">
        <v>2549</v>
      </c>
      <c r="AB664" s="1" t="s">
        <v>2079</v>
      </c>
    </row>
    <row r="665" spans="1:28" ht="11.25" customHeight="1">
      <c r="A665" s="233">
        <v>41162</v>
      </c>
      <c r="B665" s="1" t="s">
        <v>1012</v>
      </c>
      <c r="C665" s="1" t="s">
        <v>2080</v>
      </c>
      <c r="D665" s="1" t="s">
        <v>2030</v>
      </c>
      <c r="E665" s="1" t="s">
        <v>3339</v>
      </c>
      <c r="F665" s="5">
        <v>10</v>
      </c>
      <c r="G665" s="1" t="s">
        <v>236</v>
      </c>
      <c r="H665" s="234">
        <v>65</v>
      </c>
      <c r="I665" s="236">
        <f t="shared" si="41"/>
        <v>650</v>
      </c>
      <c r="K665" s="266">
        <f>42.939*F665</f>
        <v>429.39</v>
      </c>
      <c r="L665" s="237">
        <v>41162</v>
      </c>
      <c r="M665" s="1" t="s">
        <v>2390</v>
      </c>
      <c r="N665" s="235">
        <f t="shared" si="42"/>
        <v>650</v>
      </c>
      <c r="O665" s="235">
        <f t="shared" si="43"/>
        <v>0</v>
      </c>
      <c r="P665" s="238" t="s">
        <v>3336</v>
      </c>
      <c r="Q665" s="1" t="s">
        <v>2212</v>
      </c>
      <c r="R665" s="239" t="s">
        <v>2082</v>
      </c>
      <c r="S665" s="239" t="s">
        <v>2082</v>
      </c>
      <c r="T665" s="238" t="s">
        <v>3337</v>
      </c>
      <c r="U665" s="238" t="s">
        <v>2212</v>
      </c>
      <c r="V665" s="238" t="s">
        <v>3338</v>
      </c>
      <c r="W665" s="236">
        <v>1150</v>
      </c>
      <c r="X665" s="233">
        <v>41199</v>
      </c>
      <c r="Y665" s="238" t="s">
        <v>2212</v>
      </c>
      <c r="AB665" s="1" t="s">
        <v>2079</v>
      </c>
    </row>
    <row r="666" spans="1:28" ht="11.25" customHeight="1">
      <c r="A666" s="233">
        <v>41162</v>
      </c>
      <c r="B666" s="1" t="s">
        <v>3340</v>
      </c>
      <c r="C666" s="1" t="s">
        <v>2080</v>
      </c>
      <c r="D666" s="1" t="s">
        <v>240</v>
      </c>
      <c r="E666" s="1">
        <v>6200</v>
      </c>
      <c r="F666" s="5">
        <v>1</v>
      </c>
      <c r="G666" s="1" t="s">
        <v>229</v>
      </c>
      <c r="H666" s="234">
        <v>80</v>
      </c>
      <c r="I666" s="236">
        <f t="shared" si="41"/>
        <v>80</v>
      </c>
      <c r="J666" s="352">
        <v>45</v>
      </c>
      <c r="K666" s="266">
        <f>45*F666</f>
        <v>45</v>
      </c>
      <c r="L666" s="237">
        <v>41162</v>
      </c>
      <c r="M666" s="1" t="s">
        <v>2390</v>
      </c>
      <c r="N666" s="235">
        <f t="shared" si="42"/>
        <v>80</v>
      </c>
      <c r="O666" s="235">
        <f t="shared" si="43"/>
        <v>0</v>
      </c>
      <c r="P666" s="238" t="s">
        <v>3341</v>
      </c>
      <c r="Q666" s="1" t="s">
        <v>2212</v>
      </c>
      <c r="R666" s="239" t="s">
        <v>2082</v>
      </c>
      <c r="S666" s="1">
        <v>13883116868</v>
      </c>
      <c r="T666" s="238" t="s">
        <v>3342</v>
      </c>
      <c r="U666" s="238" t="s">
        <v>2212</v>
      </c>
      <c r="V666" s="238" t="s">
        <v>2488</v>
      </c>
      <c r="AB666" s="1" t="s">
        <v>2079</v>
      </c>
    </row>
    <row r="667" spans="1:28" ht="11.25" customHeight="1">
      <c r="A667" s="233">
        <v>41162</v>
      </c>
      <c r="B667" s="1" t="s">
        <v>3340</v>
      </c>
      <c r="C667" s="1" t="s">
        <v>2080</v>
      </c>
      <c r="D667" s="1" t="s">
        <v>2031</v>
      </c>
      <c r="E667" s="1" t="s">
        <v>3343</v>
      </c>
      <c r="F667" s="5">
        <v>2</v>
      </c>
      <c r="G667" s="1" t="s">
        <v>2490</v>
      </c>
      <c r="H667" s="234">
        <v>15</v>
      </c>
      <c r="I667" s="236">
        <f t="shared" si="41"/>
        <v>30</v>
      </c>
      <c r="K667" s="266">
        <f>8.8*F667</f>
        <v>17.600000000000001</v>
      </c>
      <c r="L667" s="237">
        <v>41162</v>
      </c>
      <c r="M667" s="1" t="s">
        <v>2390</v>
      </c>
      <c r="N667" s="235">
        <f t="shared" si="42"/>
        <v>30</v>
      </c>
      <c r="O667" s="235">
        <f t="shared" si="43"/>
        <v>0</v>
      </c>
      <c r="P667" s="238" t="s">
        <v>3341</v>
      </c>
      <c r="Q667" s="1" t="s">
        <v>2212</v>
      </c>
      <c r="R667" s="239" t="s">
        <v>2082</v>
      </c>
      <c r="S667" s="1">
        <v>13883116868</v>
      </c>
      <c r="T667" s="238" t="s">
        <v>3342</v>
      </c>
      <c r="U667" s="238" t="s">
        <v>2212</v>
      </c>
      <c r="V667" s="238" t="s">
        <v>2488</v>
      </c>
      <c r="AB667" s="1" t="s">
        <v>2079</v>
      </c>
    </row>
    <row r="668" spans="1:28" ht="11.25" customHeight="1">
      <c r="A668" s="233">
        <v>41163</v>
      </c>
      <c r="B668" s="1" t="s">
        <v>3344</v>
      </c>
      <c r="C668" s="1" t="s">
        <v>2080</v>
      </c>
      <c r="D668" s="1" t="s">
        <v>2013</v>
      </c>
      <c r="E668" s="1" t="s">
        <v>3137</v>
      </c>
      <c r="F668" s="5">
        <v>150</v>
      </c>
      <c r="G668" s="1" t="s">
        <v>236</v>
      </c>
      <c r="H668" s="234">
        <v>38.26</v>
      </c>
      <c r="I668" s="236">
        <f t="shared" ref="I668:I699" si="44">H668*F668</f>
        <v>5739</v>
      </c>
      <c r="K668" s="266">
        <f>33.111*F668</f>
        <v>4966.6499999999996</v>
      </c>
      <c r="L668" s="237">
        <v>41163</v>
      </c>
      <c r="M668" s="1" t="s">
        <v>2327</v>
      </c>
      <c r="N668" s="235">
        <f t="shared" si="42"/>
        <v>5739</v>
      </c>
      <c r="O668" s="235">
        <f t="shared" si="43"/>
        <v>0</v>
      </c>
      <c r="P668" s="238" t="s">
        <v>2082</v>
      </c>
      <c r="Q668" s="1" t="s">
        <v>3345</v>
      </c>
      <c r="R668" s="10" t="s">
        <v>3346</v>
      </c>
      <c r="S668" s="10">
        <v>13896055976</v>
      </c>
      <c r="T668" s="238" t="s">
        <v>3347</v>
      </c>
      <c r="U668" s="238" t="s">
        <v>3348</v>
      </c>
      <c r="V668" s="238" t="s">
        <v>2488</v>
      </c>
      <c r="AB668" s="1" t="s">
        <v>2527</v>
      </c>
    </row>
    <row r="669" spans="1:28" ht="11.25" customHeight="1">
      <c r="A669" s="233">
        <v>41163</v>
      </c>
      <c r="B669" s="1" t="s">
        <v>3344</v>
      </c>
      <c r="C669" s="1" t="s">
        <v>2080</v>
      </c>
      <c r="D669" s="1" t="s">
        <v>232</v>
      </c>
      <c r="E669" s="1" t="s">
        <v>2615</v>
      </c>
      <c r="F669" s="5">
        <v>500</v>
      </c>
      <c r="G669" s="1" t="s">
        <v>231</v>
      </c>
      <c r="H669" s="234">
        <v>1.9</v>
      </c>
      <c r="I669" s="236">
        <f t="shared" si="44"/>
        <v>950</v>
      </c>
      <c r="J669" s="359">
        <v>1.7</v>
      </c>
      <c r="K669" s="266">
        <f>1.7*F669</f>
        <v>850</v>
      </c>
      <c r="L669" s="237">
        <v>41163</v>
      </c>
      <c r="M669" s="1" t="s">
        <v>2327</v>
      </c>
      <c r="N669" s="235">
        <f t="shared" si="42"/>
        <v>950</v>
      </c>
      <c r="O669" s="235">
        <f t="shared" si="43"/>
        <v>0</v>
      </c>
      <c r="P669" s="238" t="s">
        <v>2082</v>
      </c>
      <c r="Q669" s="1" t="s">
        <v>3345</v>
      </c>
      <c r="R669" s="10" t="s">
        <v>3346</v>
      </c>
      <c r="S669" s="10">
        <v>13896055976</v>
      </c>
      <c r="T669" s="238" t="s">
        <v>3347</v>
      </c>
      <c r="U669" s="238" t="s">
        <v>3348</v>
      </c>
      <c r="V669" s="238" t="s">
        <v>2488</v>
      </c>
      <c r="AB669" s="1" t="s">
        <v>2527</v>
      </c>
    </row>
    <row r="670" spans="1:28" ht="11.25" customHeight="1">
      <c r="A670" s="233">
        <v>41163</v>
      </c>
      <c r="B670" s="1" t="s">
        <v>874</v>
      </c>
      <c r="C670" s="1" t="s">
        <v>859</v>
      </c>
      <c r="D670" s="1" t="s">
        <v>1900</v>
      </c>
      <c r="E670" s="1" t="s">
        <v>3349</v>
      </c>
      <c r="F670" s="5">
        <v>1</v>
      </c>
      <c r="G670" s="1" t="s">
        <v>2398</v>
      </c>
      <c r="H670" s="234">
        <v>310</v>
      </c>
      <c r="I670" s="236">
        <f t="shared" si="44"/>
        <v>310</v>
      </c>
      <c r="K670" s="266">
        <f>97*F670</f>
        <v>97</v>
      </c>
      <c r="L670" s="237">
        <v>41132</v>
      </c>
      <c r="M670" s="1" t="s">
        <v>2390</v>
      </c>
      <c r="N670" s="235">
        <f t="shared" si="42"/>
        <v>310</v>
      </c>
      <c r="O670" s="235">
        <f t="shared" si="43"/>
        <v>0</v>
      </c>
      <c r="P670" s="238" t="s">
        <v>3350</v>
      </c>
      <c r="Q670" s="1" t="s">
        <v>2212</v>
      </c>
      <c r="R670" s="239" t="s">
        <v>3351</v>
      </c>
      <c r="S670" s="238" t="s">
        <v>3352</v>
      </c>
      <c r="T670" s="1" t="s">
        <v>2212</v>
      </c>
      <c r="U670" s="238" t="s">
        <v>2082</v>
      </c>
      <c r="V670" s="238" t="s">
        <v>3353</v>
      </c>
      <c r="W670" s="236">
        <v>1160</v>
      </c>
      <c r="X670" s="233">
        <v>41164</v>
      </c>
      <c r="Y670" s="238" t="s">
        <v>3354</v>
      </c>
      <c r="AB670" s="1" t="s">
        <v>2079</v>
      </c>
    </row>
    <row r="671" spans="1:28" ht="11.25" customHeight="1">
      <c r="A671" s="233">
        <v>41163</v>
      </c>
      <c r="B671" s="1" t="s">
        <v>3355</v>
      </c>
      <c r="C671" s="1" t="s">
        <v>2080</v>
      </c>
      <c r="D671" s="1" t="s">
        <v>1711</v>
      </c>
      <c r="E671" s="1">
        <v>8210</v>
      </c>
      <c r="F671" s="5">
        <v>1600</v>
      </c>
      <c r="G671" s="1" t="s">
        <v>2086</v>
      </c>
      <c r="H671" s="234">
        <v>4.3899999999999997</v>
      </c>
      <c r="I671" s="236">
        <f t="shared" si="44"/>
        <v>7023.9999999999991</v>
      </c>
      <c r="K671" s="266">
        <f>3.63*F671</f>
        <v>5808</v>
      </c>
      <c r="L671" s="237">
        <v>41163</v>
      </c>
      <c r="M671" s="1" t="s">
        <v>2327</v>
      </c>
      <c r="N671" s="235">
        <f t="shared" si="42"/>
        <v>7023.9999999999991</v>
      </c>
      <c r="O671" s="235">
        <f t="shared" si="43"/>
        <v>0</v>
      </c>
      <c r="P671" s="238" t="s">
        <v>4886</v>
      </c>
      <c r="Q671" s="1" t="s">
        <v>2229</v>
      </c>
      <c r="R671" s="239" t="s">
        <v>3356</v>
      </c>
      <c r="S671" s="238" t="s">
        <v>3357</v>
      </c>
      <c r="T671" s="238" t="s">
        <v>3358</v>
      </c>
      <c r="U671" s="238" t="s">
        <v>3359</v>
      </c>
      <c r="V671" s="238" t="s">
        <v>3360</v>
      </c>
      <c r="W671" s="236">
        <v>7024</v>
      </c>
      <c r="X671" s="233">
        <v>41198</v>
      </c>
      <c r="Y671" s="238" t="s">
        <v>3361</v>
      </c>
      <c r="AB671" s="1" t="s">
        <v>2527</v>
      </c>
    </row>
    <row r="672" spans="1:28" ht="12" customHeight="1">
      <c r="A672" s="233">
        <v>41164</v>
      </c>
      <c r="B672" s="1" t="s">
        <v>3362</v>
      </c>
      <c r="C672" s="1" t="s">
        <v>2080</v>
      </c>
      <c r="D672" s="1" t="s">
        <v>1711</v>
      </c>
      <c r="E672" s="1">
        <v>8210</v>
      </c>
      <c r="F672" s="5">
        <v>4960</v>
      </c>
      <c r="G672" s="1" t="s">
        <v>2086</v>
      </c>
      <c r="H672" s="234">
        <v>3.8</v>
      </c>
      <c r="I672" s="236">
        <f t="shared" si="44"/>
        <v>18848</v>
      </c>
      <c r="K672" s="266">
        <f>3.63*F672</f>
        <v>18004.8</v>
      </c>
      <c r="L672" s="237">
        <v>41165</v>
      </c>
      <c r="M672" s="1" t="s">
        <v>2077</v>
      </c>
      <c r="N672" s="235">
        <f t="shared" si="42"/>
        <v>18848</v>
      </c>
      <c r="O672" s="235">
        <f t="shared" si="43"/>
        <v>0</v>
      </c>
      <c r="P672" s="238" t="s">
        <v>4886</v>
      </c>
      <c r="Q672" s="1" t="s">
        <v>2229</v>
      </c>
      <c r="R672" s="239" t="s">
        <v>3363</v>
      </c>
      <c r="S672" s="238" t="s">
        <v>3364</v>
      </c>
      <c r="T672" s="238" t="s">
        <v>3365</v>
      </c>
      <c r="U672" s="238" t="s">
        <v>3366</v>
      </c>
      <c r="V672" s="238" t="s">
        <v>3367</v>
      </c>
      <c r="W672" s="236" t="s">
        <v>3368</v>
      </c>
      <c r="X672" s="233">
        <v>41164</v>
      </c>
      <c r="Y672" s="238" t="s">
        <v>3369</v>
      </c>
      <c r="AB672" s="1" t="s">
        <v>2527</v>
      </c>
    </row>
    <row r="673" spans="1:28" ht="11.25" customHeight="1">
      <c r="A673" s="233">
        <v>41165</v>
      </c>
      <c r="B673" s="1" t="s">
        <v>2940</v>
      </c>
      <c r="C673" s="383" t="s">
        <v>2821</v>
      </c>
      <c r="D673" s="303" t="s">
        <v>5011</v>
      </c>
      <c r="E673" s="1" t="s">
        <v>3370</v>
      </c>
      <c r="F673" s="5">
        <v>25</v>
      </c>
      <c r="G673" s="1" t="s">
        <v>2823</v>
      </c>
      <c r="H673" s="234">
        <v>15</v>
      </c>
      <c r="I673" s="236">
        <f t="shared" si="44"/>
        <v>375</v>
      </c>
      <c r="K673" s="266">
        <f>9.8*F673</f>
        <v>245.00000000000003</v>
      </c>
      <c r="L673" s="237">
        <v>41165</v>
      </c>
      <c r="M673" s="1" t="s">
        <v>2390</v>
      </c>
      <c r="N673" s="235">
        <f t="shared" si="42"/>
        <v>375</v>
      </c>
      <c r="O673" s="235">
        <f t="shared" si="43"/>
        <v>0</v>
      </c>
      <c r="P673" s="238" t="s">
        <v>3371</v>
      </c>
      <c r="Q673" s="1" t="s">
        <v>2212</v>
      </c>
      <c r="S673" s="238" t="s">
        <v>2943</v>
      </c>
      <c r="T673" s="238" t="s">
        <v>3372</v>
      </c>
      <c r="U673" s="238" t="s">
        <v>2212</v>
      </c>
      <c r="AB673" s="1" t="s">
        <v>2079</v>
      </c>
    </row>
    <row r="674" spans="1:28" ht="11.25" customHeight="1">
      <c r="A674" s="233">
        <v>41166</v>
      </c>
      <c r="B674" s="5" t="s">
        <v>3373</v>
      </c>
      <c r="C674" s="1" t="s">
        <v>2080</v>
      </c>
      <c r="D674" s="1" t="s">
        <v>1213</v>
      </c>
      <c r="E674" s="1" t="s">
        <v>2509</v>
      </c>
      <c r="F674" s="5">
        <v>50</v>
      </c>
      <c r="G674" s="1" t="s">
        <v>2398</v>
      </c>
      <c r="H674" s="234">
        <v>21</v>
      </c>
      <c r="I674" s="236">
        <f t="shared" si="44"/>
        <v>1050</v>
      </c>
      <c r="K674" s="274">
        <f>13*F674</f>
        <v>650</v>
      </c>
      <c r="L674" s="237">
        <v>41166</v>
      </c>
      <c r="M674" s="1" t="s">
        <v>2077</v>
      </c>
      <c r="N674" s="235">
        <f t="shared" si="42"/>
        <v>1050</v>
      </c>
      <c r="O674" s="235">
        <f t="shared" si="43"/>
        <v>0</v>
      </c>
      <c r="P674" s="238" t="s">
        <v>3374</v>
      </c>
      <c r="Q674" s="1" t="s">
        <v>2511</v>
      </c>
      <c r="R674" s="239" t="s">
        <v>461</v>
      </c>
      <c r="S674" s="238" t="s">
        <v>2162</v>
      </c>
      <c r="T674" s="238" t="s">
        <v>2163</v>
      </c>
      <c r="U674" s="238" t="s">
        <v>3375</v>
      </c>
      <c r="V674" s="238" t="s">
        <v>2893</v>
      </c>
      <c r="W674" s="236">
        <v>2100</v>
      </c>
      <c r="X674" s="233">
        <v>41166</v>
      </c>
      <c r="Y674" s="238">
        <v>23159123281</v>
      </c>
      <c r="AB674" s="1" t="s">
        <v>2166</v>
      </c>
    </row>
    <row r="675" spans="1:28" ht="11.25" customHeight="1">
      <c r="A675" s="233">
        <v>41166</v>
      </c>
      <c r="B675" s="1" t="s">
        <v>3376</v>
      </c>
      <c r="C675" s="1" t="s">
        <v>2167</v>
      </c>
      <c r="D675" s="5" t="s">
        <v>2012</v>
      </c>
      <c r="E675" s="1" t="s">
        <v>3377</v>
      </c>
      <c r="F675" s="5">
        <v>500</v>
      </c>
      <c r="G675" s="1" t="s">
        <v>4970</v>
      </c>
      <c r="H675" s="234">
        <v>1.75</v>
      </c>
      <c r="I675" s="236">
        <f t="shared" si="44"/>
        <v>875</v>
      </c>
      <c r="J675" s="360">
        <v>1.46</v>
      </c>
      <c r="K675" s="266">
        <f>1.46*F675</f>
        <v>730</v>
      </c>
      <c r="L675" s="237">
        <v>41166</v>
      </c>
      <c r="M675" s="1" t="s">
        <v>2906</v>
      </c>
      <c r="N675" s="235">
        <f t="shared" si="42"/>
        <v>875</v>
      </c>
      <c r="O675" s="235">
        <f t="shared" si="43"/>
        <v>0</v>
      </c>
      <c r="P675" s="238" t="s">
        <v>1568</v>
      </c>
      <c r="Q675" s="1" t="s">
        <v>1863</v>
      </c>
      <c r="V675" s="238" t="s">
        <v>3378</v>
      </c>
      <c r="W675" s="236">
        <v>875</v>
      </c>
      <c r="X675" s="233">
        <v>41198</v>
      </c>
      <c r="Y675" s="238" t="s">
        <v>3379</v>
      </c>
      <c r="AB675" s="1" t="s">
        <v>3380</v>
      </c>
    </row>
    <row r="676" spans="1:28" ht="11.25" customHeight="1">
      <c r="A676" s="233">
        <v>41166</v>
      </c>
      <c r="B676" s="1" t="s">
        <v>3381</v>
      </c>
      <c r="C676" s="1" t="s">
        <v>2167</v>
      </c>
      <c r="D676" s="1" t="s">
        <v>9</v>
      </c>
      <c r="E676" s="1">
        <v>2096</v>
      </c>
      <c r="F676" s="5">
        <v>100</v>
      </c>
      <c r="G676" s="1" t="s">
        <v>2896</v>
      </c>
      <c r="H676" s="234">
        <v>13.64</v>
      </c>
      <c r="I676" s="236">
        <f t="shared" si="44"/>
        <v>1364</v>
      </c>
      <c r="K676" s="266">
        <f>12.65*66+13*34</f>
        <v>1276.9000000000001</v>
      </c>
      <c r="L676" s="237">
        <v>41166</v>
      </c>
      <c r="M676" s="1" t="s">
        <v>2906</v>
      </c>
      <c r="N676" s="235">
        <f t="shared" si="42"/>
        <v>1364</v>
      </c>
      <c r="O676" s="235">
        <f t="shared" si="43"/>
        <v>0</v>
      </c>
      <c r="P676" s="238" t="s">
        <v>3375</v>
      </c>
      <c r="Q676" s="1" t="s">
        <v>3382</v>
      </c>
      <c r="R676" s="239" t="s">
        <v>5378</v>
      </c>
      <c r="S676" s="238" t="s">
        <v>3383</v>
      </c>
      <c r="T676" s="238" t="s">
        <v>3384</v>
      </c>
      <c r="U676" s="238" t="s">
        <v>3385</v>
      </c>
      <c r="V676" s="238" t="s">
        <v>3386</v>
      </c>
      <c r="W676" s="236">
        <v>1714.46</v>
      </c>
      <c r="X676" s="233">
        <v>41166</v>
      </c>
      <c r="AB676" s="1" t="s">
        <v>2166</v>
      </c>
    </row>
    <row r="677" spans="1:28" ht="11.25" customHeight="1">
      <c r="A677" s="233">
        <v>41166</v>
      </c>
      <c r="B677" s="1" t="s">
        <v>3381</v>
      </c>
      <c r="C677" s="1" t="s">
        <v>2167</v>
      </c>
      <c r="D677" s="1" t="s">
        <v>1222</v>
      </c>
      <c r="E677" s="1">
        <v>6057</v>
      </c>
      <c r="F677" s="5">
        <v>6</v>
      </c>
      <c r="G677" s="1" t="s">
        <v>229</v>
      </c>
      <c r="H677" s="234">
        <v>58.41</v>
      </c>
      <c r="I677" s="236">
        <f t="shared" si="44"/>
        <v>350.46</v>
      </c>
      <c r="K677" s="266">
        <f>55.2948*F677</f>
        <v>331.7688</v>
      </c>
      <c r="L677" s="237">
        <v>41166</v>
      </c>
      <c r="M677" s="1" t="s">
        <v>2906</v>
      </c>
      <c r="N677" s="235">
        <f t="shared" si="42"/>
        <v>350.46</v>
      </c>
      <c r="O677" s="235">
        <f t="shared" si="43"/>
        <v>0</v>
      </c>
      <c r="P677" s="238" t="s">
        <v>3375</v>
      </c>
      <c r="Q677" s="1" t="s">
        <v>3382</v>
      </c>
      <c r="R677" s="239" t="s">
        <v>5378</v>
      </c>
      <c r="S677" s="238" t="s">
        <v>3383</v>
      </c>
      <c r="T677" s="238" t="s">
        <v>3384</v>
      </c>
      <c r="U677" s="238" t="s">
        <v>3385</v>
      </c>
      <c r="V677" s="238" t="s">
        <v>3386</v>
      </c>
      <c r="W677" s="236">
        <v>1714.46</v>
      </c>
      <c r="X677" s="233">
        <v>41166</v>
      </c>
      <c r="AB677" s="1" t="s">
        <v>2166</v>
      </c>
    </row>
    <row r="678" spans="1:28" ht="11.25" customHeight="1">
      <c r="A678" s="233">
        <v>41166</v>
      </c>
      <c r="B678" s="1" t="s">
        <v>2921</v>
      </c>
      <c r="C678" s="1" t="s">
        <v>2167</v>
      </c>
      <c r="D678" s="1" t="s">
        <v>1210</v>
      </c>
      <c r="E678" s="1">
        <v>3200</v>
      </c>
      <c r="F678" s="5">
        <v>30</v>
      </c>
      <c r="G678" s="1" t="s">
        <v>229</v>
      </c>
      <c r="H678" s="234">
        <v>28.5</v>
      </c>
      <c r="I678" s="236">
        <f t="shared" si="44"/>
        <v>855</v>
      </c>
      <c r="K678" s="266">
        <f>26*F678</f>
        <v>780</v>
      </c>
      <c r="L678" s="237">
        <v>41227</v>
      </c>
      <c r="M678" s="1" t="s">
        <v>2906</v>
      </c>
      <c r="N678" s="235">
        <f t="shared" si="42"/>
        <v>855</v>
      </c>
      <c r="O678" s="235">
        <f t="shared" si="43"/>
        <v>0</v>
      </c>
      <c r="P678" s="238" t="s">
        <v>4886</v>
      </c>
      <c r="Q678" s="1" t="s">
        <v>1265</v>
      </c>
      <c r="R678" s="239" t="s">
        <v>3387</v>
      </c>
      <c r="S678" s="238" t="s">
        <v>2924</v>
      </c>
      <c r="T678" s="238" t="s">
        <v>3388</v>
      </c>
      <c r="U678" s="238" t="s">
        <v>3389</v>
      </c>
      <c r="V678" s="238" t="s">
        <v>3390</v>
      </c>
      <c r="W678" s="236">
        <v>11214</v>
      </c>
      <c r="X678" s="233">
        <v>41200</v>
      </c>
      <c r="Y678" s="238" t="s">
        <v>3391</v>
      </c>
      <c r="AB678" s="1" t="s">
        <v>2166</v>
      </c>
    </row>
    <row r="679" spans="1:28" ht="11.25" customHeight="1">
      <c r="A679" s="233">
        <v>41166</v>
      </c>
      <c r="B679" s="1" t="s">
        <v>2921</v>
      </c>
      <c r="C679" s="1" t="s">
        <v>2167</v>
      </c>
      <c r="D679" s="5" t="s">
        <v>1221</v>
      </c>
      <c r="E679" s="1" t="s">
        <v>3392</v>
      </c>
      <c r="F679" s="5">
        <v>30</v>
      </c>
      <c r="G679" s="1" t="s">
        <v>2922</v>
      </c>
      <c r="H679" s="234">
        <v>37.65</v>
      </c>
      <c r="I679" s="236">
        <f t="shared" si="44"/>
        <v>1129.5</v>
      </c>
      <c r="K679" s="266">
        <f>36*F679</f>
        <v>1080</v>
      </c>
      <c r="L679" s="237">
        <v>41227</v>
      </c>
      <c r="M679" s="1" t="s">
        <v>2906</v>
      </c>
      <c r="N679" s="235">
        <f t="shared" si="42"/>
        <v>1129.5</v>
      </c>
      <c r="O679" s="235">
        <f t="shared" si="43"/>
        <v>0</v>
      </c>
      <c r="P679" s="238" t="s">
        <v>4886</v>
      </c>
      <c r="Q679" s="1" t="s">
        <v>3393</v>
      </c>
      <c r="R679" s="239" t="s">
        <v>3387</v>
      </c>
      <c r="S679" s="238" t="s">
        <v>2924</v>
      </c>
      <c r="T679" s="238" t="s">
        <v>3388</v>
      </c>
      <c r="U679" s="238" t="s">
        <v>3389</v>
      </c>
      <c r="V679" s="238" t="s">
        <v>3394</v>
      </c>
      <c r="W679" s="236">
        <v>8966.2000000000007</v>
      </c>
      <c r="X679" s="233">
        <v>41200</v>
      </c>
      <c r="Y679" s="238" t="s">
        <v>3391</v>
      </c>
      <c r="AB679" s="1" t="s">
        <v>2166</v>
      </c>
    </row>
    <row r="680" spans="1:28" ht="11.25" customHeight="1">
      <c r="A680" s="233">
        <v>41166</v>
      </c>
      <c r="B680" s="1" t="s">
        <v>2921</v>
      </c>
      <c r="C680" s="1" t="s">
        <v>2167</v>
      </c>
      <c r="D680" s="1" t="s">
        <v>268</v>
      </c>
      <c r="E680" s="1" t="s">
        <v>2895</v>
      </c>
      <c r="F680" s="5">
        <v>30</v>
      </c>
      <c r="G680" s="1" t="s">
        <v>2896</v>
      </c>
      <c r="H680" s="234">
        <v>1.48</v>
      </c>
      <c r="I680" s="236">
        <f t="shared" si="44"/>
        <v>44.4</v>
      </c>
      <c r="J680" s="352">
        <v>1.43</v>
      </c>
      <c r="K680" s="266">
        <f>1.43*F680</f>
        <v>42.9</v>
      </c>
      <c r="L680" s="237">
        <v>41227</v>
      </c>
      <c r="M680" s="1" t="s">
        <v>2906</v>
      </c>
      <c r="N680" s="235">
        <f t="shared" si="42"/>
        <v>44.4</v>
      </c>
      <c r="O680" s="235">
        <f t="shared" si="43"/>
        <v>0</v>
      </c>
      <c r="P680" s="238" t="s">
        <v>4886</v>
      </c>
      <c r="Q680" s="1" t="s">
        <v>3393</v>
      </c>
      <c r="R680" s="239" t="s">
        <v>3387</v>
      </c>
      <c r="S680" s="238" t="s">
        <v>2924</v>
      </c>
      <c r="T680" s="238" t="s">
        <v>3388</v>
      </c>
      <c r="U680" s="238" t="s">
        <v>3389</v>
      </c>
      <c r="V680" s="238" t="s">
        <v>3394</v>
      </c>
      <c r="W680" s="236">
        <v>8966.2000000000007</v>
      </c>
      <c r="X680" s="233">
        <v>41200</v>
      </c>
      <c r="Y680" s="238" t="s">
        <v>3391</v>
      </c>
      <c r="AB680" s="1" t="s">
        <v>2166</v>
      </c>
    </row>
    <row r="681" spans="1:28" ht="11.25" customHeight="1">
      <c r="A681" s="233">
        <v>41166</v>
      </c>
      <c r="B681" s="1" t="s">
        <v>2921</v>
      </c>
      <c r="C681" s="1" t="s">
        <v>2167</v>
      </c>
      <c r="D681" s="1" t="s">
        <v>263</v>
      </c>
      <c r="E681" s="1" t="s">
        <v>2118</v>
      </c>
      <c r="F681" s="5">
        <v>30</v>
      </c>
      <c r="G681" s="1" t="s">
        <v>2086</v>
      </c>
      <c r="H681" s="234">
        <v>2.0099999999999998</v>
      </c>
      <c r="I681" s="236">
        <f t="shared" si="44"/>
        <v>60.3</v>
      </c>
      <c r="J681" s="352">
        <v>1.92</v>
      </c>
      <c r="K681" s="266">
        <f>1.92*F681</f>
        <v>57.599999999999994</v>
      </c>
      <c r="L681" s="237">
        <v>41227</v>
      </c>
      <c r="M681" s="1" t="s">
        <v>2077</v>
      </c>
      <c r="N681" s="235">
        <f t="shared" si="42"/>
        <v>60.3</v>
      </c>
      <c r="O681" s="235">
        <f t="shared" si="43"/>
        <v>0</v>
      </c>
      <c r="P681" s="238" t="s">
        <v>4886</v>
      </c>
      <c r="Q681" s="1" t="s">
        <v>3395</v>
      </c>
      <c r="R681" s="239" t="s">
        <v>3396</v>
      </c>
      <c r="S681" s="238" t="s">
        <v>2619</v>
      </c>
      <c r="T681" s="238" t="s">
        <v>2700</v>
      </c>
      <c r="U681" s="238" t="s">
        <v>3397</v>
      </c>
      <c r="V681" s="238" t="s">
        <v>3398</v>
      </c>
      <c r="W681" s="236">
        <v>8966.2000000000007</v>
      </c>
      <c r="X681" s="233">
        <v>41200</v>
      </c>
      <c r="Y681" s="238" t="s">
        <v>3162</v>
      </c>
      <c r="AB681" s="1" t="s">
        <v>2527</v>
      </c>
    </row>
    <row r="682" spans="1:28" ht="11.25" customHeight="1">
      <c r="A682" s="233">
        <v>41169</v>
      </c>
      <c r="B682" s="1" t="s">
        <v>3399</v>
      </c>
      <c r="C682" s="1" t="s">
        <v>2080</v>
      </c>
      <c r="D682" s="1" t="s">
        <v>2011</v>
      </c>
      <c r="E682" s="1" t="s">
        <v>2085</v>
      </c>
      <c r="F682" s="5">
        <v>150</v>
      </c>
      <c r="G682" s="1" t="s">
        <v>2086</v>
      </c>
      <c r="H682" s="234">
        <v>1.3</v>
      </c>
      <c r="I682" s="236">
        <f t="shared" si="44"/>
        <v>195</v>
      </c>
      <c r="K682" s="266">
        <f>1.12*F682</f>
        <v>168.00000000000003</v>
      </c>
      <c r="L682" s="237">
        <v>41169</v>
      </c>
      <c r="M682" s="1" t="s">
        <v>2390</v>
      </c>
      <c r="N682" s="235">
        <f t="shared" si="42"/>
        <v>195</v>
      </c>
      <c r="O682" s="235">
        <f t="shared" si="43"/>
        <v>0</v>
      </c>
      <c r="P682" s="238" t="s">
        <v>3400</v>
      </c>
      <c r="Q682" s="1" t="s">
        <v>2212</v>
      </c>
      <c r="R682" s="239" t="s">
        <v>2082</v>
      </c>
      <c r="S682" s="238" t="s">
        <v>2082</v>
      </c>
      <c r="T682" s="238" t="s">
        <v>2082</v>
      </c>
      <c r="U682" s="238" t="s">
        <v>2212</v>
      </c>
      <c r="V682" s="238" t="s">
        <v>6847</v>
      </c>
      <c r="AB682" s="1" t="s">
        <v>2527</v>
      </c>
    </row>
    <row r="683" spans="1:28" ht="11.25" customHeight="1">
      <c r="A683" s="233">
        <v>41169</v>
      </c>
      <c r="B683" s="1" t="s">
        <v>2565</v>
      </c>
      <c r="C683" s="1" t="s">
        <v>2080</v>
      </c>
      <c r="D683" s="1" t="s">
        <v>1711</v>
      </c>
      <c r="E683" s="1">
        <v>8210</v>
      </c>
      <c r="F683" s="5">
        <v>160</v>
      </c>
      <c r="G683" s="1" t="s">
        <v>2086</v>
      </c>
      <c r="H683" s="234">
        <v>4.18</v>
      </c>
      <c r="I683" s="236">
        <f t="shared" si="44"/>
        <v>668.8</v>
      </c>
      <c r="K683" s="266">
        <f>3.63*F683</f>
        <v>580.79999999999995</v>
      </c>
      <c r="L683" s="237">
        <v>41215</v>
      </c>
      <c r="M683" s="1" t="s">
        <v>2327</v>
      </c>
      <c r="N683" s="235">
        <f t="shared" si="42"/>
        <v>668.8</v>
      </c>
      <c r="O683" s="235">
        <f t="shared" si="43"/>
        <v>0</v>
      </c>
      <c r="P683" s="238" t="s">
        <v>3401</v>
      </c>
      <c r="Q683" s="1" t="s">
        <v>3402</v>
      </c>
      <c r="R683" s="10" t="s">
        <v>2567</v>
      </c>
      <c r="S683" s="10">
        <v>13452102967</v>
      </c>
      <c r="T683" s="10" t="s">
        <v>773</v>
      </c>
      <c r="U683" s="238" t="s">
        <v>3403</v>
      </c>
      <c r="V683" s="28" t="s">
        <v>2488</v>
      </c>
      <c r="AB683" s="1" t="s">
        <v>2527</v>
      </c>
    </row>
    <row r="684" spans="1:28" ht="11.25" customHeight="1">
      <c r="A684" s="233">
        <v>41169</v>
      </c>
      <c r="B684" s="1" t="s">
        <v>2565</v>
      </c>
      <c r="C684" s="1" t="s">
        <v>2080</v>
      </c>
      <c r="D684" s="1" t="s">
        <v>825</v>
      </c>
      <c r="E684" s="1" t="s">
        <v>2790</v>
      </c>
      <c r="F684" s="5">
        <v>300</v>
      </c>
      <c r="G684" s="1" t="s">
        <v>2490</v>
      </c>
      <c r="H684" s="234">
        <v>5.6</v>
      </c>
      <c r="I684" s="236">
        <f t="shared" si="44"/>
        <v>1680</v>
      </c>
      <c r="K684" s="266">
        <f>5*F684</f>
        <v>1500</v>
      </c>
      <c r="L684" s="237">
        <v>41215</v>
      </c>
      <c r="M684" s="1" t="s">
        <v>2327</v>
      </c>
      <c r="N684" s="235">
        <f t="shared" si="42"/>
        <v>1680</v>
      </c>
      <c r="O684" s="235">
        <f t="shared" si="43"/>
        <v>0</v>
      </c>
      <c r="P684" s="238" t="s">
        <v>3401</v>
      </c>
      <c r="Q684" s="1" t="s">
        <v>3402</v>
      </c>
      <c r="R684" s="10" t="s">
        <v>2567</v>
      </c>
      <c r="S684" s="10">
        <v>13452102967</v>
      </c>
      <c r="T684" s="10" t="s">
        <v>3404</v>
      </c>
      <c r="U684" s="238" t="s">
        <v>3403</v>
      </c>
      <c r="V684" s="28" t="s">
        <v>2488</v>
      </c>
      <c r="AB684" s="1" t="s">
        <v>2527</v>
      </c>
    </row>
    <row r="685" spans="1:28" ht="11.25" customHeight="1">
      <c r="A685" s="233">
        <v>41169</v>
      </c>
      <c r="B685" s="1" t="s">
        <v>3405</v>
      </c>
      <c r="C685" s="1" t="s">
        <v>2080</v>
      </c>
      <c r="D685" s="95" t="s">
        <v>1039</v>
      </c>
      <c r="E685" s="1">
        <v>52000183617</v>
      </c>
      <c r="F685" s="5">
        <v>2</v>
      </c>
      <c r="G685" s="1" t="s">
        <v>2086</v>
      </c>
      <c r="H685" s="234">
        <v>1050</v>
      </c>
      <c r="I685" s="236">
        <f t="shared" si="44"/>
        <v>2100</v>
      </c>
      <c r="K685" s="266">
        <f>938*F685</f>
        <v>1876</v>
      </c>
      <c r="L685" s="237">
        <v>41169</v>
      </c>
      <c r="M685" s="1" t="s">
        <v>2077</v>
      </c>
      <c r="N685" s="235">
        <f t="shared" si="42"/>
        <v>2100</v>
      </c>
      <c r="O685" s="235">
        <f t="shared" si="43"/>
        <v>0</v>
      </c>
      <c r="P685" s="238" t="s">
        <v>3406</v>
      </c>
      <c r="Q685" s="1" t="s">
        <v>2229</v>
      </c>
      <c r="R685" s="10" t="s">
        <v>3407</v>
      </c>
      <c r="S685" s="10">
        <v>15808899650</v>
      </c>
      <c r="T685" s="10" t="s">
        <v>3408</v>
      </c>
      <c r="U685" s="238" t="s">
        <v>3409</v>
      </c>
      <c r="V685" s="238" t="s">
        <v>3410</v>
      </c>
      <c r="W685" s="236">
        <v>2100</v>
      </c>
      <c r="X685" s="233">
        <v>41205</v>
      </c>
      <c r="Y685" s="238" t="s">
        <v>3411</v>
      </c>
      <c r="AB685" s="1" t="s">
        <v>2527</v>
      </c>
    </row>
    <row r="686" spans="1:28" ht="11.25" customHeight="1">
      <c r="A686" s="233">
        <v>41170</v>
      </c>
      <c r="B686" s="1" t="s">
        <v>3412</v>
      </c>
      <c r="C686" s="1" t="s">
        <v>2080</v>
      </c>
      <c r="D686" s="1" t="s">
        <v>1711</v>
      </c>
      <c r="E686" s="1">
        <v>8210</v>
      </c>
      <c r="F686" s="5">
        <v>100</v>
      </c>
      <c r="G686" s="1" t="s">
        <v>2086</v>
      </c>
      <c r="H686" s="234">
        <v>6.9</v>
      </c>
      <c r="I686" s="236">
        <f t="shared" si="44"/>
        <v>690</v>
      </c>
      <c r="K686" s="266">
        <f>3.78*41+3.63*59</f>
        <v>369.15</v>
      </c>
      <c r="L686" s="237">
        <v>41172</v>
      </c>
      <c r="M686" s="1" t="s">
        <v>2327</v>
      </c>
      <c r="N686" s="235">
        <f t="shared" si="42"/>
        <v>690</v>
      </c>
      <c r="O686" s="235">
        <f t="shared" si="43"/>
        <v>0</v>
      </c>
      <c r="P686" s="238" t="s">
        <v>3413</v>
      </c>
      <c r="Q686" s="1" t="s">
        <v>3414</v>
      </c>
      <c r="R686" s="239" t="s">
        <v>2082</v>
      </c>
      <c r="S686" s="238" t="s">
        <v>3415</v>
      </c>
      <c r="T686" s="238" t="s">
        <v>3416</v>
      </c>
      <c r="U686" s="238" t="s">
        <v>3417</v>
      </c>
      <c r="V686" s="246" t="s">
        <v>3418</v>
      </c>
      <c r="W686" s="236">
        <v>2365</v>
      </c>
      <c r="X686" s="233">
        <v>41234</v>
      </c>
      <c r="Y686" s="238" t="s">
        <v>3419</v>
      </c>
      <c r="AB686" s="1" t="s">
        <v>2079</v>
      </c>
    </row>
    <row r="687" spans="1:28" ht="11.25" customHeight="1">
      <c r="A687" s="233">
        <v>41170</v>
      </c>
      <c r="B687" s="1" t="s">
        <v>3412</v>
      </c>
      <c r="C687" s="1" t="s">
        <v>2080</v>
      </c>
      <c r="D687" s="1" t="s">
        <v>2024</v>
      </c>
      <c r="E687" s="1">
        <v>8514</v>
      </c>
      <c r="F687" s="5">
        <v>5</v>
      </c>
      <c r="G687" s="1" t="s">
        <v>2490</v>
      </c>
      <c r="H687" s="234">
        <v>84</v>
      </c>
      <c r="I687" s="236">
        <f t="shared" si="44"/>
        <v>420</v>
      </c>
      <c r="K687" s="266">
        <f>61.6*F687</f>
        <v>308</v>
      </c>
      <c r="L687" s="237">
        <v>41172</v>
      </c>
      <c r="M687" s="1" t="s">
        <v>2327</v>
      </c>
      <c r="N687" s="235">
        <f t="shared" si="42"/>
        <v>420</v>
      </c>
      <c r="O687" s="235">
        <f t="shared" si="43"/>
        <v>0</v>
      </c>
      <c r="P687" s="238" t="s">
        <v>3413</v>
      </c>
      <c r="Q687" s="1" t="s">
        <v>3414</v>
      </c>
      <c r="R687" s="239" t="s">
        <v>2082</v>
      </c>
      <c r="S687" s="238" t="s">
        <v>3415</v>
      </c>
      <c r="T687" s="238" t="s">
        <v>3416</v>
      </c>
      <c r="U687" s="238" t="s">
        <v>3417</v>
      </c>
      <c r="V687" s="246" t="s">
        <v>3418</v>
      </c>
      <c r="W687" s="236">
        <v>2365</v>
      </c>
      <c r="X687" s="233">
        <v>41234</v>
      </c>
      <c r="Y687" s="238" t="s">
        <v>3419</v>
      </c>
      <c r="Z687" s="255" t="s">
        <v>2549</v>
      </c>
      <c r="AB687" s="1" t="s">
        <v>2079</v>
      </c>
    </row>
    <row r="688" spans="1:28" ht="11.25" customHeight="1">
      <c r="A688" s="233">
        <v>41170</v>
      </c>
      <c r="B688" s="1" t="s">
        <v>3412</v>
      </c>
      <c r="C688" s="1" t="s">
        <v>2080</v>
      </c>
      <c r="D688" s="1" t="s">
        <v>692</v>
      </c>
      <c r="E688" s="1" t="s">
        <v>2544</v>
      </c>
      <c r="F688" s="5">
        <v>200</v>
      </c>
      <c r="G688" s="1" t="s">
        <v>2398</v>
      </c>
      <c r="H688" s="234">
        <v>2.48</v>
      </c>
      <c r="I688" s="236">
        <f t="shared" si="44"/>
        <v>496</v>
      </c>
      <c r="K688" s="266">
        <f>1.5376*F688</f>
        <v>307.52000000000004</v>
      </c>
      <c r="L688" s="237">
        <v>41172</v>
      </c>
      <c r="M688" s="1" t="s">
        <v>2327</v>
      </c>
      <c r="N688" s="235">
        <f t="shared" si="42"/>
        <v>496</v>
      </c>
      <c r="O688" s="235">
        <f t="shared" si="43"/>
        <v>0</v>
      </c>
      <c r="P688" s="238" t="s">
        <v>3413</v>
      </c>
      <c r="Q688" s="1" t="s">
        <v>3414</v>
      </c>
      <c r="R688" s="239" t="s">
        <v>2082</v>
      </c>
      <c r="S688" s="238" t="s">
        <v>3415</v>
      </c>
      <c r="T688" s="238" t="s">
        <v>3416</v>
      </c>
      <c r="U688" s="238" t="s">
        <v>3417</v>
      </c>
      <c r="V688" s="246" t="s">
        <v>3418</v>
      </c>
      <c r="W688" s="236">
        <v>2365</v>
      </c>
      <c r="X688" s="233">
        <v>41234</v>
      </c>
      <c r="Y688" s="238" t="s">
        <v>3419</v>
      </c>
      <c r="Z688" s="255" t="s">
        <v>2549</v>
      </c>
      <c r="AB688" s="1" t="s">
        <v>2079</v>
      </c>
    </row>
    <row r="689" spans="1:28" ht="11.25" customHeight="1">
      <c r="A689" s="233">
        <v>41170</v>
      </c>
      <c r="B689" s="1" t="s">
        <v>3412</v>
      </c>
      <c r="C689" s="1" t="s">
        <v>2080</v>
      </c>
      <c r="D689" s="1" t="s">
        <v>2032</v>
      </c>
      <c r="E689" s="1" t="s">
        <v>3420</v>
      </c>
      <c r="F689" s="5">
        <v>1</v>
      </c>
      <c r="G689" s="1" t="s">
        <v>2529</v>
      </c>
      <c r="H689" s="234">
        <v>27</v>
      </c>
      <c r="I689" s="236">
        <f t="shared" si="44"/>
        <v>27</v>
      </c>
      <c r="K689" s="266">
        <f>17.55*F689</f>
        <v>17.55</v>
      </c>
      <c r="L689" s="237">
        <v>41172</v>
      </c>
      <c r="M689" s="1" t="s">
        <v>2327</v>
      </c>
      <c r="N689" s="235">
        <f t="shared" si="42"/>
        <v>27</v>
      </c>
      <c r="O689" s="235">
        <f t="shared" si="43"/>
        <v>0</v>
      </c>
      <c r="P689" s="238" t="s">
        <v>3413</v>
      </c>
      <c r="Q689" s="1" t="s">
        <v>3414</v>
      </c>
      <c r="R689" s="239" t="s">
        <v>2082</v>
      </c>
      <c r="S689" s="238" t="s">
        <v>3415</v>
      </c>
      <c r="T689" s="238" t="s">
        <v>3416</v>
      </c>
      <c r="U689" s="238" t="s">
        <v>3417</v>
      </c>
      <c r="V689" s="246" t="s">
        <v>3418</v>
      </c>
      <c r="W689" s="236">
        <v>2365</v>
      </c>
      <c r="X689" s="233">
        <v>41234</v>
      </c>
      <c r="Y689" s="238" t="s">
        <v>3419</v>
      </c>
      <c r="Z689" s="255" t="s">
        <v>2549</v>
      </c>
      <c r="AB689" s="1" t="s">
        <v>2079</v>
      </c>
    </row>
    <row r="690" spans="1:28" ht="11.25" customHeight="1">
      <c r="A690" s="233">
        <v>41170</v>
      </c>
      <c r="B690" s="1" t="s">
        <v>3412</v>
      </c>
      <c r="C690" s="1" t="s">
        <v>2080</v>
      </c>
      <c r="D690" s="1" t="s">
        <v>2033</v>
      </c>
      <c r="E690" s="1" t="s">
        <v>3421</v>
      </c>
      <c r="F690" s="5">
        <v>1</v>
      </c>
      <c r="G690" s="1" t="s">
        <v>2529</v>
      </c>
      <c r="H690" s="234">
        <v>27</v>
      </c>
      <c r="I690" s="236">
        <f t="shared" si="44"/>
        <v>27</v>
      </c>
      <c r="K690" s="266">
        <f>17.55*F690</f>
        <v>17.55</v>
      </c>
      <c r="L690" s="237">
        <v>41172</v>
      </c>
      <c r="M690" s="1" t="s">
        <v>2327</v>
      </c>
      <c r="N690" s="235">
        <f t="shared" si="42"/>
        <v>27</v>
      </c>
      <c r="O690" s="235">
        <f t="shared" si="43"/>
        <v>0</v>
      </c>
      <c r="P690" s="238" t="s">
        <v>3413</v>
      </c>
      <c r="Q690" s="1" t="s">
        <v>3414</v>
      </c>
      <c r="R690" s="239" t="s">
        <v>2082</v>
      </c>
      <c r="S690" s="238" t="s">
        <v>3415</v>
      </c>
      <c r="T690" s="238" t="s">
        <v>3416</v>
      </c>
      <c r="U690" s="238" t="s">
        <v>3417</v>
      </c>
      <c r="V690" s="246" t="s">
        <v>3418</v>
      </c>
      <c r="W690" s="236">
        <v>2365</v>
      </c>
      <c r="X690" s="233">
        <v>41234</v>
      </c>
      <c r="Y690" s="238" t="s">
        <v>3419</v>
      </c>
      <c r="Z690" s="255" t="s">
        <v>2549</v>
      </c>
      <c r="AB690" s="1" t="s">
        <v>2079</v>
      </c>
    </row>
    <row r="691" spans="1:28" ht="11.25" customHeight="1">
      <c r="A691" s="233">
        <v>41170</v>
      </c>
      <c r="B691" s="1" t="s">
        <v>2692</v>
      </c>
      <c r="C691" s="1" t="s">
        <v>2080</v>
      </c>
      <c r="D691" s="1" t="s">
        <v>1210</v>
      </c>
      <c r="E691" s="1">
        <v>3200</v>
      </c>
      <c r="F691" s="5">
        <v>1000</v>
      </c>
      <c r="G691" s="1" t="s">
        <v>2086</v>
      </c>
      <c r="H691" s="234">
        <v>26.1</v>
      </c>
      <c r="I691" s="236">
        <f t="shared" si="44"/>
        <v>26100</v>
      </c>
      <c r="K691" s="266">
        <f>23.94*F691</f>
        <v>23940</v>
      </c>
      <c r="L691" s="237">
        <v>41170</v>
      </c>
      <c r="M691" s="1" t="s">
        <v>2077</v>
      </c>
      <c r="N691" s="235">
        <f t="shared" si="42"/>
        <v>26100</v>
      </c>
      <c r="O691" s="235">
        <f t="shared" si="43"/>
        <v>0</v>
      </c>
      <c r="P691" s="238" t="s">
        <v>3422</v>
      </c>
      <c r="Q691" s="1" t="s">
        <v>3423</v>
      </c>
      <c r="R691" s="239" t="s">
        <v>3424</v>
      </c>
      <c r="S691" s="238" t="s">
        <v>2689</v>
      </c>
      <c r="T691" s="238" t="s">
        <v>3425</v>
      </c>
      <c r="U691" s="238" t="s">
        <v>3426</v>
      </c>
      <c r="V691" s="238" t="s">
        <v>3427</v>
      </c>
      <c r="W691" s="236">
        <v>11692.8</v>
      </c>
      <c r="X691" s="233">
        <v>41172</v>
      </c>
      <c r="Y691" s="238" t="s">
        <v>3428</v>
      </c>
      <c r="AB691" s="1" t="s">
        <v>2527</v>
      </c>
    </row>
    <row r="692" spans="1:28" ht="11.25" customHeight="1">
      <c r="A692" s="233">
        <v>41170</v>
      </c>
      <c r="B692" s="1" t="s">
        <v>2692</v>
      </c>
      <c r="C692" s="1" t="s">
        <v>2080</v>
      </c>
      <c r="D692" s="1" t="s">
        <v>346</v>
      </c>
      <c r="E692" s="1">
        <v>3700</v>
      </c>
      <c r="F692" s="5">
        <v>1000</v>
      </c>
      <c r="G692" s="1" t="s">
        <v>2086</v>
      </c>
      <c r="H692" s="234">
        <v>3.36</v>
      </c>
      <c r="I692" s="236">
        <f t="shared" si="44"/>
        <v>3360</v>
      </c>
      <c r="J692" s="352">
        <v>3.09</v>
      </c>
      <c r="K692" s="266">
        <f>3.09*F692</f>
        <v>3090</v>
      </c>
      <c r="L692" s="237">
        <v>41170</v>
      </c>
      <c r="M692" s="1" t="s">
        <v>2077</v>
      </c>
      <c r="N692" s="235">
        <f t="shared" si="42"/>
        <v>3360</v>
      </c>
      <c r="O692" s="235">
        <f t="shared" si="43"/>
        <v>0</v>
      </c>
      <c r="P692" s="238" t="s">
        <v>3422</v>
      </c>
      <c r="Q692" s="1" t="s">
        <v>3423</v>
      </c>
      <c r="R692" s="239" t="s">
        <v>2688</v>
      </c>
      <c r="S692" s="238" t="s">
        <v>2689</v>
      </c>
      <c r="T692" s="238" t="s">
        <v>3425</v>
      </c>
      <c r="U692" s="238" t="s">
        <v>3426</v>
      </c>
      <c r="V692" s="238" t="s">
        <v>3429</v>
      </c>
      <c r="W692" s="236">
        <v>8672.4</v>
      </c>
      <c r="X692" s="233">
        <v>41172</v>
      </c>
      <c r="Y692" s="238" t="s">
        <v>3428</v>
      </c>
      <c r="AB692" s="1" t="s">
        <v>2527</v>
      </c>
    </row>
    <row r="693" spans="1:28" ht="11.25" customHeight="1">
      <c r="A693" s="233">
        <v>41170</v>
      </c>
      <c r="B693" s="1" t="s">
        <v>2692</v>
      </c>
      <c r="C693" s="1" t="s">
        <v>2080</v>
      </c>
      <c r="D693" s="1" t="s">
        <v>232</v>
      </c>
      <c r="E693" s="1" t="s">
        <v>2615</v>
      </c>
      <c r="F693" s="5">
        <v>1000</v>
      </c>
      <c r="G693" s="1" t="s">
        <v>2490</v>
      </c>
      <c r="H693" s="234">
        <v>1.71</v>
      </c>
      <c r="I693" s="236">
        <f t="shared" si="44"/>
        <v>1710</v>
      </c>
      <c r="J693" s="359">
        <v>1.54</v>
      </c>
      <c r="K693" s="266">
        <f>1.54*F693</f>
        <v>1540</v>
      </c>
      <c r="L693" s="237">
        <v>41170</v>
      </c>
      <c r="M693" s="1" t="s">
        <v>2077</v>
      </c>
      <c r="N693" s="235">
        <f t="shared" si="42"/>
        <v>1710</v>
      </c>
      <c r="O693" s="235">
        <f t="shared" si="43"/>
        <v>0</v>
      </c>
      <c r="P693" s="238" t="s">
        <v>3422</v>
      </c>
      <c r="Q693" s="1" t="s">
        <v>3423</v>
      </c>
      <c r="R693" s="239" t="s">
        <v>2688</v>
      </c>
      <c r="S693" s="238" t="s">
        <v>2689</v>
      </c>
      <c r="T693" s="238" t="s">
        <v>3425</v>
      </c>
      <c r="U693" s="238" t="s">
        <v>3426</v>
      </c>
      <c r="V693" s="238" t="s">
        <v>3429</v>
      </c>
      <c r="W693" s="236">
        <v>8672.4</v>
      </c>
      <c r="X693" s="233">
        <v>41172</v>
      </c>
      <c r="Y693" s="238" t="s">
        <v>3428</v>
      </c>
      <c r="AB693" s="1" t="s">
        <v>2527</v>
      </c>
    </row>
    <row r="694" spans="1:28" ht="11.25" customHeight="1">
      <c r="A694" s="233">
        <v>41170</v>
      </c>
      <c r="B694" s="1" t="s">
        <v>3430</v>
      </c>
      <c r="C694" s="1" t="s">
        <v>2080</v>
      </c>
      <c r="D694" s="1" t="s">
        <v>1213</v>
      </c>
      <c r="E694" s="1" t="s">
        <v>2509</v>
      </c>
      <c r="F694" s="5">
        <v>10</v>
      </c>
      <c r="G694" s="1" t="s">
        <v>2398</v>
      </c>
      <c r="H694" s="234">
        <v>20</v>
      </c>
      <c r="I694" s="236">
        <f t="shared" si="44"/>
        <v>200</v>
      </c>
      <c r="K694" s="274">
        <f>13*F694</f>
        <v>130</v>
      </c>
      <c r="L694" s="237">
        <v>41170</v>
      </c>
      <c r="M694" s="1" t="s">
        <v>2327</v>
      </c>
      <c r="N694" s="235">
        <f t="shared" si="42"/>
        <v>200</v>
      </c>
      <c r="O694" s="235">
        <f t="shared" si="43"/>
        <v>0</v>
      </c>
      <c r="P694" s="238" t="s">
        <v>3431</v>
      </c>
      <c r="Q694" s="1" t="s">
        <v>2562</v>
      </c>
      <c r="R694" s="239" t="s">
        <v>3432</v>
      </c>
      <c r="S694" s="238" t="s">
        <v>3433</v>
      </c>
      <c r="T694" s="238" t="s">
        <v>3434</v>
      </c>
      <c r="U694" s="238" t="s">
        <v>3435</v>
      </c>
      <c r="V694" s="238" t="s">
        <v>2488</v>
      </c>
      <c r="AB694" s="1" t="s">
        <v>2527</v>
      </c>
    </row>
    <row r="695" spans="1:28" ht="11.25" customHeight="1">
      <c r="A695" s="233">
        <v>41170</v>
      </c>
      <c r="B695" s="1" t="s">
        <v>2565</v>
      </c>
      <c r="C695" s="1" t="s">
        <v>2080</v>
      </c>
      <c r="D695" s="5" t="s">
        <v>2012</v>
      </c>
      <c r="E695" s="5" t="s">
        <v>3436</v>
      </c>
      <c r="F695" s="5">
        <v>500</v>
      </c>
      <c r="G695" s="1" t="s">
        <v>4970</v>
      </c>
      <c r="H695" s="234">
        <v>1.59</v>
      </c>
      <c r="I695" s="236">
        <f t="shared" si="44"/>
        <v>795</v>
      </c>
      <c r="J695" s="360">
        <v>1.46</v>
      </c>
      <c r="K695" s="266">
        <f>1.46*F695</f>
        <v>730</v>
      </c>
      <c r="L695" s="237">
        <v>41215</v>
      </c>
      <c r="M695" s="1" t="s">
        <v>2327</v>
      </c>
      <c r="N695" s="235">
        <f t="shared" si="42"/>
        <v>795</v>
      </c>
      <c r="O695" s="235">
        <f t="shared" si="43"/>
        <v>0</v>
      </c>
      <c r="P695" s="238" t="s">
        <v>3437</v>
      </c>
      <c r="Q695" s="1" t="s">
        <v>3438</v>
      </c>
      <c r="R695" s="239" t="s">
        <v>2567</v>
      </c>
      <c r="S695" s="238" t="s">
        <v>2568</v>
      </c>
      <c r="T695" s="238" t="s">
        <v>3404</v>
      </c>
      <c r="U695" s="238" t="s">
        <v>3439</v>
      </c>
      <c r="V695" s="238" t="s">
        <v>2488</v>
      </c>
      <c r="AB695" s="1" t="s">
        <v>2527</v>
      </c>
    </row>
    <row r="696" spans="1:28" ht="11.25" customHeight="1">
      <c r="A696" s="233">
        <v>41170</v>
      </c>
      <c r="B696" s="1" t="s">
        <v>2565</v>
      </c>
      <c r="C696" s="1" t="s">
        <v>2080</v>
      </c>
      <c r="D696" s="1" t="s">
        <v>1219</v>
      </c>
      <c r="E696" s="5" t="s">
        <v>3440</v>
      </c>
      <c r="F696" s="5">
        <v>50</v>
      </c>
      <c r="G696" s="1" t="s">
        <v>2086</v>
      </c>
      <c r="H696" s="234">
        <v>4.0999999999999996</v>
      </c>
      <c r="I696" s="236">
        <f t="shared" si="44"/>
        <v>204.99999999999997</v>
      </c>
      <c r="K696" s="275">
        <f>31*3.86+3.56*19</f>
        <v>187.3</v>
      </c>
      <c r="L696" s="237">
        <v>41215</v>
      </c>
      <c r="M696" s="1" t="s">
        <v>2327</v>
      </c>
      <c r="N696" s="235">
        <f t="shared" si="42"/>
        <v>204.99999999999997</v>
      </c>
      <c r="O696" s="235">
        <f t="shared" si="43"/>
        <v>0</v>
      </c>
      <c r="P696" s="238" t="s">
        <v>3437</v>
      </c>
      <c r="Q696" s="1" t="s">
        <v>3438</v>
      </c>
      <c r="R696" s="239" t="s">
        <v>2567</v>
      </c>
      <c r="S696" s="238" t="s">
        <v>2568</v>
      </c>
      <c r="T696" s="238" t="s">
        <v>3404</v>
      </c>
      <c r="U696" s="238" t="s">
        <v>3439</v>
      </c>
      <c r="V696" s="238" t="s">
        <v>2488</v>
      </c>
      <c r="Z696" s="255" t="s">
        <v>3441</v>
      </c>
      <c r="AB696" s="1" t="s">
        <v>2527</v>
      </c>
    </row>
    <row r="697" spans="1:28" ht="11.25" customHeight="1">
      <c r="A697" s="233">
        <v>41170</v>
      </c>
      <c r="B697" s="1" t="s">
        <v>2565</v>
      </c>
      <c r="C697" s="1" t="s">
        <v>2080</v>
      </c>
      <c r="D697" s="1" t="s">
        <v>2030</v>
      </c>
      <c r="E697" s="5" t="s">
        <v>3442</v>
      </c>
      <c r="F697" s="5">
        <v>20</v>
      </c>
      <c r="G697" s="1" t="s">
        <v>3129</v>
      </c>
      <c r="H697" s="234">
        <v>46</v>
      </c>
      <c r="I697" s="236">
        <f t="shared" si="44"/>
        <v>920</v>
      </c>
      <c r="K697" s="266">
        <f>42.939*F697</f>
        <v>858.78</v>
      </c>
      <c r="L697" s="237">
        <v>41215</v>
      </c>
      <c r="M697" s="1" t="s">
        <v>2327</v>
      </c>
      <c r="N697" s="235">
        <f t="shared" si="42"/>
        <v>920</v>
      </c>
      <c r="O697" s="235">
        <f t="shared" si="43"/>
        <v>0</v>
      </c>
      <c r="P697" s="238" t="s">
        <v>3437</v>
      </c>
      <c r="Q697" s="1" t="s">
        <v>3438</v>
      </c>
      <c r="R697" s="239" t="s">
        <v>2567</v>
      </c>
      <c r="S697" s="238" t="s">
        <v>2568</v>
      </c>
      <c r="T697" s="238" t="s">
        <v>3404</v>
      </c>
      <c r="U697" s="238" t="s">
        <v>3439</v>
      </c>
      <c r="V697" s="238" t="s">
        <v>2488</v>
      </c>
      <c r="AB697" s="1" t="s">
        <v>2527</v>
      </c>
    </row>
    <row r="698" spans="1:28" ht="11.25" customHeight="1">
      <c r="A698" s="233">
        <v>41172</v>
      </c>
      <c r="B698" s="5" t="s">
        <v>3443</v>
      </c>
      <c r="C698" s="5" t="s">
        <v>2080</v>
      </c>
      <c r="D698" s="1" t="s">
        <v>240</v>
      </c>
      <c r="E698" s="5">
        <v>6200</v>
      </c>
      <c r="F698" s="5">
        <v>30</v>
      </c>
      <c r="G698" s="1" t="s">
        <v>2086</v>
      </c>
      <c r="H698" s="234">
        <v>46</v>
      </c>
      <c r="I698" s="236">
        <f t="shared" si="44"/>
        <v>1380</v>
      </c>
      <c r="J698" s="352">
        <v>42.82</v>
      </c>
      <c r="K698" s="266" t="e">
        <f>#REF!*F698</f>
        <v>#REF!</v>
      </c>
      <c r="L698" s="237">
        <v>41172</v>
      </c>
      <c r="M698" s="1" t="s">
        <v>2077</v>
      </c>
      <c r="N698" s="235">
        <f t="shared" si="42"/>
        <v>1380</v>
      </c>
      <c r="O698" s="235">
        <f t="shared" si="43"/>
        <v>0</v>
      </c>
      <c r="P698" s="238" t="s">
        <v>3444</v>
      </c>
      <c r="Q698" s="1" t="s">
        <v>3445</v>
      </c>
      <c r="R698" s="239" t="s">
        <v>3446</v>
      </c>
      <c r="S698" s="238" t="s">
        <v>3447</v>
      </c>
      <c r="T698" s="238" t="s">
        <v>3448</v>
      </c>
      <c r="U698" s="238" t="s">
        <v>3449</v>
      </c>
      <c r="V698" s="238" t="s">
        <v>3450</v>
      </c>
      <c r="W698" s="236">
        <v>1380</v>
      </c>
      <c r="X698" s="233">
        <v>41234</v>
      </c>
      <c r="Y698" s="238" t="s">
        <v>3451</v>
      </c>
      <c r="AB698" s="1" t="s">
        <v>2527</v>
      </c>
    </row>
    <row r="699" spans="1:28" ht="11.25" customHeight="1">
      <c r="A699" s="233">
        <v>41172</v>
      </c>
      <c r="B699" s="1" t="s">
        <v>2565</v>
      </c>
      <c r="C699" s="1" t="s">
        <v>2080</v>
      </c>
      <c r="D699" s="1" t="s">
        <v>1902</v>
      </c>
      <c r="E699" s="5">
        <v>1270</v>
      </c>
      <c r="F699" s="5">
        <v>100</v>
      </c>
      <c r="G699" s="1" t="s">
        <v>2398</v>
      </c>
      <c r="H699" s="234">
        <v>4.3</v>
      </c>
      <c r="I699" s="236">
        <f t="shared" si="44"/>
        <v>430</v>
      </c>
      <c r="K699" s="266">
        <f>4.14*F699</f>
        <v>413.99999999999994</v>
      </c>
      <c r="L699" s="237">
        <v>41215</v>
      </c>
      <c r="M699" s="1" t="s">
        <v>2327</v>
      </c>
      <c r="N699" s="235">
        <f t="shared" si="42"/>
        <v>430</v>
      </c>
      <c r="O699" s="235">
        <f t="shared" si="43"/>
        <v>0</v>
      </c>
      <c r="P699" s="238" t="s">
        <v>3452</v>
      </c>
      <c r="Q699" s="1" t="s">
        <v>2562</v>
      </c>
      <c r="R699" s="239" t="s">
        <v>2567</v>
      </c>
      <c r="S699" s="238" t="s">
        <v>2568</v>
      </c>
      <c r="T699" s="238" t="s">
        <v>3404</v>
      </c>
      <c r="U699" s="238" t="s">
        <v>3453</v>
      </c>
      <c r="V699" s="238" t="s">
        <v>2488</v>
      </c>
      <c r="AB699" s="1" t="s">
        <v>2527</v>
      </c>
    </row>
    <row r="700" spans="1:28" ht="11.25" customHeight="1">
      <c r="A700" s="233">
        <v>41172</v>
      </c>
      <c r="B700" s="1" t="s">
        <v>3454</v>
      </c>
      <c r="C700" s="1" t="s">
        <v>2080</v>
      </c>
      <c r="D700" s="1" t="s">
        <v>1711</v>
      </c>
      <c r="E700" s="5">
        <v>8210</v>
      </c>
      <c r="F700" s="5">
        <v>60</v>
      </c>
      <c r="G700" s="1" t="s">
        <v>2086</v>
      </c>
      <c r="H700" s="234">
        <v>4.8</v>
      </c>
      <c r="I700" s="236">
        <f t="shared" ref="I700:I770" si="45">H700*F700</f>
        <v>288</v>
      </c>
      <c r="K700" s="266">
        <f>3.63*F700</f>
        <v>217.79999999999998</v>
      </c>
      <c r="L700" s="237">
        <v>41172</v>
      </c>
      <c r="M700" s="1" t="s">
        <v>2390</v>
      </c>
      <c r="N700" s="235">
        <f t="shared" si="42"/>
        <v>288</v>
      </c>
      <c r="O700" s="235">
        <f t="shared" si="43"/>
        <v>0</v>
      </c>
      <c r="P700" s="238" t="s">
        <v>3455</v>
      </c>
      <c r="Q700" s="1" t="s">
        <v>2212</v>
      </c>
      <c r="R700" s="239" t="s">
        <v>3456</v>
      </c>
      <c r="S700" s="238" t="s">
        <v>3457</v>
      </c>
      <c r="T700" s="1" t="s">
        <v>2212</v>
      </c>
      <c r="V700" s="238" t="s">
        <v>3458</v>
      </c>
      <c r="W700" s="236">
        <v>2238</v>
      </c>
      <c r="X700" s="233">
        <v>41172</v>
      </c>
      <c r="Y700" s="238" t="s">
        <v>2212</v>
      </c>
      <c r="AA700" s="240" t="s">
        <v>2668</v>
      </c>
      <c r="AB700" s="1" t="s">
        <v>2527</v>
      </c>
    </row>
    <row r="701" spans="1:28" ht="11.25" customHeight="1">
      <c r="A701" s="233">
        <v>41172</v>
      </c>
      <c r="B701" s="1" t="s">
        <v>3459</v>
      </c>
      <c r="C701" s="1" t="s">
        <v>2080</v>
      </c>
      <c r="D701" s="1" t="s">
        <v>916</v>
      </c>
      <c r="E701" s="5">
        <v>11228</v>
      </c>
      <c r="F701" s="5">
        <v>10</v>
      </c>
      <c r="G701" s="1" t="s">
        <v>2398</v>
      </c>
      <c r="H701" s="234">
        <v>17</v>
      </c>
      <c r="I701" s="236">
        <f t="shared" si="45"/>
        <v>170</v>
      </c>
      <c r="K701" s="266">
        <f>5.94*F701</f>
        <v>59.400000000000006</v>
      </c>
      <c r="L701" s="237">
        <v>41173</v>
      </c>
      <c r="M701" s="1" t="s">
        <v>2327</v>
      </c>
      <c r="N701" s="235">
        <f t="shared" si="42"/>
        <v>170</v>
      </c>
      <c r="O701" s="235">
        <f t="shared" si="43"/>
        <v>0</v>
      </c>
      <c r="P701" s="238" t="s">
        <v>3460</v>
      </c>
      <c r="Q701" s="1" t="s">
        <v>3461</v>
      </c>
      <c r="R701" s="239" t="s">
        <v>3462</v>
      </c>
      <c r="S701" s="238" t="s">
        <v>3463</v>
      </c>
      <c r="T701" s="238" t="s">
        <v>3464</v>
      </c>
      <c r="U701" s="238" t="s">
        <v>3465</v>
      </c>
      <c r="V701" s="238" t="s">
        <v>2488</v>
      </c>
      <c r="AB701" s="1" t="s">
        <v>2079</v>
      </c>
    </row>
    <row r="702" spans="1:28" ht="11.25" customHeight="1">
      <c r="A702" s="233">
        <v>41172</v>
      </c>
      <c r="B702" s="1" t="s">
        <v>3459</v>
      </c>
      <c r="C702" s="1" t="s">
        <v>2080</v>
      </c>
      <c r="D702" s="1" t="s">
        <v>288</v>
      </c>
      <c r="E702" s="5" t="s">
        <v>3466</v>
      </c>
      <c r="F702" s="5">
        <v>10</v>
      </c>
      <c r="G702" s="1" t="s">
        <v>2398</v>
      </c>
      <c r="H702" s="234">
        <v>2.5</v>
      </c>
      <c r="I702" s="236">
        <f t="shared" si="45"/>
        <v>25</v>
      </c>
      <c r="K702" s="266">
        <f>1.178*F702</f>
        <v>11.78</v>
      </c>
      <c r="L702" s="237">
        <v>41173</v>
      </c>
      <c r="M702" s="1" t="s">
        <v>2327</v>
      </c>
      <c r="N702" s="235">
        <f t="shared" si="42"/>
        <v>25</v>
      </c>
      <c r="O702" s="235">
        <f t="shared" si="43"/>
        <v>0</v>
      </c>
      <c r="P702" s="238" t="s">
        <v>3460</v>
      </c>
      <c r="Q702" s="1" t="s">
        <v>3461</v>
      </c>
      <c r="R702" s="239" t="s">
        <v>3462</v>
      </c>
      <c r="S702" s="238" t="s">
        <v>3463</v>
      </c>
      <c r="T702" s="238" t="s">
        <v>3464</v>
      </c>
      <c r="U702" s="238" t="s">
        <v>3465</v>
      </c>
      <c r="V702" s="238" t="s">
        <v>2488</v>
      </c>
      <c r="AB702" s="1" t="s">
        <v>2079</v>
      </c>
    </row>
    <row r="703" spans="1:28" ht="12" customHeight="1">
      <c r="A703" s="233">
        <v>41173</v>
      </c>
      <c r="B703" s="1" t="s">
        <v>3467</v>
      </c>
      <c r="C703" s="1" t="s">
        <v>2080</v>
      </c>
      <c r="D703" s="1" t="s">
        <v>2017</v>
      </c>
      <c r="E703" s="5">
        <v>4620</v>
      </c>
      <c r="F703" s="5">
        <v>10</v>
      </c>
      <c r="G703" s="1" t="s">
        <v>2529</v>
      </c>
      <c r="H703" s="234">
        <v>22.5</v>
      </c>
      <c r="I703" s="236">
        <f t="shared" si="45"/>
        <v>225</v>
      </c>
      <c r="K703" s="266">
        <f>17.79*F703</f>
        <v>177.89999999999998</v>
      </c>
      <c r="L703" s="237">
        <v>41243</v>
      </c>
      <c r="M703" s="1" t="s">
        <v>2077</v>
      </c>
      <c r="N703" s="235">
        <f t="shared" si="42"/>
        <v>225</v>
      </c>
      <c r="O703" s="235">
        <f t="shared" si="43"/>
        <v>0</v>
      </c>
      <c r="P703" s="238" t="s">
        <v>3468</v>
      </c>
      <c r="Q703" s="1" t="s">
        <v>2212</v>
      </c>
      <c r="R703" s="239" t="s">
        <v>3469</v>
      </c>
      <c r="S703" s="238" t="s">
        <v>3470</v>
      </c>
      <c r="T703" s="238" t="s">
        <v>2082</v>
      </c>
      <c r="U703" s="238" t="s">
        <v>2212</v>
      </c>
      <c r="V703" s="238" t="s">
        <v>3471</v>
      </c>
      <c r="W703" s="236">
        <v>5859</v>
      </c>
      <c r="X703" s="233">
        <v>41201</v>
      </c>
      <c r="Y703" s="238" t="s">
        <v>3472</v>
      </c>
      <c r="Z703" s="255" t="s">
        <v>3473</v>
      </c>
      <c r="AB703" s="1" t="s">
        <v>2079</v>
      </c>
    </row>
    <row r="704" spans="1:28" ht="12" customHeight="1">
      <c r="A704" s="233">
        <v>41176</v>
      </c>
      <c r="B704" s="225" t="s">
        <v>3474</v>
      </c>
      <c r="C704" s="383" t="s">
        <v>2080</v>
      </c>
      <c r="D704" s="1" t="s">
        <v>1223</v>
      </c>
      <c r="E704" s="5">
        <v>6009</v>
      </c>
      <c r="F704" s="5">
        <v>6</v>
      </c>
      <c r="G704" s="1" t="s">
        <v>2086</v>
      </c>
      <c r="H704" s="234">
        <v>44.6</v>
      </c>
      <c r="I704" s="236">
        <f t="shared" si="45"/>
        <v>267.60000000000002</v>
      </c>
      <c r="K704" s="266">
        <f>43.3872*F704</f>
        <v>260.32319999999999</v>
      </c>
      <c r="L704" s="237">
        <v>41178</v>
      </c>
      <c r="M704" s="1" t="s">
        <v>2077</v>
      </c>
      <c r="N704" s="235">
        <f t="shared" si="42"/>
        <v>267.60000000000002</v>
      </c>
      <c r="O704" s="235">
        <f t="shared" si="43"/>
        <v>0</v>
      </c>
      <c r="P704" s="238" t="s">
        <v>3475</v>
      </c>
      <c r="Q704" s="1" t="s">
        <v>2212</v>
      </c>
      <c r="R704" s="239" t="s">
        <v>3476</v>
      </c>
      <c r="S704" s="238" t="s">
        <v>2082</v>
      </c>
      <c r="T704" s="238" t="s">
        <v>2082</v>
      </c>
      <c r="U704" s="238" t="s">
        <v>2212</v>
      </c>
      <c r="V704" s="115" t="s">
        <v>3477</v>
      </c>
      <c r="W704" s="236">
        <v>267.60000000000002</v>
      </c>
      <c r="X704" s="233">
        <v>41236</v>
      </c>
      <c r="Y704" s="238" t="s">
        <v>2212</v>
      </c>
      <c r="AB704" s="1" t="s">
        <v>2527</v>
      </c>
    </row>
    <row r="705" spans="1:28" ht="12" customHeight="1">
      <c r="A705" s="233">
        <v>41176</v>
      </c>
      <c r="B705" s="1" t="s">
        <v>3373</v>
      </c>
      <c r="C705" s="1" t="s">
        <v>2080</v>
      </c>
      <c r="D705" s="1" t="s">
        <v>1711</v>
      </c>
      <c r="E705" s="5">
        <v>8210</v>
      </c>
      <c r="F705" s="5">
        <v>80</v>
      </c>
      <c r="G705" s="1" t="s">
        <v>2086</v>
      </c>
      <c r="H705" s="234">
        <v>6.9</v>
      </c>
      <c r="I705" s="31">
        <f t="shared" si="45"/>
        <v>552</v>
      </c>
      <c r="K705" s="266">
        <f>3.63*F705</f>
        <v>290.39999999999998</v>
      </c>
      <c r="L705" s="237">
        <v>41176</v>
      </c>
      <c r="M705" s="1" t="s">
        <v>2077</v>
      </c>
      <c r="N705" s="235">
        <f t="shared" si="42"/>
        <v>552</v>
      </c>
      <c r="O705" s="235">
        <f t="shared" si="43"/>
        <v>0</v>
      </c>
      <c r="P705" s="238" t="s">
        <v>3478</v>
      </c>
      <c r="Q705" s="1" t="s">
        <v>2562</v>
      </c>
      <c r="R705" s="239" t="s">
        <v>3479</v>
      </c>
      <c r="S705" s="238" t="s">
        <v>3480</v>
      </c>
      <c r="T705" s="238" t="s">
        <v>3481</v>
      </c>
      <c r="U705" s="238" t="s">
        <v>3482</v>
      </c>
      <c r="V705" s="238" t="s">
        <v>3483</v>
      </c>
      <c r="W705" s="236">
        <v>4752</v>
      </c>
      <c r="X705" s="233">
        <v>41219</v>
      </c>
      <c r="Y705" s="238" t="s">
        <v>3484</v>
      </c>
      <c r="AB705" s="1" t="s">
        <v>2527</v>
      </c>
    </row>
    <row r="706" spans="1:28" ht="12" customHeight="1">
      <c r="A706" s="233">
        <v>41176</v>
      </c>
      <c r="B706" s="1" t="s">
        <v>3485</v>
      </c>
      <c r="C706" s="1" t="s">
        <v>2080</v>
      </c>
      <c r="D706" s="1" t="s">
        <v>1210</v>
      </c>
      <c r="E706" s="5">
        <v>3200</v>
      </c>
      <c r="F706" s="5">
        <v>30</v>
      </c>
      <c r="G706" s="1" t="s">
        <v>2086</v>
      </c>
      <c r="H706" s="234">
        <v>40.5</v>
      </c>
      <c r="I706" s="31">
        <f t="shared" si="45"/>
        <v>1215</v>
      </c>
      <c r="K706" s="266">
        <f>23.94*F706</f>
        <v>718.2</v>
      </c>
      <c r="L706" s="237">
        <v>41176</v>
      </c>
      <c r="M706" s="1" t="s">
        <v>2390</v>
      </c>
      <c r="N706" s="235">
        <f t="shared" si="42"/>
        <v>1215</v>
      </c>
      <c r="O706" s="235">
        <f t="shared" si="43"/>
        <v>0</v>
      </c>
      <c r="P706" s="238" t="s">
        <v>3486</v>
      </c>
      <c r="Q706" s="1" t="s">
        <v>2212</v>
      </c>
      <c r="R706" s="239" t="s">
        <v>3487</v>
      </c>
      <c r="S706" s="238" t="s">
        <v>3488</v>
      </c>
      <c r="T706" s="238" t="s">
        <v>2212</v>
      </c>
      <c r="V706" s="238" t="s">
        <v>2488</v>
      </c>
      <c r="AB706" s="1" t="s">
        <v>2079</v>
      </c>
    </row>
    <row r="707" spans="1:28" ht="11.25" customHeight="1">
      <c r="A707" s="233">
        <v>41176</v>
      </c>
      <c r="B707" s="1" t="s">
        <v>3485</v>
      </c>
      <c r="C707" s="1" t="s">
        <v>2080</v>
      </c>
      <c r="D707" s="1" t="s">
        <v>353</v>
      </c>
      <c r="E707" s="5" t="s">
        <v>3489</v>
      </c>
      <c r="F707" s="5">
        <v>30</v>
      </c>
      <c r="G707" s="1" t="s">
        <v>2086</v>
      </c>
      <c r="H707" s="234">
        <v>18</v>
      </c>
      <c r="I707" s="31">
        <f t="shared" si="45"/>
        <v>540</v>
      </c>
      <c r="K707" s="266">
        <f>12.74*23+12.55*7</f>
        <v>380.87</v>
      </c>
      <c r="L707" s="237">
        <v>41176</v>
      </c>
      <c r="M707" s="1" t="s">
        <v>2390</v>
      </c>
      <c r="N707" s="235">
        <f t="shared" ref="N707:N770" si="46">I707</f>
        <v>540</v>
      </c>
      <c r="O707" s="235">
        <f t="shared" ref="O707:O770" si="47">I707-N707</f>
        <v>0</v>
      </c>
      <c r="P707" s="238" t="s">
        <v>3486</v>
      </c>
      <c r="Q707" s="1" t="s">
        <v>2212</v>
      </c>
      <c r="R707" s="239" t="s">
        <v>3487</v>
      </c>
      <c r="S707" s="238" t="s">
        <v>3488</v>
      </c>
      <c r="T707" s="238" t="s">
        <v>2212</v>
      </c>
      <c r="V707" s="238" t="s">
        <v>2488</v>
      </c>
      <c r="AB707" s="1" t="s">
        <v>2079</v>
      </c>
    </row>
    <row r="708" spans="1:28" ht="11.25" customHeight="1">
      <c r="A708" s="233">
        <v>41176</v>
      </c>
      <c r="B708" s="1" t="s">
        <v>3485</v>
      </c>
      <c r="C708" s="1" t="s">
        <v>2080</v>
      </c>
      <c r="D708" s="1" t="s">
        <v>268</v>
      </c>
      <c r="E708" s="5" t="s">
        <v>2120</v>
      </c>
      <c r="F708" s="5">
        <v>30</v>
      </c>
      <c r="G708" s="1" t="s">
        <v>2490</v>
      </c>
      <c r="H708" s="234">
        <v>2</v>
      </c>
      <c r="I708" s="236">
        <f t="shared" si="45"/>
        <v>60</v>
      </c>
      <c r="K708" s="266">
        <f>1.43*F708</f>
        <v>42.9</v>
      </c>
      <c r="L708" s="237">
        <v>41176</v>
      </c>
      <c r="M708" s="1" t="s">
        <v>2390</v>
      </c>
      <c r="N708" s="235">
        <f t="shared" si="46"/>
        <v>60</v>
      </c>
      <c r="O708" s="235">
        <f t="shared" si="47"/>
        <v>0</v>
      </c>
      <c r="P708" s="238" t="s">
        <v>3486</v>
      </c>
      <c r="Q708" s="1" t="s">
        <v>2212</v>
      </c>
      <c r="R708" s="239" t="s">
        <v>3487</v>
      </c>
      <c r="S708" s="238" t="s">
        <v>3488</v>
      </c>
      <c r="T708" s="238" t="s">
        <v>2212</v>
      </c>
      <c r="V708" s="238" t="s">
        <v>2488</v>
      </c>
      <c r="Z708" s="255" t="s">
        <v>2549</v>
      </c>
      <c r="AB708" s="1" t="s">
        <v>2079</v>
      </c>
    </row>
    <row r="709" spans="1:28" ht="11.25" customHeight="1">
      <c r="A709" s="233">
        <v>41176</v>
      </c>
      <c r="B709" s="1" t="s">
        <v>3485</v>
      </c>
      <c r="C709" s="1" t="s">
        <v>2080</v>
      </c>
      <c r="D709" s="1" t="s">
        <v>263</v>
      </c>
      <c r="E709" s="5" t="s">
        <v>3490</v>
      </c>
      <c r="F709" s="5">
        <v>30</v>
      </c>
      <c r="G709" s="1" t="s">
        <v>2086</v>
      </c>
      <c r="H709" s="234">
        <v>2.5</v>
      </c>
      <c r="I709" s="236">
        <f t="shared" si="45"/>
        <v>75</v>
      </c>
      <c r="J709" s="352">
        <v>1.88</v>
      </c>
      <c r="K709" s="266">
        <f>1.88*F709</f>
        <v>56.4</v>
      </c>
      <c r="L709" s="237">
        <v>41176</v>
      </c>
      <c r="M709" s="1" t="s">
        <v>2390</v>
      </c>
      <c r="N709" s="235">
        <f t="shared" si="46"/>
        <v>75</v>
      </c>
      <c r="O709" s="235">
        <f t="shared" si="47"/>
        <v>0</v>
      </c>
      <c r="P709" s="238" t="s">
        <v>3486</v>
      </c>
      <c r="Q709" s="1" t="s">
        <v>2212</v>
      </c>
      <c r="R709" s="239" t="s">
        <v>3487</v>
      </c>
      <c r="S709" s="238" t="s">
        <v>3488</v>
      </c>
      <c r="T709" s="238" t="s">
        <v>2212</v>
      </c>
      <c r="V709" s="238" t="s">
        <v>2488</v>
      </c>
      <c r="AB709" s="1" t="s">
        <v>2079</v>
      </c>
    </row>
    <row r="710" spans="1:28" ht="11.25" customHeight="1">
      <c r="A710" s="233">
        <v>41176</v>
      </c>
      <c r="B710" s="1" t="s">
        <v>3485</v>
      </c>
      <c r="C710" s="1" t="s">
        <v>2080</v>
      </c>
      <c r="D710" s="5" t="s">
        <v>854</v>
      </c>
      <c r="E710" s="5">
        <v>9031</v>
      </c>
      <c r="F710" s="5">
        <v>10</v>
      </c>
      <c r="G710" s="232" t="s">
        <v>2086</v>
      </c>
      <c r="H710" s="234">
        <v>2.4</v>
      </c>
      <c r="I710" s="236">
        <f t="shared" si="45"/>
        <v>24</v>
      </c>
      <c r="K710" s="266">
        <f>1.4929*F710</f>
        <v>14.928999999999998</v>
      </c>
      <c r="L710" s="237">
        <v>41176</v>
      </c>
      <c r="M710" s="1" t="s">
        <v>2390</v>
      </c>
      <c r="N710" s="235">
        <f t="shared" si="46"/>
        <v>24</v>
      </c>
      <c r="O710" s="235">
        <f t="shared" si="47"/>
        <v>0</v>
      </c>
      <c r="P710" s="238" t="s">
        <v>3486</v>
      </c>
      <c r="Q710" s="1" t="s">
        <v>2212</v>
      </c>
      <c r="R710" s="239" t="s">
        <v>3487</v>
      </c>
      <c r="S710" s="238" t="s">
        <v>3488</v>
      </c>
      <c r="T710" s="238" t="s">
        <v>2212</v>
      </c>
      <c r="V710" s="238" t="s">
        <v>2488</v>
      </c>
      <c r="AB710" s="1" t="s">
        <v>2079</v>
      </c>
    </row>
    <row r="711" spans="1:28" ht="11.25" customHeight="1">
      <c r="A711" s="233">
        <v>41176</v>
      </c>
      <c r="B711" s="1" t="s">
        <v>2714</v>
      </c>
      <c r="C711" s="1" t="s">
        <v>2080</v>
      </c>
      <c r="D711" s="1" t="s">
        <v>2028</v>
      </c>
      <c r="E711" s="5" t="s">
        <v>3168</v>
      </c>
      <c r="F711" s="5">
        <v>74</v>
      </c>
      <c r="G711" s="1" t="s">
        <v>3129</v>
      </c>
      <c r="H711" s="234">
        <v>172.8</v>
      </c>
      <c r="I711" s="236">
        <f t="shared" si="45"/>
        <v>12787.2</v>
      </c>
      <c r="K711" s="266">
        <f>107.64*F711</f>
        <v>7965.36</v>
      </c>
      <c r="L711" s="237">
        <v>41288</v>
      </c>
      <c r="M711" s="1" t="s">
        <v>2077</v>
      </c>
      <c r="N711" s="235">
        <f t="shared" si="46"/>
        <v>12787.2</v>
      </c>
      <c r="O711" s="235">
        <f t="shared" si="47"/>
        <v>0</v>
      </c>
      <c r="P711" s="238" t="s">
        <v>3491</v>
      </c>
      <c r="Q711" s="1" t="s">
        <v>2716</v>
      </c>
      <c r="R711" s="239" t="s">
        <v>2717</v>
      </c>
      <c r="S711" s="238" t="s">
        <v>3492</v>
      </c>
      <c r="T711" s="238" t="s">
        <v>797</v>
      </c>
      <c r="U711" s="238" t="s">
        <v>3493</v>
      </c>
      <c r="V711" s="238" t="s">
        <v>3494</v>
      </c>
      <c r="W711" s="236">
        <v>17020</v>
      </c>
      <c r="X711" s="233">
        <v>41205</v>
      </c>
      <c r="Y711" s="238" t="s">
        <v>3495</v>
      </c>
      <c r="AA711" s="240" t="s">
        <v>2722</v>
      </c>
      <c r="AB711" s="1" t="s">
        <v>2079</v>
      </c>
    </row>
    <row r="712" spans="1:28" ht="11.25" customHeight="1">
      <c r="A712" s="233">
        <v>41176</v>
      </c>
      <c r="B712" s="1" t="s">
        <v>2714</v>
      </c>
      <c r="C712" s="1" t="s">
        <v>2080</v>
      </c>
      <c r="D712" s="1" t="s">
        <v>353</v>
      </c>
      <c r="E712" s="5" t="s">
        <v>3496</v>
      </c>
      <c r="F712" s="5">
        <v>148</v>
      </c>
      <c r="G712" s="1" t="s">
        <v>2086</v>
      </c>
      <c r="H712" s="234">
        <v>28.6</v>
      </c>
      <c r="I712" s="236">
        <f t="shared" si="45"/>
        <v>4232.8</v>
      </c>
      <c r="J712" s="352" t="s">
        <v>6048</v>
      </c>
      <c r="K712" s="266">
        <f>17*2+146*17.5</f>
        <v>2589</v>
      </c>
      <c r="L712" s="237">
        <v>41288</v>
      </c>
      <c r="M712" s="1" t="s">
        <v>2077</v>
      </c>
      <c r="N712" s="235">
        <f t="shared" si="46"/>
        <v>4232.8</v>
      </c>
      <c r="O712" s="235">
        <f t="shared" si="47"/>
        <v>0</v>
      </c>
      <c r="P712" s="238" t="s">
        <v>3491</v>
      </c>
      <c r="Q712" s="1" t="s">
        <v>2716</v>
      </c>
      <c r="R712" s="239" t="s">
        <v>2717</v>
      </c>
      <c r="S712" s="238" t="s">
        <v>3492</v>
      </c>
      <c r="T712" s="238" t="s">
        <v>3497</v>
      </c>
      <c r="U712" s="238" t="s">
        <v>3493</v>
      </c>
      <c r="V712" s="238" t="s">
        <v>3494</v>
      </c>
      <c r="W712" s="236">
        <v>17020</v>
      </c>
      <c r="X712" s="233">
        <v>41205</v>
      </c>
      <c r="Y712" s="238" t="s">
        <v>3495</v>
      </c>
      <c r="AA712" s="240" t="s">
        <v>2722</v>
      </c>
      <c r="AB712" s="1" t="s">
        <v>2079</v>
      </c>
    </row>
    <row r="713" spans="1:28" ht="11.25" customHeight="1">
      <c r="A713" s="233">
        <v>41176</v>
      </c>
      <c r="B713" s="1" t="s">
        <v>2565</v>
      </c>
      <c r="C713" s="1" t="s">
        <v>2080</v>
      </c>
      <c r="D713" s="5" t="s">
        <v>2012</v>
      </c>
      <c r="E713" s="5" t="s">
        <v>3436</v>
      </c>
      <c r="F713" s="5">
        <v>700</v>
      </c>
      <c r="G713" s="1" t="s">
        <v>4970</v>
      </c>
      <c r="H713" s="234">
        <v>1.59</v>
      </c>
      <c r="I713" s="236">
        <f t="shared" si="45"/>
        <v>1113</v>
      </c>
      <c r="J713" s="360">
        <v>1.46</v>
      </c>
      <c r="K713" s="266">
        <f>1.46*F713</f>
        <v>1022</v>
      </c>
      <c r="L713" s="237">
        <v>41215</v>
      </c>
      <c r="M713" s="1" t="s">
        <v>2327</v>
      </c>
      <c r="N713" s="235">
        <f t="shared" si="46"/>
        <v>1113</v>
      </c>
      <c r="O713" s="235">
        <f t="shared" si="47"/>
        <v>0</v>
      </c>
      <c r="P713" s="238" t="s">
        <v>3498</v>
      </c>
      <c r="Q713" s="1" t="s">
        <v>2599</v>
      </c>
      <c r="R713" s="239" t="s">
        <v>2567</v>
      </c>
      <c r="S713" s="238" t="s">
        <v>2568</v>
      </c>
      <c r="T713" s="238" t="s">
        <v>3404</v>
      </c>
      <c r="U713" s="238" t="s">
        <v>3499</v>
      </c>
      <c r="V713" s="238" t="s">
        <v>2488</v>
      </c>
      <c r="AB713" s="1" t="s">
        <v>2527</v>
      </c>
    </row>
    <row r="714" spans="1:28" ht="11.25" customHeight="1">
      <c r="A714" s="233">
        <v>41176</v>
      </c>
      <c r="B714" s="1" t="s">
        <v>2565</v>
      </c>
      <c r="C714" s="1" t="s">
        <v>2080</v>
      </c>
      <c r="D714" s="1" t="s">
        <v>1930</v>
      </c>
      <c r="E714" s="5" t="s">
        <v>3500</v>
      </c>
      <c r="F714" s="5">
        <v>100</v>
      </c>
      <c r="G714" s="1" t="s">
        <v>2490</v>
      </c>
      <c r="H714" s="234">
        <v>5.6</v>
      </c>
      <c r="I714" s="236">
        <f t="shared" si="45"/>
        <v>560</v>
      </c>
      <c r="K714" s="266">
        <f>5*F714</f>
        <v>500</v>
      </c>
      <c r="L714" s="237">
        <v>41215</v>
      </c>
      <c r="M714" s="1" t="s">
        <v>2327</v>
      </c>
      <c r="N714" s="235">
        <f t="shared" si="46"/>
        <v>560</v>
      </c>
      <c r="O714" s="235">
        <f t="shared" si="47"/>
        <v>0</v>
      </c>
      <c r="P714" s="238" t="s">
        <v>3498</v>
      </c>
      <c r="Q714" s="1" t="s">
        <v>2599</v>
      </c>
      <c r="R714" s="239" t="s">
        <v>2567</v>
      </c>
      <c r="S714" s="238" t="s">
        <v>2568</v>
      </c>
      <c r="T714" s="238" t="s">
        <v>3404</v>
      </c>
      <c r="U714" s="238" t="s">
        <v>3499</v>
      </c>
      <c r="V714" s="238" t="s">
        <v>2488</v>
      </c>
      <c r="AB714" s="1" t="s">
        <v>2527</v>
      </c>
    </row>
    <row r="715" spans="1:28" ht="12" customHeight="1">
      <c r="A715" s="233">
        <v>41177</v>
      </c>
      <c r="B715" s="1" t="s">
        <v>3501</v>
      </c>
      <c r="C715" s="1" t="s">
        <v>2080</v>
      </c>
      <c r="D715" s="5" t="s">
        <v>854</v>
      </c>
      <c r="E715" s="5">
        <v>9031</v>
      </c>
      <c r="F715" s="5">
        <v>500</v>
      </c>
      <c r="G715" s="232" t="s">
        <v>2086</v>
      </c>
      <c r="H715" s="234">
        <v>2.2999999999999998</v>
      </c>
      <c r="I715" s="236">
        <f t="shared" si="45"/>
        <v>1150</v>
      </c>
      <c r="K715" s="266">
        <f>1.4929*F715</f>
        <v>746.44999999999993</v>
      </c>
      <c r="L715" s="237">
        <v>41177</v>
      </c>
      <c r="M715" s="1" t="s">
        <v>2077</v>
      </c>
      <c r="N715" s="235">
        <f t="shared" si="46"/>
        <v>1150</v>
      </c>
      <c r="O715" s="235">
        <f t="shared" si="47"/>
        <v>0</v>
      </c>
      <c r="P715" s="238" t="s">
        <v>3502</v>
      </c>
      <c r="Q715" s="1" t="s">
        <v>2562</v>
      </c>
      <c r="R715" s="239" t="s">
        <v>3503</v>
      </c>
      <c r="S715" s="238" t="s">
        <v>3504</v>
      </c>
      <c r="T715" s="238" t="s">
        <v>3505</v>
      </c>
      <c r="U715" s="238" t="s">
        <v>3506</v>
      </c>
      <c r="V715" s="238" t="s">
        <v>3507</v>
      </c>
      <c r="W715" s="236">
        <v>1150</v>
      </c>
      <c r="X715" s="233">
        <v>41201</v>
      </c>
      <c r="Y715" s="238" t="s">
        <v>3508</v>
      </c>
      <c r="AB715" s="1" t="s">
        <v>2079</v>
      </c>
    </row>
    <row r="716" spans="1:28" ht="12" customHeight="1">
      <c r="A716" s="233">
        <v>41178</v>
      </c>
      <c r="B716" s="1" t="s">
        <v>2649</v>
      </c>
      <c r="C716" s="1" t="s">
        <v>2080</v>
      </c>
      <c r="D716" s="225" t="s">
        <v>353</v>
      </c>
      <c r="E716" s="5" t="s">
        <v>3489</v>
      </c>
      <c r="F716" s="5">
        <v>30</v>
      </c>
      <c r="G716" s="1" t="s">
        <v>2086</v>
      </c>
      <c r="H716" s="234">
        <v>13.33</v>
      </c>
      <c r="I716" s="236">
        <f t="shared" si="45"/>
        <v>399.9</v>
      </c>
      <c r="K716" s="266">
        <f>10.94*F716</f>
        <v>328.2</v>
      </c>
      <c r="L716" s="237">
        <v>41352</v>
      </c>
      <c r="M716" s="1" t="s">
        <v>2077</v>
      </c>
      <c r="N716" s="235">
        <f t="shared" si="46"/>
        <v>399.9</v>
      </c>
      <c r="O716" s="235">
        <f t="shared" si="47"/>
        <v>0</v>
      </c>
      <c r="P716" s="238" t="s">
        <v>3509</v>
      </c>
      <c r="Q716" s="1" t="s">
        <v>2212</v>
      </c>
      <c r="R716" s="239" t="s">
        <v>3148</v>
      </c>
      <c r="S716" s="238" t="s">
        <v>3149</v>
      </c>
      <c r="T716" s="238" t="s">
        <v>2082</v>
      </c>
      <c r="U716" s="238" t="s">
        <v>2082</v>
      </c>
      <c r="V716" s="238" t="s">
        <v>3510</v>
      </c>
      <c r="W716" s="236">
        <v>6244.3</v>
      </c>
      <c r="X716" s="233">
        <v>41205</v>
      </c>
      <c r="Y716" s="238" t="s">
        <v>2082</v>
      </c>
      <c r="AB716" s="1" t="s">
        <v>2527</v>
      </c>
    </row>
    <row r="717" spans="1:28" ht="11.25" customHeight="1">
      <c r="A717" s="233">
        <v>41178</v>
      </c>
      <c r="B717" s="1" t="s">
        <v>2649</v>
      </c>
      <c r="C717" s="1" t="s">
        <v>2080</v>
      </c>
      <c r="D717" s="1" t="s">
        <v>268</v>
      </c>
      <c r="E717" s="5" t="s">
        <v>2120</v>
      </c>
      <c r="F717" s="5">
        <v>30</v>
      </c>
      <c r="G717" s="1" t="s">
        <v>2490</v>
      </c>
      <c r="H717" s="234">
        <v>1.46</v>
      </c>
      <c r="I717" s="236">
        <f t="shared" si="45"/>
        <v>43.8</v>
      </c>
      <c r="K717" s="266">
        <f>1.17*27+1.43*3</f>
        <v>35.879999999999995</v>
      </c>
      <c r="L717" s="237">
        <v>41352</v>
      </c>
      <c r="M717" s="1" t="s">
        <v>2077</v>
      </c>
      <c r="N717" s="235">
        <f t="shared" si="46"/>
        <v>43.8</v>
      </c>
      <c r="O717" s="235">
        <f t="shared" si="47"/>
        <v>0</v>
      </c>
      <c r="P717" s="238" t="s">
        <v>3509</v>
      </c>
      <c r="Q717" s="1" t="s">
        <v>2212</v>
      </c>
      <c r="R717" s="239" t="s">
        <v>3148</v>
      </c>
      <c r="S717" s="238" t="s">
        <v>3149</v>
      </c>
      <c r="T717" s="238" t="s">
        <v>2082</v>
      </c>
      <c r="U717" s="238" t="s">
        <v>2082</v>
      </c>
      <c r="V717" s="238" t="s">
        <v>3510</v>
      </c>
      <c r="W717" s="236">
        <v>6244.3</v>
      </c>
      <c r="X717" s="233">
        <v>41205</v>
      </c>
      <c r="Y717" s="238" t="s">
        <v>2082</v>
      </c>
      <c r="AB717" s="1" t="s">
        <v>2527</v>
      </c>
    </row>
    <row r="718" spans="1:28" ht="11.25" customHeight="1">
      <c r="A718" s="233">
        <v>41178</v>
      </c>
      <c r="B718" s="1" t="s">
        <v>2649</v>
      </c>
      <c r="C718" s="1" t="s">
        <v>2080</v>
      </c>
      <c r="D718" s="1" t="s">
        <v>263</v>
      </c>
      <c r="E718" s="5" t="s">
        <v>3511</v>
      </c>
      <c r="F718" s="5">
        <v>30</v>
      </c>
      <c r="G718" s="1" t="s">
        <v>2086</v>
      </c>
      <c r="H718" s="234">
        <v>1.98</v>
      </c>
      <c r="I718" s="236">
        <f t="shared" si="45"/>
        <v>59.4</v>
      </c>
      <c r="J718" s="352">
        <v>1.88</v>
      </c>
      <c r="K718" s="266">
        <f>1.88*F718</f>
        <v>56.4</v>
      </c>
      <c r="L718" s="237">
        <v>41352</v>
      </c>
      <c r="M718" s="1" t="s">
        <v>2077</v>
      </c>
      <c r="N718" s="235">
        <f t="shared" si="46"/>
        <v>59.4</v>
      </c>
      <c r="O718" s="235">
        <f t="shared" si="47"/>
        <v>0</v>
      </c>
      <c r="P718" s="238" t="s">
        <v>3509</v>
      </c>
      <c r="Q718" s="1" t="s">
        <v>2212</v>
      </c>
      <c r="R718" s="239" t="s">
        <v>3148</v>
      </c>
      <c r="S718" s="238" t="s">
        <v>3149</v>
      </c>
      <c r="T718" s="238" t="s">
        <v>2082</v>
      </c>
      <c r="U718" s="238" t="s">
        <v>2082</v>
      </c>
      <c r="V718" s="238" t="s">
        <v>3510</v>
      </c>
      <c r="W718" s="236">
        <v>6244.3</v>
      </c>
      <c r="X718" s="233">
        <v>41205</v>
      </c>
      <c r="Y718" s="238" t="s">
        <v>2082</v>
      </c>
      <c r="AB718" s="1" t="s">
        <v>2527</v>
      </c>
    </row>
    <row r="719" spans="1:28" ht="11.25" customHeight="1">
      <c r="A719" s="233">
        <v>41178</v>
      </c>
      <c r="B719" s="225" t="s">
        <v>3121</v>
      </c>
      <c r="C719" s="383" t="s">
        <v>2080</v>
      </c>
      <c r="D719" s="1" t="s">
        <v>86</v>
      </c>
      <c r="E719" s="5">
        <v>9032</v>
      </c>
      <c r="F719" s="5">
        <v>100</v>
      </c>
      <c r="G719" s="1" t="s">
        <v>2086</v>
      </c>
      <c r="H719" s="234">
        <v>2</v>
      </c>
      <c r="I719" s="236">
        <f t="shared" si="45"/>
        <v>200</v>
      </c>
      <c r="K719" s="266">
        <f>1.4929*F719</f>
        <v>149.29</v>
      </c>
      <c r="L719" s="237">
        <v>41178</v>
      </c>
      <c r="M719" s="233" t="s">
        <v>2390</v>
      </c>
      <c r="N719" s="235">
        <f t="shared" si="46"/>
        <v>200</v>
      </c>
      <c r="O719" s="235">
        <f t="shared" si="47"/>
        <v>0</v>
      </c>
      <c r="P719" s="238" t="s">
        <v>3512</v>
      </c>
      <c r="Q719" s="1" t="s">
        <v>2212</v>
      </c>
      <c r="R719" s="239" t="s">
        <v>3513</v>
      </c>
      <c r="S719" s="238" t="s">
        <v>3514</v>
      </c>
      <c r="T719" s="238" t="s">
        <v>2082</v>
      </c>
      <c r="U719" s="238" t="s">
        <v>2212</v>
      </c>
      <c r="V719" s="238" t="s">
        <v>2488</v>
      </c>
      <c r="AB719" s="1" t="s">
        <v>2079</v>
      </c>
    </row>
    <row r="720" spans="1:28" ht="11.25" customHeight="1">
      <c r="A720" s="233">
        <v>41178</v>
      </c>
      <c r="B720" s="225" t="s">
        <v>3121</v>
      </c>
      <c r="C720" s="383" t="s">
        <v>2080</v>
      </c>
      <c r="D720" s="5" t="s">
        <v>2012</v>
      </c>
      <c r="E720" s="5" t="s">
        <v>3436</v>
      </c>
      <c r="F720" s="5">
        <v>100</v>
      </c>
      <c r="G720" s="1" t="s">
        <v>4970</v>
      </c>
      <c r="H720" s="234">
        <v>2</v>
      </c>
      <c r="I720" s="236">
        <f t="shared" si="45"/>
        <v>200</v>
      </c>
      <c r="J720" s="360">
        <v>1.46</v>
      </c>
      <c r="K720" s="266">
        <f>1.46*F720</f>
        <v>146</v>
      </c>
      <c r="L720" s="237">
        <v>41178</v>
      </c>
      <c r="M720" s="233" t="s">
        <v>2390</v>
      </c>
      <c r="N720" s="235">
        <f t="shared" si="46"/>
        <v>200</v>
      </c>
      <c r="O720" s="235">
        <f t="shared" si="47"/>
        <v>0</v>
      </c>
      <c r="P720" s="238" t="s">
        <v>3512</v>
      </c>
      <c r="Q720" s="1" t="s">
        <v>2212</v>
      </c>
      <c r="R720" s="239" t="s">
        <v>3513</v>
      </c>
      <c r="S720" s="238" t="s">
        <v>3514</v>
      </c>
      <c r="T720" s="238" t="s">
        <v>2082</v>
      </c>
      <c r="U720" s="238" t="s">
        <v>2212</v>
      </c>
      <c r="V720" s="238" t="s">
        <v>2488</v>
      </c>
      <c r="AB720" s="1" t="s">
        <v>2079</v>
      </c>
    </row>
    <row r="721" spans="1:28" ht="11.25" customHeight="1">
      <c r="A721" s="233">
        <v>41178</v>
      </c>
      <c r="B721" s="1" t="s">
        <v>3515</v>
      </c>
      <c r="C721" s="383" t="s">
        <v>2080</v>
      </c>
      <c r="D721" s="1" t="s">
        <v>2010</v>
      </c>
      <c r="E721" s="5">
        <v>10434</v>
      </c>
      <c r="F721" s="5">
        <v>150</v>
      </c>
      <c r="G721" s="1" t="s">
        <v>2398</v>
      </c>
      <c r="H721" s="234">
        <v>23</v>
      </c>
      <c r="I721" s="236">
        <f t="shared" si="45"/>
        <v>3450</v>
      </c>
      <c r="K721" s="266">
        <f>14.88*F721</f>
        <v>2232</v>
      </c>
      <c r="L721" s="237">
        <v>41310</v>
      </c>
      <c r="M721" s="1" t="s">
        <v>4997</v>
      </c>
      <c r="N721" s="235">
        <f t="shared" si="46"/>
        <v>3450</v>
      </c>
      <c r="O721" s="235">
        <f t="shared" si="47"/>
        <v>0</v>
      </c>
      <c r="P721" s="238" t="s">
        <v>3475</v>
      </c>
      <c r="Q721" s="1" t="s">
        <v>2505</v>
      </c>
      <c r="R721" s="239" t="s">
        <v>2082</v>
      </c>
      <c r="S721" s="238" t="s">
        <v>2082</v>
      </c>
      <c r="T721" s="238" t="s">
        <v>2082</v>
      </c>
      <c r="U721" s="238" t="s">
        <v>2082</v>
      </c>
      <c r="V721" s="238" t="s">
        <v>3516</v>
      </c>
      <c r="W721" s="236">
        <v>10700</v>
      </c>
      <c r="X721" s="233">
        <v>41205</v>
      </c>
      <c r="Y721" s="238" t="s">
        <v>3517</v>
      </c>
      <c r="AB721" s="1" t="s">
        <v>2079</v>
      </c>
    </row>
    <row r="722" spans="1:28" ht="11.25" customHeight="1">
      <c r="A722" s="233">
        <v>41178</v>
      </c>
      <c r="B722" s="1" t="s">
        <v>3515</v>
      </c>
      <c r="C722" s="383" t="s">
        <v>2080</v>
      </c>
      <c r="D722" s="1" t="s">
        <v>86</v>
      </c>
      <c r="E722" s="5">
        <v>9032</v>
      </c>
      <c r="F722" s="5">
        <v>150</v>
      </c>
      <c r="G722" s="1" t="s">
        <v>2086</v>
      </c>
      <c r="H722" s="234">
        <v>2.7</v>
      </c>
      <c r="I722" s="236">
        <f t="shared" si="45"/>
        <v>405</v>
      </c>
      <c r="K722" s="266">
        <f>1.4929*F722</f>
        <v>223.93499999999997</v>
      </c>
      <c r="L722" s="237">
        <v>41310</v>
      </c>
      <c r="M722" s="1" t="s">
        <v>4997</v>
      </c>
      <c r="N722" s="235">
        <f t="shared" si="46"/>
        <v>405</v>
      </c>
      <c r="O722" s="235">
        <f t="shared" si="47"/>
        <v>0</v>
      </c>
      <c r="P722" s="238" t="s">
        <v>2082</v>
      </c>
      <c r="Q722" s="1" t="s">
        <v>2505</v>
      </c>
      <c r="R722" s="239" t="s">
        <v>2082</v>
      </c>
      <c r="S722" s="238" t="s">
        <v>2082</v>
      </c>
      <c r="T722" s="238" t="s">
        <v>2082</v>
      </c>
      <c r="U722" s="238" t="s">
        <v>2082</v>
      </c>
      <c r="V722" s="238" t="s">
        <v>3518</v>
      </c>
      <c r="W722" s="236">
        <v>11299.4</v>
      </c>
      <c r="X722" s="233">
        <v>41205</v>
      </c>
      <c r="Y722" s="238" t="s">
        <v>3517</v>
      </c>
      <c r="AB722" s="1" t="s">
        <v>2079</v>
      </c>
    </row>
    <row r="723" spans="1:28" ht="11.25" customHeight="1">
      <c r="A723" s="233">
        <v>41178</v>
      </c>
      <c r="B723" s="1" t="s">
        <v>3515</v>
      </c>
      <c r="C723" s="383" t="s">
        <v>2080</v>
      </c>
      <c r="D723" s="1" t="s">
        <v>1711</v>
      </c>
      <c r="E723" s="5">
        <v>8210</v>
      </c>
      <c r="F723" s="5">
        <v>300</v>
      </c>
      <c r="G723" s="1" t="s">
        <v>2086</v>
      </c>
      <c r="H723" s="234">
        <v>6.9</v>
      </c>
      <c r="I723" s="236">
        <f t="shared" si="45"/>
        <v>2070</v>
      </c>
      <c r="K723" s="266">
        <f>3.63*F723</f>
        <v>1089</v>
      </c>
      <c r="L723" s="237">
        <v>41310</v>
      </c>
      <c r="M723" s="1" t="s">
        <v>4997</v>
      </c>
      <c r="N723" s="235">
        <f t="shared" si="46"/>
        <v>2070</v>
      </c>
      <c r="O723" s="235">
        <f t="shared" si="47"/>
        <v>0</v>
      </c>
      <c r="P723" s="238" t="s">
        <v>2082</v>
      </c>
      <c r="Q723" s="1" t="s">
        <v>2505</v>
      </c>
      <c r="R723" s="239" t="s">
        <v>2082</v>
      </c>
      <c r="S723" s="238" t="s">
        <v>2082</v>
      </c>
      <c r="T723" s="238" t="s">
        <v>2082</v>
      </c>
      <c r="U723" s="238" t="s">
        <v>2082</v>
      </c>
      <c r="V723" s="238" t="s">
        <v>3516</v>
      </c>
      <c r="W723" s="236">
        <v>10700</v>
      </c>
      <c r="X723" s="233">
        <v>41205</v>
      </c>
      <c r="Y723" s="238" t="s">
        <v>3517</v>
      </c>
      <c r="AB723" s="1" t="s">
        <v>2079</v>
      </c>
    </row>
    <row r="724" spans="1:28" ht="11.25" customHeight="1">
      <c r="A724" s="233">
        <v>41178</v>
      </c>
      <c r="B724" s="1" t="s">
        <v>3515</v>
      </c>
      <c r="C724" s="383" t="s">
        <v>2080</v>
      </c>
      <c r="D724" s="1" t="s">
        <v>2010</v>
      </c>
      <c r="E724" s="5">
        <v>10434</v>
      </c>
      <c r="F724" s="5">
        <v>10</v>
      </c>
      <c r="G724" s="1" t="s">
        <v>2398</v>
      </c>
      <c r="H724" s="234">
        <v>23</v>
      </c>
      <c r="I724" s="236">
        <f t="shared" si="45"/>
        <v>230</v>
      </c>
      <c r="K724" s="266">
        <f>14.88*F724</f>
        <v>148.80000000000001</v>
      </c>
      <c r="L724" s="237">
        <v>41310</v>
      </c>
      <c r="M724" s="1" t="s">
        <v>4997</v>
      </c>
      <c r="N724" s="235">
        <f t="shared" si="46"/>
        <v>230</v>
      </c>
      <c r="O724" s="235">
        <f t="shared" si="47"/>
        <v>0</v>
      </c>
      <c r="P724" s="238" t="s">
        <v>2082</v>
      </c>
      <c r="Q724" s="1" t="s">
        <v>2505</v>
      </c>
      <c r="R724" s="239" t="s">
        <v>2082</v>
      </c>
      <c r="S724" s="238" t="s">
        <v>2082</v>
      </c>
      <c r="T724" s="238" t="s">
        <v>2082</v>
      </c>
      <c r="U724" s="238" t="s">
        <v>2082</v>
      </c>
      <c r="V724" s="238" t="s">
        <v>3516</v>
      </c>
      <c r="W724" s="236">
        <v>10700</v>
      </c>
      <c r="X724" s="233">
        <v>41205</v>
      </c>
      <c r="Y724" s="238" t="s">
        <v>3517</v>
      </c>
      <c r="AB724" s="1" t="s">
        <v>2079</v>
      </c>
    </row>
    <row r="725" spans="1:28" ht="11.25" customHeight="1">
      <c r="A725" s="233">
        <v>41178</v>
      </c>
      <c r="B725" s="1" t="s">
        <v>3515</v>
      </c>
      <c r="C725" s="383" t="s">
        <v>2080</v>
      </c>
      <c r="D725" s="95" t="s">
        <v>1039</v>
      </c>
      <c r="E725" s="5">
        <v>52000183617</v>
      </c>
      <c r="F725" s="5">
        <v>10</v>
      </c>
      <c r="G725" s="1" t="s">
        <v>2086</v>
      </c>
      <c r="H725" s="234">
        <v>1650</v>
      </c>
      <c r="I725" s="236">
        <f t="shared" si="45"/>
        <v>16500</v>
      </c>
      <c r="K725" s="266">
        <f>938*F725</f>
        <v>9380</v>
      </c>
      <c r="L725" s="237">
        <v>41310</v>
      </c>
      <c r="M725" s="1" t="s">
        <v>4997</v>
      </c>
      <c r="N725" s="235">
        <f t="shared" si="46"/>
        <v>16500</v>
      </c>
      <c r="O725" s="235">
        <f t="shared" si="47"/>
        <v>0</v>
      </c>
      <c r="P725" s="238" t="s">
        <v>2082</v>
      </c>
      <c r="Q725" s="1" t="s">
        <v>2505</v>
      </c>
      <c r="R725" s="239" t="s">
        <v>2082</v>
      </c>
      <c r="S725" s="238" t="s">
        <v>2082</v>
      </c>
      <c r="T725" s="238" t="s">
        <v>2082</v>
      </c>
      <c r="U725" s="238" t="s">
        <v>2082</v>
      </c>
      <c r="V725" s="238" t="s">
        <v>3519</v>
      </c>
      <c r="W725" s="236" t="s">
        <v>3520</v>
      </c>
      <c r="X725" s="233">
        <v>41205</v>
      </c>
      <c r="Y725" s="238" t="s">
        <v>3517</v>
      </c>
      <c r="AB725" s="1" t="s">
        <v>2079</v>
      </c>
    </row>
    <row r="726" spans="1:28" ht="11.25" customHeight="1">
      <c r="A726" s="233">
        <v>41178</v>
      </c>
      <c r="B726" s="1" t="s">
        <v>3515</v>
      </c>
      <c r="C726" s="383" t="s">
        <v>2080</v>
      </c>
      <c r="D726" s="230" t="s">
        <v>1916</v>
      </c>
      <c r="E726" s="5">
        <v>6800</v>
      </c>
      <c r="F726" s="5">
        <v>11</v>
      </c>
      <c r="G726" s="1" t="s">
        <v>2086</v>
      </c>
      <c r="H726" s="234">
        <v>898</v>
      </c>
      <c r="I726" s="236">
        <f t="shared" si="45"/>
        <v>9878</v>
      </c>
      <c r="K726" s="266">
        <f>420*F726</f>
        <v>4620</v>
      </c>
      <c r="L726" s="237">
        <v>41310</v>
      </c>
      <c r="M726" s="1" t="s">
        <v>4997</v>
      </c>
      <c r="N726" s="235">
        <f t="shared" si="46"/>
        <v>9878</v>
      </c>
      <c r="O726" s="235">
        <f t="shared" si="47"/>
        <v>0</v>
      </c>
      <c r="P726" s="238" t="s">
        <v>2082</v>
      </c>
      <c r="Q726" s="1" t="s">
        <v>2505</v>
      </c>
      <c r="R726" s="239" t="s">
        <v>2082</v>
      </c>
      <c r="S726" s="238" t="s">
        <v>2082</v>
      </c>
      <c r="T726" s="238" t="s">
        <v>2082</v>
      </c>
      <c r="U726" s="238" t="s">
        <v>2082</v>
      </c>
      <c r="V726" s="238" t="s">
        <v>3518</v>
      </c>
      <c r="W726" s="236">
        <v>11299.4</v>
      </c>
      <c r="X726" s="233">
        <v>41205</v>
      </c>
      <c r="Y726" s="238" t="s">
        <v>3517</v>
      </c>
      <c r="AB726" s="1" t="s">
        <v>2079</v>
      </c>
    </row>
    <row r="727" spans="1:28" ht="11.25" customHeight="1">
      <c r="A727" s="233">
        <v>41178</v>
      </c>
      <c r="B727" s="1" t="s">
        <v>3515</v>
      </c>
      <c r="C727" s="383" t="s">
        <v>2080</v>
      </c>
      <c r="D727" s="1" t="s">
        <v>353</v>
      </c>
      <c r="E727" s="5" t="s">
        <v>3521</v>
      </c>
      <c r="F727" s="5">
        <v>22</v>
      </c>
      <c r="G727" s="1" t="s">
        <v>2086</v>
      </c>
      <c r="H727" s="234">
        <v>35</v>
      </c>
      <c r="I727" s="236">
        <f t="shared" si="45"/>
        <v>770</v>
      </c>
      <c r="J727" s="352">
        <v>17</v>
      </c>
      <c r="K727" s="266">
        <f>17*F727</f>
        <v>374</v>
      </c>
      <c r="L727" s="237">
        <v>41310</v>
      </c>
      <c r="M727" s="1" t="s">
        <v>4997</v>
      </c>
      <c r="N727" s="235">
        <f t="shared" si="46"/>
        <v>770</v>
      </c>
      <c r="O727" s="235">
        <f t="shared" si="47"/>
        <v>0</v>
      </c>
      <c r="P727" s="238" t="s">
        <v>2082</v>
      </c>
      <c r="Q727" s="1" t="s">
        <v>2505</v>
      </c>
      <c r="R727" s="239" t="s">
        <v>2082</v>
      </c>
      <c r="S727" s="238" t="s">
        <v>2082</v>
      </c>
      <c r="T727" s="238" t="s">
        <v>2082</v>
      </c>
      <c r="U727" s="238" t="s">
        <v>2082</v>
      </c>
      <c r="V727" s="238" t="s">
        <v>3518</v>
      </c>
      <c r="W727" s="236">
        <v>11299.4</v>
      </c>
      <c r="X727" s="233">
        <v>41205</v>
      </c>
      <c r="Y727" s="238" t="s">
        <v>3517</v>
      </c>
      <c r="AB727" s="1" t="s">
        <v>2079</v>
      </c>
    </row>
    <row r="728" spans="1:28" ht="11.25" customHeight="1">
      <c r="A728" s="233">
        <v>41178</v>
      </c>
      <c r="B728" s="1" t="s">
        <v>3515</v>
      </c>
      <c r="C728" s="383" t="s">
        <v>2080</v>
      </c>
      <c r="D728" s="1" t="s">
        <v>1874</v>
      </c>
      <c r="E728" s="5" t="s">
        <v>3522</v>
      </c>
      <c r="F728" s="5">
        <v>22</v>
      </c>
      <c r="G728" s="1" t="s">
        <v>231</v>
      </c>
      <c r="H728" s="234">
        <v>9.1999999999999993</v>
      </c>
      <c r="I728" s="236">
        <f t="shared" si="45"/>
        <v>202.39999999999998</v>
      </c>
      <c r="K728" s="266">
        <f>4.78*F728</f>
        <v>105.16000000000001</v>
      </c>
      <c r="L728" s="237">
        <v>41310</v>
      </c>
      <c r="M728" s="1" t="s">
        <v>4997</v>
      </c>
      <c r="N728" s="235">
        <f t="shared" si="46"/>
        <v>202.39999999999998</v>
      </c>
      <c r="O728" s="235">
        <f t="shared" si="47"/>
        <v>0</v>
      </c>
      <c r="P728" s="238" t="s">
        <v>2082</v>
      </c>
      <c r="Q728" s="1" t="s">
        <v>2505</v>
      </c>
      <c r="R728" s="239" t="s">
        <v>2082</v>
      </c>
      <c r="S728" s="238" t="s">
        <v>2082</v>
      </c>
      <c r="T728" s="238" t="s">
        <v>2082</v>
      </c>
      <c r="U728" s="238" t="s">
        <v>2082</v>
      </c>
      <c r="V728" s="238" t="s">
        <v>3518</v>
      </c>
      <c r="W728" s="236">
        <v>11299.4</v>
      </c>
      <c r="X728" s="233">
        <v>41205</v>
      </c>
      <c r="Y728" s="238" t="s">
        <v>3517</v>
      </c>
      <c r="AB728" s="1" t="s">
        <v>2079</v>
      </c>
    </row>
    <row r="729" spans="1:28" ht="12" customHeight="1">
      <c r="A729" s="233">
        <v>41178</v>
      </c>
      <c r="B729" s="1" t="s">
        <v>3515</v>
      </c>
      <c r="C729" s="383" t="s">
        <v>2080</v>
      </c>
      <c r="D729" s="1" t="s">
        <v>263</v>
      </c>
      <c r="E729" s="5">
        <v>501</v>
      </c>
      <c r="F729" s="5">
        <v>22</v>
      </c>
      <c r="G729" s="1" t="s">
        <v>2086</v>
      </c>
      <c r="H729" s="234">
        <v>2</v>
      </c>
      <c r="I729" s="236">
        <f t="shared" si="45"/>
        <v>44</v>
      </c>
      <c r="K729" s="266">
        <f>1.39*F729</f>
        <v>30.58</v>
      </c>
      <c r="L729" s="237">
        <v>41310</v>
      </c>
      <c r="M729" s="1" t="s">
        <v>4997</v>
      </c>
      <c r="N729" s="235">
        <f t="shared" si="46"/>
        <v>44</v>
      </c>
      <c r="O729" s="235">
        <f t="shared" si="47"/>
        <v>0</v>
      </c>
      <c r="P729" s="238" t="s">
        <v>2082</v>
      </c>
      <c r="Q729" s="1" t="s">
        <v>2505</v>
      </c>
      <c r="R729" s="239" t="s">
        <v>2082</v>
      </c>
      <c r="S729" s="238" t="s">
        <v>2082</v>
      </c>
      <c r="T729" s="238" t="s">
        <v>2082</v>
      </c>
      <c r="U729" s="238" t="s">
        <v>2082</v>
      </c>
      <c r="V729" s="238" t="s">
        <v>3518</v>
      </c>
      <c r="W729" s="236">
        <v>11299.4</v>
      </c>
      <c r="X729" s="233">
        <v>41205</v>
      </c>
      <c r="Y729" s="238" t="s">
        <v>3517</v>
      </c>
      <c r="Z729" s="255" t="s">
        <v>2549</v>
      </c>
      <c r="AB729" s="1" t="s">
        <v>2079</v>
      </c>
    </row>
    <row r="730" spans="1:28" ht="11.25" customHeight="1">
      <c r="A730" s="233">
        <v>41178</v>
      </c>
      <c r="B730" s="1" t="s">
        <v>3523</v>
      </c>
      <c r="C730" s="383" t="s">
        <v>3524</v>
      </c>
      <c r="D730" s="225" t="s">
        <v>2034</v>
      </c>
      <c r="E730" s="5">
        <v>205515</v>
      </c>
      <c r="F730" s="5">
        <v>6</v>
      </c>
      <c r="G730" s="1" t="s">
        <v>2823</v>
      </c>
      <c r="H730" s="234">
        <v>25</v>
      </c>
      <c r="I730" s="236">
        <f t="shared" si="45"/>
        <v>150</v>
      </c>
      <c r="K730" s="266">
        <f>14.52*F730</f>
        <v>87.12</v>
      </c>
      <c r="L730" s="237">
        <v>41177</v>
      </c>
      <c r="M730" s="1" t="s">
        <v>2327</v>
      </c>
      <c r="N730" s="235">
        <f t="shared" si="46"/>
        <v>150</v>
      </c>
      <c r="O730" s="235">
        <f t="shared" si="47"/>
        <v>0</v>
      </c>
      <c r="P730" s="238" t="s">
        <v>3525</v>
      </c>
      <c r="Q730" s="1" t="s">
        <v>2562</v>
      </c>
      <c r="R730" s="239" t="s">
        <v>3526</v>
      </c>
      <c r="S730" s="238" t="s">
        <v>3527</v>
      </c>
      <c r="T730" s="238" t="s">
        <v>3528</v>
      </c>
      <c r="U730" s="238" t="s">
        <v>3529</v>
      </c>
      <c r="AB730" s="1" t="s">
        <v>2527</v>
      </c>
    </row>
    <row r="731" spans="1:28" ht="11.25" customHeight="1">
      <c r="A731" s="233">
        <v>41178</v>
      </c>
      <c r="B731" s="1" t="s">
        <v>3530</v>
      </c>
      <c r="C731" s="383" t="s">
        <v>2080</v>
      </c>
      <c r="D731" s="1" t="s">
        <v>2028</v>
      </c>
      <c r="E731" s="5" t="s">
        <v>3531</v>
      </c>
      <c r="F731" s="5">
        <v>5</v>
      </c>
      <c r="G731" s="1" t="s">
        <v>3129</v>
      </c>
      <c r="H731" s="234">
        <v>118</v>
      </c>
      <c r="I731" s="236">
        <f t="shared" si="45"/>
        <v>590</v>
      </c>
      <c r="K731" s="266">
        <f>107.64*5</f>
        <v>538.20000000000005</v>
      </c>
      <c r="L731" s="237">
        <v>41178</v>
      </c>
      <c r="M731" s="1" t="s">
        <v>2390</v>
      </c>
      <c r="N731" s="235">
        <f t="shared" si="46"/>
        <v>590</v>
      </c>
      <c r="O731" s="235">
        <f t="shared" si="47"/>
        <v>0</v>
      </c>
      <c r="P731" s="238" t="s">
        <v>3525</v>
      </c>
      <c r="Q731" s="1" t="s">
        <v>2505</v>
      </c>
      <c r="R731" s="239" t="s">
        <v>2082</v>
      </c>
      <c r="S731" s="238" t="s">
        <v>3532</v>
      </c>
      <c r="T731" s="238" t="s">
        <v>3533</v>
      </c>
      <c r="U731" s="238" t="s">
        <v>2082</v>
      </c>
      <c r="V731" s="238" t="s">
        <v>2488</v>
      </c>
      <c r="AB731" s="1" t="s">
        <v>2527</v>
      </c>
    </row>
    <row r="732" spans="1:28" ht="11.25" customHeight="1">
      <c r="A732" s="233">
        <v>41179</v>
      </c>
      <c r="B732" s="1" t="s">
        <v>2945</v>
      </c>
      <c r="C732" s="383" t="s">
        <v>2080</v>
      </c>
      <c r="D732" s="5" t="s">
        <v>2012</v>
      </c>
      <c r="E732" s="5" t="s">
        <v>3436</v>
      </c>
      <c r="F732" s="5">
        <v>3000</v>
      </c>
      <c r="G732" s="1" t="s">
        <v>4970</v>
      </c>
      <c r="H732" s="234">
        <v>1.6</v>
      </c>
      <c r="I732" s="236">
        <f t="shared" si="45"/>
        <v>4800</v>
      </c>
      <c r="J732" s="360">
        <v>1.36</v>
      </c>
      <c r="K732" s="266">
        <f>1.36*F732</f>
        <v>4080.0000000000005</v>
      </c>
      <c r="L732" s="237">
        <v>41178</v>
      </c>
      <c r="M732" s="1" t="s">
        <v>2327</v>
      </c>
      <c r="N732" s="235">
        <f t="shared" si="46"/>
        <v>4800</v>
      </c>
      <c r="O732" s="235">
        <f t="shared" si="47"/>
        <v>0</v>
      </c>
      <c r="P732" s="238" t="s">
        <v>3534</v>
      </c>
      <c r="Q732" s="1" t="s">
        <v>3535</v>
      </c>
      <c r="R732" s="239" t="s">
        <v>3536</v>
      </c>
      <c r="S732" s="238" t="s">
        <v>3537</v>
      </c>
      <c r="T732" s="238" t="s">
        <v>3538</v>
      </c>
      <c r="U732" s="238" t="s">
        <v>3539</v>
      </c>
      <c r="V732" s="238" t="s">
        <v>2488</v>
      </c>
      <c r="AB732" s="1" t="s">
        <v>2527</v>
      </c>
    </row>
    <row r="733" spans="1:28" ht="11.25" customHeight="1">
      <c r="A733" s="233">
        <v>41180</v>
      </c>
      <c r="B733" s="1" t="s">
        <v>2709</v>
      </c>
      <c r="C733" s="1" t="s">
        <v>2080</v>
      </c>
      <c r="D733" s="1" t="s">
        <v>2029</v>
      </c>
      <c r="E733" s="5">
        <v>11329</v>
      </c>
      <c r="F733" s="5">
        <v>2</v>
      </c>
      <c r="G733" s="1" t="s">
        <v>2398</v>
      </c>
      <c r="H733" s="234">
        <v>23.1</v>
      </c>
      <c r="I733" s="236">
        <f t="shared" si="45"/>
        <v>46.2</v>
      </c>
      <c r="K733" s="266">
        <f>22.11*F733</f>
        <v>44.22</v>
      </c>
      <c r="L733" s="237">
        <v>41180</v>
      </c>
      <c r="M733" s="1" t="s">
        <v>2390</v>
      </c>
      <c r="N733" s="235">
        <f t="shared" si="46"/>
        <v>46.2</v>
      </c>
      <c r="O733" s="235">
        <f t="shared" si="47"/>
        <v>0</v>
      </c>
      <c r="P733" s="238" t="s">
        <v>3540</v>
      </c>
      <c r="Q733" s="1" t="s">
        <v>2212</v>
      </c>
      <c r="R733" s="239" t="s">
        <v>2082</v>
      </c>
      <c r="S733" s="238" t="s">
        <v>2082</v>
      </c>
      <c r="T733" s="238" t="s">
        <v>2082</v>
      </c>
      <c r="U733" s="238" t="s">
        <v>2082</v>
      </c>
      <c r="V733" s="238" t="s">
        <v>3541</v>
      </c>
      <c r="W733" s="236">
        <v>4372.8</v>
      </c>
      <c r="X733" s="233">
        <v>41205</v>
      </c>
      <c r="Y733" s="5" t="s">
        <v>2212</v>
      </c>
      <c r="Z733" s="255" t="s">
        <v>2549</v>
      </c>
      <c r="AB733" s="1" t="s">
        <v>2527</v>
      </c>
    </row>
    <row r="734" spans="1:28" ht="11.25" customHeight="1">
      <c r="A734" s="233">
        <v>41180</v>
      </c>
      <c r="B734" s="1" t="s">
        <v>3542</v>
      </c>
      <c r="C734" s="1" t="s">
        <v>2080</v>
      </c>
      <c r="D734" s="1" t="s">
        <v>86</v>
      </c>
      <c r="E734" s="5">
        <v>9032</v>
      </c>
      <c r="F734" s="5">
        <v>500</v>
      </c>
      <c r="G734" s="1" t="s">
        <v>2086</v>
      </c>
      <c r="H734" s="234">
        <v>2.2000000000000002</v>
      </c>
      <c r="I734" s="236">
        <f t="shared" si="45"/>
        <v>1100</v>
      </c>
      <c r="K734" s="266">
        <f>1.4929*F734</f>
        <v>746.44999999999993</v>
      </c>
      <c r="L734" s="237">
        <v>41121</v>
      </c>
      <c r="M734" s="1" t="s">
        <v>2390</v>
      </c>
      <c r="N734" s="235">
        <f t="shared" si="46"/>
        <v>1100</v>
      </c>
      <c r="O734" s="235">
        <f t="shared" si="47"/>
        <v>0</v>
      </c>
      <c r="P734" s="238" t="s">
        <v>3543</v>
      </c>
      <c r="Q734" s="1" t="s">
        <v>2212</v>
      </c>
      <c r="R734" s="239" t="s">
        <v>3544</v>
      </c>
      <c r="S734" s="238" t="s">
        <v>3545</v>
      </c>
      <c r="T734" s="238" t="s">
        <v>3546</v>
      </c>
      <c r="U734" s="238" t="s">
        <v>2082</v>
      </c>
      <c r="V734" s="238" t="s">
        <v>2488</v>
      </c>
      <c r="AB734" s="1" t="s">
        <v>2079</v>
      </c>
    </row>
    <row r="735" spans="1:28" ht="11.25" customHeight="1">
      <c r="A735" s="233">
        <v>41180</v>
      </c>
      <c r="B735" s="1" t="s">
        <v>3542</v>
      </c>
      <c r="C735" s="1" t="s">
        <v>2080</v>
      </c>
      <c r="D735" s="1" t="s">
        <v>69</v>
      </c>
      <c r="E735" s="5">
        <v>1100</v>
      </c>
      <c r="F735" s="5">
        <v>50</v>
      </c>
      <c r="G735" s="1" t="s">
        <v>2398</v>
      </c>
      <c r="H735" s="234">
        <v>0.8</v>
      </c>
      <c r="I735" s="236">
        <f t="shared" si="45"/>
        <v>40</v>
      </c>
      <c r="K735" s="266">
        <f>0.375*F735</f>
        <v>18.75</v>
      </c>
      <c r="L735" s="237">
        <v>41121</v>
      </c>
      <c r="M735" s="1" t="s">
        <v>2390</v>
      </c>
      <c r="N735" s="235">
        <f t="shared" si="46"/>
        <v>40</v>
      </c>
      <c r="O735" s="235">
        <f t="shared" si="47"/>
        <v>0</v>
      </c>
      <c r="P735" s="238" t="s">
        <v>3543</v>
      </c>
      <c r="Q735" s="1" t="s">
        <v>2212</v>
      </c>
      <c r="R735" s="239" t="s">
        <v>3544</v>
      </c>
      <c r="S735" s="238" t="s">
        <v>3545</v>
      </c>
      <c r="T735" s="238" t="s">
        <v>3546</v>
      </c>
      <c r="U735" s="238" t="s">
        <v>2082</v>
      </c>
      <c r="V735" s="238" t="s">
        <v>2488</v>
      </c>
      <c r="Z735" s="255" t="s">
        <v>2549</v>
      </c>
      <c r="AB735" s="1" t="s">
        <v>2079</v>
      </c>
    </row>
    <row r="736" spans="1:28" ht="11.25" customHeight="1">
      <c r="A736" s="233">
        <v>41180</v>
      </c>
      <c r="B736" s="1" t="s">
        <v>3542</v>
      </c>
      <c r="C736" s="1" t="s">
        <v>2080</v>
      </c>
      <c r="D736" s="1" t="s">
        <v>307</v>
      </c>
      <c r="E736" s="5">
        <v>1110</v>
      </c>
      <c r="F736" s="5">
        <v>100</v>
      </c>
      <c r="G736" s="1" t="s">
        <v>2398</v>
      </c>
      <c r="H736" s="234">
        <v>1.2</v>
      </c>
      <c r="I736" s="236">
        <f t="shared" si="45"/>
        <v>120</v>
      </c>
      <c r="K736" s="266">
        <f>0.77*F736</f>
        <v>77</v>
      </c>
      <c r="L736" s="237">
        <v>41121</v>
      </c>
      <c r="M736" s="1" t="s">
        <v>2390</v>
      </c>
      <c r="N736" s="235">
        <f t="shared" si="46"/>
        <v>120</v>
      </c>
      <c r="O736" s="235">
        <f t="shared" si="47"/>
        <v>0</v>
      </c>
      <c r="P736" s="238" t="s">
        <v>3543</v>
      </c>
      <c r="Q736" s="1" t="s">
        <v>2212</v>
      </c>
      <c r="R736" s="239" t="s">
        <v>3544</v>
      </c>
      <c r="S736" s="238" t="s">
        <v>3545</v>
      </c>
      <c r="T736" s="238" t="s">
        <v>3546</v>
      </c>
      <c r="U736" s="238" t="s">
        <v>2082</v>
      </c>
      <c r="V736" s="238" t="s">
        <v>2488</v>
      </c>
      <c r="AB736" s="1" t="s">
        <v>2079</v>
      </c>
    </row>
    <row r="737" spans="1:28" ht="11.25" customHeight="1">
      <c r="A737" s="233">
        <v>41180</v>
      </c>
      <c r="B737" s="1" t="s">
        <v>3542</v>
      </c>
      <c r="C737" s="1" t="s">
        <v>2080</v>
      </c>
      <c r="D737" s="1" t="s">
        <v>304</v>
      </c>
      <c r="E737" s="5">
        <v>1426</v>
      </c>
      <c r="F737" s="5">
        <v>5</v>
      </c>
      <c r="G737" s="5" t="s">
        <v>2398</v>
      </c>
      <c r="H737" s="234">
        <v>29</v>
      </c>
      <c r="I737" s="236">
        <f t="shared" si="45"/>
        <v>145</v>
      </c>
      <c r="K737" s="266">
        <f>19.422*F737</f>
        <v>97.11</v>
      </c>
      <c r="L737" s="237">
        <v>41121</v>
      </c>
      <c r="M737" s="1" t="s">
        <v>2390</v>
      </c>
      <c r="N737" s="235">
        <f t="shared" si="46"/>
        <v>145</v>
      </c>
      <c r="O737" s="235">
        <f t="shared" si="47"/>
        <v>0</v>
      </c>
      <c r="P737" s="238" t="s">
        <v>3543</v>
      </c>
      <c r="Q737" s="1" t="s">
        <v>2212</v>
      </c>
      <c r="R737" s="239" t="s">
        <v>3544</v>
      </c>
      <c r="S737" s="238" t="s">
        <v>3545</v>
      </c>
      <c r="T737" s="238" t="s">
        <v>3546</v>
      </c>
      <c r="U737" s="238" t="s">
        <v>2082</v>
      </c>
      <c r="V737" s="238" t="s">
        <v>2488</v>
      </c>
      <c r="AB737" s="1" t="s">
        <v>2079</v>
      </c>
    </row>
    <row r="738" spans="1:28" ht="11.25" customHeight="1">
      <c r="A738" s="233">
        <v>41180</v>
      </c>
      <c r="B738" s="1" t="s">
        <v>3542</v>
      </c>
      <c r="C738" s="1" t="s">
        <v>2080</v>
      </c>
      <c r="D738" s="1" t="s">
        <v>1871</v>
      </c>
      <c r="E738" s="5">
        <v>8247</v>
      </c>
      <c r="F738" s="5">
        <v>10</v>
      </c>
      <c r="G738" s="1" t="s">
        <v>2490</v>
      </c>
      <c r="H738" s="234">
        <v>19</v>
      </c>
      <c r="I738" s="236">
        <f t="shared" si="45"/>
        <v>190</v>
      </c>
      <c r="K738" s="241">
        <f>12.35*F738</f>
        <v>123.5</v>
      </c>
      <c r="L738" s="237">
        <v>41121</v>
      </c>
      <c r="M738" s="1" t="s">
        <v>2390</v>
      </c>
      <c r="N738" s="235">
        <f t="shared" si="46"/>
        <v>190</v>
      </c>
      <c r="O738" s="235">
        <f t="shared" si="47"/>
        <v>0</v>
      </c>
      <c r="P738" s="238" t="s">
        <v>3543</v>
      </c>
      <c r="Q738" s="1" t="s">
        <v>2212</v>
      </c>
      <c r="R738" s="239" t="s">
        <v>3544</v>
      </c>
      <c r="S738" s="238" t="s">
        <v>3545</v>
      </c>
      <c r="T738" s="238" t="s">
        <v>3546</v>
      </c>
      <c r="U738" s="238" t="s">
        <v>2082</v>
      </c>
      <c r="V738" s="238" t="s">
        <v>2488</v>
      </c>
      <c r="Z738" s="255" t="s">
        <v>2549</v>
      </c>
      <c r="AB738" s="1" t="s">
        <v>2079</v>
      </c>
    </row>
    <row r="739" spans="1:28" ht="11.25" customHeight="1">
      <c r="A739" s="233">
        <v>41180</v>
      </c>
      <c r="B739" s="1" t="s">
        <v>3542</v>
      </c>
      <c r="C739" s="1" t="s">
        <v>2080</v>
      </c>
      <c r="D739" s="1" t="s">
        <v>840</v>
      </c>
      <c r="E739" s="5">
        <v>10197</v>
      </c>
      <c r="F739" s="5">
        <v>1</v>
      </c>
      <c r="G739" s="1" t="s">
        <v>2398</v>
      </c>
      <c r="H739" s="234">
        <v>55</v>
      </c>
      <c r="I739" s="236">
        <f t="shared" si="45"/>
        <v>55</v>
      </c>
      <c r="K739" s="266">
        <f>39.078*F739</f>
        <v>39.078000000000003</v>
      </c>
      <c r="L739" s="237">
        <v>41121</v>
      </c>
      <c r="M739" s="1" t="s">
        <v>2390</v>
      </c>
      <c r="N739" s="235">
        <f t="shared" si="46"/>
        <v>55</v>
      </c>
      <c r="O739" s="235">
        <f t="shared" si="47"/>
        <v>0</v>
      </c>
      <c r="P739" s="238" t="s">
        <v>3547</v>
      </c>
      <c r="Q739" s="1" t="s">
        <v>2212</v>
      </c>
      <c r="R739" s="239" t="s">
        <v>3544</v>
      </c>
      <c r="S739" s="238" t="s">
        <v>3545</v>
      </c>
      <c r="T739" s="238" t="s">
        <v>3546</v>
      </c>
      <c r="U739" s="238" t="s">
        <v>2082</v>
      </c>
      <c r="V739" s="238" t="s">
        <v>2488</v>
      </c>
      <c r="AB739" s="1" t="s">
        <v>2079</v>
      </c>
    </row>
    <row r="740" spans="1:28" ht="11.25" customHeight="1">
      <c r="A740" s="233">
        <v>41180</v>
      </c>
      <c r="B740" s="1" t="s">
        <v>3542</v>
      </c>
      <c r="C740" s="1" t="s">
        <v>2080</v>
      </c>
      <c r="D740" s="1" t="s">
        <v>6581</v>
      </c>
      <c r="E740" s="5">
        <v>8512</v>
      </c>
      <c r="F740" s="5">
        <v>1</v>
      </c>
      <c r="G740" s="1" t="s">
        <v>170</v>
      </c>
      <c r="H740" s="234">
        <v>60</v>
      </c>
      <c r="I740" s="236">
        <f t="shared" si="45"/>
        <v>60</v>
      </c>
      <c r="K740" s="266">
        <f>46.66*F740</f>
        <v>46.66</v>
      </c>
      <c r="L740" s="237">
        <v>41121</v>
      </c>
      <c r="M740" s="1" t="s">
        <v>2390</v>
      </c>
      <c r="N740" s="235">
        <f t="shared" si="46"/>
        <v>60</v>
      </c>
      <c r="O740" s="235">
        <f t="shared" si="47"/>
        <v>0</v>
      </c>
      <c r="P740" s="238" t="s">
        <v>3547</v>
      </c>
      <c r="Q740" s="1" t="s">
        <v>2212</v>
      </c>
      <c r="R740" s="239" t="s">
        <v>3544</v>
      </c>
      <c r="S740" s="238" t="s">
        <v>3545</v>
      </c>
      <c r="T740" s="238" t="s">
        <v>3546</v>
      </c>
      <c r="U740" s="238" t="s">
        <v>2082</v>
      </c>
      <c r="V740" s="238" t="s">
        <v>2488</v>
      </c>
      <c r="Z740" s="255" t="s">
        <v>2549</v>
      </c>
      <c r="AB740" s="1" t="s">
        <v>2079</v>
      </c>
    </row>
    <row r="741" spans="1:28" ht="11.25" customHeight="1">
      <c r="A741" s="233">
        <v>41180</v>
      </c>
      <c r="B741" s="1" t="s">
        <v>3542</v>
      </c>
      <c r="C741" s="1" t="s">
        <v>2080</v>
      </c>
      <c r="D741" s="1" t="s">
        <v>1934</v>
      </c>
      <c r="E741" s="5">
        <v>1110</v>
      </c>
      <c r="F741" s="5">
        <v>100</v>
      </c>
      <c r="G741" s="1" t="s">
        <v>2398</v>
      </c>
      <c r="H741" s="234">
        <v>1.2</v>
      </c>
      <c r="I741" s="236">
        <f t="shared" si="45"/>
        <v>120</v>
      </c>
      <c r="K741" s="266">
        <f>0.77*F741</f>
        <v>77</v>
      </c>
      <c r="L741" s="237">
        <v>41121</v>
      </c>
      <c r="M741" s="1" t="s">
        <v>2390</v>
      </c>
      <c r="N741" s="235">
        <f t="shared" si="46"/>
        <v>120</v>
      </c>
      <c r="O741" s="235">
        <f t="shared" si="47"/>
        <v>0</v>
      </c>
      <c r="P741" s="238" t="s">
        <v>3547</v>
      </c>
      <c r="Q741" s="1" t="s">
        <v>2212</v>
      </c>
      <c r="R741" s="239" t="s">
        <v>3544</v>
      </c>
      <c r="S741" s="238" t="s">
        <v>3545</v>
      </c>
      <c r="T741" s="238" t="s">
        <v>3546</v>
      </c>
      <c r="U741" s="238" t="s">
        <v>2082</v>
      </c>
      <c r="V741" s="238" t="s">
        <v>2488</v>
      </c>
      <c r="AB741" s="1" t="s">
        <v>2079</v>
      </c>
    </row>
    <row r="742" spans="1:28" ht="11.25" customHeight="1">
      <c r="A742" s="233">
        <v>41180</v>
      </c>
      <c r="B742" s="1" t="s">
        <v>3430</v>
      </c>
      <c r="C742" s="1" t="s">
        <v>2080</v>
      </c>
      <c r="D742" s="1" t="s">
        <v>1213</v>
      </c>
      <c r="E742" s="5" t="s">
        <v>3548</v>
      </c>
      <c r="F742" s="5">
        <v>200</v>
      </c>
      <c r="G742" s="1" t="s">
        <v>2398</v>
      </c>
      <c r="H742" s="234">
        <v>20</v>
      </c>
      <c r="I742" s="236">
        <f t="shared" si="45"/>
        <v>4000</v>
      </c>
      <c r="K742" s="274">
        <f>13*F742</f>
        <v>2600</v>
      </c>
      <c r="L742" s="237">
        <v>41180</v>
      </c>
      <c r="M742" s="1" t="s">
        <v>2327</v>
      </c>
      <c r="N742" s="235">
        <f t="shared" si="46"/>
        <v>4000</v>
      </c>
      <c r="O742" s="235">
        <f t="shared" si="47"/>
        <v>0</v>
      </c>
      <c r="P742" s="238" t="s">
        <v>3549</v>
      </c>
      <c r="Q742" s="1" t="s">
        <v>2560</v>
      </c>
      <c r="R742" s="239" t="s">
        <v>3432</v>
      </c>
      <c r="S742" s="238" t="s">
        <v>3550</v>
      </c>
      <c r="T742" s="238" t="s">
        <v>3551</v>
      </c>
      <c r="U742" s="238" t="s">
        <v>3552</v>
      </c>
      <c r="V742" s="238" t="s">
        <v>2488</v>
      </c>
      <c r="AB742" s="1" t="s">
        <v>2527</v>
      </c>
    </row>
    <row r="743" spans="1:28" ht="11.25" customHeight="1">
      <c r="A743" s="233">
        <v>41190</v>
      </c>
      <c r="B743" s="1" t="s">
        <v>2169</v>
      </c>
      <c r="C743" s="1" t="s">
        <v>2080</v>
      </c>
      <c r="D743" s="1" t="s">
        <v>305</v>
      </c>
      <c r="E743" s="5">
        <v>1270</v>
      </c>
      <c r="F743" s="5">
        <v>300</v>
      </c>
      <c r="G743" s="1" t="s">
        <v>2398</v>
      </c>
      <c r="H743" s="234">
        <v>4.4400000000000004</v>
      </c>
      <c r="I743" s="236">
        <f t="shared" si="45"/>
        <v>1332.0000000000002</v>
      </c>
      <c r="K743" s="266">
        <f>4.31*300</f>
        <v>1292.9999999999998</v>
      </c>
      <c r="L743" s="237">
        <v>41227</v>
      </c>
      <c r="M743" s="1" t="s">
        <v>2077</v>
      </c>
      <c r="N743" s="235">
        <f t="shared" si="46"/>
        <v>1332.0000000000002</v>
      </c>
      <c r="O743" s="235">
        <f t="shared" si="47"/>
        <v>0</v>
      </c>
      <c r="P743" s="238" t="s">
        <v>2082</v>
      </c>
      <c r="Q743" s="1" t="s">
        <v>2575</v>
      </c>
      <c r="R743" s="239" t="s">
        <v>2618</v>
      </c>
      <c r="S743" s="238" t="s">
        <v>2619</v>
      </c>
      <c r="T743" s="238" t="s">
        <v>2700</v>
      </c>
      <c r="U743" s="238" t="s">
        <v>3553</v>
      </c>
      <c r="V743" s="238" t="s">
        <v>3398</v>
      </c>
      <c r="W743" s="236">
        <v>8966.2000000000007</v>
      </c>
      <c r="X743" s="233">
        <v>41200</v>
      </c>
      <c r="Y743" s="238" t="s">
        <v>3162</v>
      </c>
      <c r="AB743" s="1" t="s">
        <v>2527</v>
      </c>
    </row>
    <row r="744" spans="1:28" ht="11.25" customHeight="1">
      <c r="A744" s="233">
        <v>41190</v>
      </c>
      <c r="B744" s="1" t="s">
        <v>3554</v>
      </c>
      <c r="C744" s="1" t="s">
        <v>2080</v>
      </c>
      <c r="D744" s="1" t="s">
        <v>307</v>
      </c>
      <c r="E744" s="5">
        <v>1110</v>
      </c>
      <c r="F744" s="5">
        <v>500</v>
      </c>
      <c r="G744" s="1" t="s">
        <v>2398</v>
      </c>
      <c r="H744" s="234">
        <v>0.82</v>
      </c>
      <c r="I744" s="235">
        <f t="shared" si="45"/>
        <v>410</v>
      </c>
      <c r="K744" s="266">
        <f>0.73*F744</f>
        <v>365</v>
      </c>
      <c r="L744" s="237">
        <v>41190</v>
      </c>
      <c r="M744" s="1" t="s">
        <v>2327</v>
      </c>
      <c r="N744" s="235">
        <f t="shared" si="46"/>
        <v>410</v>
      </c>
      <c r="O744" s="235">
        <f t="shared" si="47"/>
        <v>0</v>
      </c>
      <c r="P744" s="238" t="s">
        <v>3555</v>
      </c>
      <c r="Q744" s="1" t="s">
        <v>3556</v>
      </c>
      <c r="R744" s="239" t="s">
        <v>3557</v>
      </c>
      <c r="S744" s="238" t="s">
        <v>3558</v>
      </c>
      <c r="U744" s="238" t="s">
        <v>3559</v>
      </c>
      <c r="V744" s="238" t="s">
        <v>2488</v>
      </c>
      <c r="AB744" s="1" t="s">
        <v>2527</v>
      </c>
    </row>
    <row r="745" spans="1:28" ht="11.25" customHeight="1">
      <c r="A745" s="233">
        <v>41191</v>
      </c>
      <c r="B745" s="1" t="s">
        <v>3467</v>
      </c>
      <c r="C745" s="1" t="s">
        <v>2080</v>
      </c>
      <c r="D745" s="5" t="s">
        <v>2014</v>
      </c>
      <c r="E745" s="5">
        <v>7502</v>
      </c>
      <c r="F745" s="5">
        <v>10</v>
      </c>
      <c r="G745" s="1" t="s">
        <v>2086</v>
      </c>
      <c r="H745" s="234">
        <v>158</v>
      </c>
      <c r="I745" s="236">
        <f t="shared" si="45"/>
        <v>1580</v>
      </c>
      <c r="J745" s="352">
        <v>105</v>
      </c>
      <c r="K745" s="266">
        <f>105*F745</f>
        <v>1050</v>
      </c>
      <c r="L745" s="237">
        <v>41243</v>
      </c>
      <c r="M745" s="1" t="s">
        <v>2077</v>
      </c>
      <c r="N745" s="235">
        <f t="shared" si="46"/>
        <v>1580</v>
      </c>
      <c r="O745" s="235">
        <f t="shared" si="47"/>
        <v>0</v>
      </c>
      <c r="P745" s="238" t="s">
        <v>3560</v>
      </c>
      <c r="Q745" s="1" t="s">
        <v>2212</v>
      </c>
      <c r="R745" s="239" t="s">
        <v>3469</v>
      </c>
      <c r="S745" s="238" t="s">
        <v>3561</v>
      </c>
      <c r="T745" s="238" t="s">
        <v>2394</v>
      </c>
      <c r="U745" s="238" t="s">
        <v>2082</v>
      </c>
      <c r="V745" s="238" t="s">
        <v>3471</v>
      </c>
      <c r="W745" s="236">
        <v>5859</v>
      </c>
      <c r="X745" s="233">
        <v>41201</v>
      </c>
      <c r="Y745" s="238" t="s">
        <v>3472</v>
      </c>
      <c r="AB745" s="1" t="s">
        <v>2079</v>
      </c>
    </row>
    <row r="746" spans="1:28" ht="11.25" customHeight="1">
      <c r="A746" s="233">
        <v>41191</v>
      </c>
      <c r="B746" s="1" t="s">
        <v>3467</v>
      </c>
      <c r="C746" s="1" t="s">
        <v>2080</v>
      </c>
      <c r="D746" s="1" t="s">
        <v>1882</v>
      </c>
      <c r="E746" s="5" t="s">
        <v>3521</v>
      </c>
      <c r="F746" s="5">
        <v>20</v>
      </c>
      <c r="G746" s="1" t="s">
        <v>2086</v>
      </c>
      <c r="H746" s="234">
        <v>28.5</v>
      </c>
      <c r="I746" s="236">
        <f t="shared" si="45"/>
        <v>570</v>
      </c>
      <c r="J746" s="352">
        <v>17</v>
      </c>
      <c r="K746" s="266">
        <f>17*20</f>
        <v>340</v>
      </c>
      <c r="L746" s="237">
        <v>41243</v>
      </c>
      <c r="M746" s="1" t="s">
        <v>2077</v>
      </c>
      <c r="N746" s="235">
        <f t="shared" si="46"/>
        <v>570</v>
      </c>
      <c r="O746" s="235">
        <f t="shared" si="47"/>
        <v>0</v>
      </c>
      <c r="P746" s="238" t="s">
        <v>3560</v>
      </c>
      <c r="Q746" s="1" t="s">
        <v>2212</v>
      </c>
      <c r="R746" s="239" t="s">
        <v>3469</v>
      </c>
      <c r="S746" s="238" t="s">
        <v>3561</v>
      </c>
      <c r="T746" s="238" t="s">
        <v>2394</v>
      </c>
      <c r="U746" s="238" t="s">
        <v>2082</v>
      </c>
      <c r="V746" s="238" t="s">
        <v>3471</v>
      </c>
      <c r="W746" s="236">
        <v>5859</v>
      </c>
      <c r="X746" s="233">
        <v>41201</v>
      </c>
      <c r="Y746" s="238" t="s">
        <v>3472</v>
      </c>
      <c r="Z746" s="255" t="s">
        <v>3562</v>
      </c>
      <c r="AB746" s="1" t="s">
        <v>2079</v>
      </c>
    </row>
    <row r="747" spans="1:28" ht="11.25" customHeight="1">
      <c r="A747" s="233">
        <v>41191</v>
      </c>
      <c r="B747" s="1" t="s">
        <v>3467</v>
      </c>
      <c r="C747" s="1" t="s">
        <v>2080</v>
      </c>
      <c r="D747" s="1" t="s">
        <v>263</v>
      </c>
      <c r="E747" s="5">
        <v>501</v>
      </c>
      <c r="F747" s="5">
        <v>20</v>
      </c>
      <c r="G747" s="1" t="s">
        <v>2086</v>
      </c>
      <c r="H747" s="234">
        <v>2</v>
      </c>
      <c r="I747" s="236">
        <f t="shared" si="45"/>
        <v>40</v>
      </c>
      <c r="K747" s="266">
        <f>1.39*F747</f>
        <v>27.799999999999997</v>
      </c>
      <c r="L747" s="237">
        <v>41243</v>
      </c>
      <c r="M747" s="1" t="s">
        <v>2077</v>
      </c>
      <c r="N747" s="235">
        <f t="shared" si="46"/>
        <v>40</v>
      </c>
      <c r="O747" s="235">
        <f t="shared" si="47"/>
        <v>0</v>
      </c>
      <c r="P747" s="238" t="s">
        <v>3560</v>
      </c>
      <c r="Q747" s="1" t="s">
        <v>2212</v>
      </c>
      <c r="R747" s="239" t="s">
        <v>3469</v>
      </c>
      <c r="S747" s="238" t="s">
        <v>3561</v>
      </c>
      <c r="T747" s="238" t="s">
        <v>2394</v>
      </c>
      <c r="U747" s="238" t="s">
        <v>2082</v>
      </c>
      <c r="V747" s="238" t="s">
        <v>3471</v>
      </c>
      <c r="W747" s="236">
        <v>5859</v>
      </c>
      <c r="X747" s="233">
        <v>41201</v>
      </c>
      <c r="Y747" s="238" t="s">
        <v>3472</v>
      </c>
      <c r="Z747" s="255" t="s">
        <v>3562</v>
      </c>
      <c r="AB747" s="1" t="s">
        <v>2079</v>
      </c>
    </row>
    <row r="748" spans="1:28" ht="11.25" customHeight="1">
      <c r="A748" s="233">
        <v>41191</v>
      </c>
      <c r="B748" s="1" t="s">
        <v>3467</v>
      </c>
      <c r="C748" s="1" t="s">
        <v>2080</v>
      </c>
      <c r="D748" s="1" t="s">
        <v>1210</v>
      </c>
      <c r="E748" s="5">
        <v>3200</v>
      </c>
      <c r="F748" s="5">
        <v>20</v>
      </c>
      <c r="G748" s="1" t="s">
        <v>2086</v>
      </c>
      <c r="H748" s="234">
        <v>43.5</v>
      </c>
      <c r="I748" s="236">
        <f t="shared" si="45"/>
        <v>870</v>
      </c>
      <c r="K748" s="266">
        <f>23.94*F748</f>
        <v>478.8</v>
      </c>
      <c r="L748" s="237">
        <v>41243</v>
      </c>
      <c r="M748" s="1" t="s">
        <v>2077</v>
      </c>
      <c r="N748" s="235">
        <f t="shared" si="46"/>
        <v>870</v>
      </c>
      <c r="O748" s="235">
        <f t="shared" si="47"/>
        <v>0</v>
      </c>
      <c r="P748" s="238" t="s">
        <v>3560</v>
      </c>
      <c r="Q748" s="1" t="s">
        <v>2212</v>
      </c>
      <c r="R748" s="239" t="s">
        <v>3469</v>
      </c>
      <c r="S748" s="238" t="s">
        <v>3561</v>
      </c>
      <c r="T748" s="238" t="s">
        <v>2394</v>
      </c>
      <c r="U748" s="238" t="s">
        <v>2082</v>
      </c>
      <c r="V748" s="238" t="s">
        <v>3471</v>
      </c>
      <c r="W748" s="236">
        <v>5859</v>
      </c>
      <c r="X748" s="233">
        <v>41201</v>
      </c>
      <c r="Y748" s="238" t="s">
        <v>3472</v>
      </c>
      <c r="AB748" s="1" t="s">
        <v>2079</v>
      </c>
    </row>
    <row r="749" spans="1:28" ht="11.25" customHeight="1">
      <c r="A749" s="233">
        <v>41191</v>
      </c>
      <c r="B749" s="1" t="s">
        <v>3467</v>
      </c>
      <c r="C749" s="1" t="s">
        <v>2080</v>
      </c>
      <c r="D749" s="1" t="s">
        <v>346</v>
      </c>
      <c r="E749" s="5">
        <v>3700</v>
      </c>
      <c r="F749" s="5">
        <v>20</v>
      </c>
      <c r="G749" s="1" t="s">
        <v>2086</v>
      </c>
      <c r="H749" s="234">
        <v>5.7</v>
      </c>
      <c r="I749" s="236">
        <f t="shared" si="45"/>
        <v>114</v>
      </c>
      <c r="J749" s="352">
        <v>3.3</v>
      </c>
      <c r="K749" s="266">
        <f>3.3*F749</f>
        <v>66</v>
      </c>
      <c r="L749" s="237">
        <v>41243</v>
      </c>
      <c r="M749" s="1" t="s">
        <v>2077</v>
      </c>
      <c r="N749" s="235">
        <f t="shared" si="46"/>
        <v>114</v>
      </c>
      <c r="O749" s="235">
        <f t="shared" si="47"/>
        <v>0</v>
      </c>
      <c r="P749" s="238" t="s">
        <v>3560</v>
      </c>
      <c r="Q749" s="1" t="s">
        <v>2212</v>
      </c>
      <c r="R749" s="239" t="s">
        <v>3469</v>
      </c>
      <c r="S749" s="238" t="s">
        <v>3561</v>
      </c>
      <c r="T749" s="238" t="s">
        <v>2394</v>
      </c>
      <c r="U749" s="238" t="s">
        <v>2082</v>
      </c>
      <c r="V749" s="238" t="s">
        <v>3471</v>
      </c>
      <c r="W749" s="236">
        <v>5859</v>
      </c>
      <c r="X749" s="233">
        <v>41201</v>
      </c>
      <c r="Y749" s="238" t="s">
        <v>3472</v>
      </c>
      <c r="AB749" s="1" t="s">
        <v>2079</v>
      </c>
    </row>
    <row r="750" spans="1:28" ht="11.25" customHeight="1">
      <c r="A750" s="233">
        <v>41191</v>
      </c>
      <c r="B750" s="1" t="s">
        <v>3467</v>
      </c>
      <c r="C750" s="1" t="s">
        <v>2080</v>
      </c>
      <c r="D750" s="1" t="s">
        <v>232</v>
      </c>
      <c r="E750" s="5" t="s">
        <v>3563</v>
      </c>
      <c r="F750" s="5">
        <v>20</v>
      </c>
      <c r="G750" s="1" t="s">
        <v>2490</v>
      </c>
      <c r="H750" s="234">
        <v>2.8</v>
      </c>
      <c r="I750" s="236">
        <f t="shared" si="45"/>
        <v>56</v>
      </c>
      <c r="J750" s="359">
        <v>1.7</v>
      </c>
      <c r="K750" s="266">
        <f>1.7*F750</f>
        <v>34</v>
      </c>
      <c r="L750" s="237">
        <v>41243</v>
      </c>
      <c r="M750" s="1" t="s">
        <v>2077</v>
      </c>
      <c r="N750" s="235">
        <f t="shared" si="46"/>
        <v>56</v>
      </c>
      <c r="O750" s="235">
        <f t="shared" si="47"/>
        <v>0</v>
      </c>
      <c r="P750" s="238" t="s">
        <v>3560</v>
      </c>
      <c r="Q750" s="1" t="s">
        <v>2212</v>
      </c>
      <c r="R750" s="239" t="s">
        <v>3469</v>
      </c>
      <c r="S750" s="238" t="s">
        <v>3561</v>
      </c>
      <c r="T750" s="238" t="s">
        <v>2394</v>
      </c>
      <c r="U750" s="238" t="s">
        <v>2082</v>
      </c>
      <c r="V750" s="238" t="s">
        <v>3471</v>
      </c>
      <c r="W750" s="236">
        <v>5859</v>
      </c>
      <c r="X750" s="233">
        <v>41201</v>
      </c>
      <c r="Y750" s="238" t="s">
        <v>3472</v>
      </c>
      <c r="AB750" s="1" t="s">
        <v>2079</v>
      </c>
    </row>
    <row r="751" spans="1:28" ht="11.25" customHeight="1">
      <c r="A751" s="233">
        <v>41191</v>
      </c>
      <c r="B751" s="1" t="s">
        <v>3467</v>
      </c>
      <c r="C751" s="1" t="s">
        <v>2080</v>
      </c>
      <c r="D751" s="1" t="s">
        <v>2029</v>
      </c>
      <c r="E751" s="5">
        <v>11329</v>
      </c>
      <c r="F751" s="5">
        <v>6</v>
      </c>
      <c r="G751" s="1" t="s">
        <v>2398</v>
      </c>
      <c r="H751" s="234">
        <v>19</v>
      </c>
      <c r="I751" s="236">
        <f t="shared" si="45"/>
        <v>114</v>
      </c>
      <c r="K751" s="266">
        <f>5.94*F751</f>
        <v>35.64</v>
      </c>
      <c r="L751" s="237">
        <v>41243</v>
      </c>
      <c r="M751" s="1" t="s">
        <v>2077</v>
      </c>
      <c r="N751" s="235">
        <f t="shared" si="46"/>
        <v>114</v>
      </c>
      <c r="O751" s="235">
        <f t="shared" si="47"/>
        <v>0</v>
      </c>
      <c r="P751" s="238" t="s">
        <v>3560</v>
      </c>
      <c r="Q751" s="1" t="s">
        <v>2212</v>
      </c>
      <c r="R751" s="239" t="s">
        <v>3469</v>
      </c>
      <c r="S751" s="238" t="s">
        <v>3561</v>
      </c>
      <c r="T751" s="238" t="s">
        <v>2394</v>
      </c>
      <c r="U751" s="239" t="s">
        <v>2082</v>
      </c>
      <c r="V751" s="238" t="s">
        <v>3471</v>
      </c>
      <c r="W751" s="236">
        <v>5859</v>
      </c>
      <c r="X751" s="233">
        <v>41201</v>
      </c>
      <c r="Y751" s="238" t="s">
        <v>3472</v>
      </c>
      <c r="AB751" s="1" t="s">
        <v>2079</v>
      </c>
    </row>
    <row r="752" spans="1:28" s="5" customFormat="1" ht="11.25" customHeight="1">
      <c r="A752" s="233">
        <v>41191</v>
      </c>
      <c r="B752" s="1" t="s">
        <v>3373</v>
      </c>
      <c r="C752" s="276" t="s">
        <v>2080</v>
      </c>
      <c r="D752" s="1" t="s">
        <v>1213</v>
      </c>
      <c r="E752" s="5" t="s">
        <v>3548</v>
      </c>
      <c r="F752" s="5">
        <v>200</v>
      </c>
      <c r="G752" s="1" t="s">
        <v>2398</v>
      </c>
      <c r="H752" s="234">
        <v>21</v>
      </c>
      <c r="I752" s="235">
        <f t="shared" si="45"/>
        <v>4200</v>
      </c>
      <c r="J752" s="352"/>
      <c r="K752" s="274">
        <f>13*F752</f>
        <v>2600</v>
      </c>
      <c r="L752" s="237">
        <v>41191</v>
      </c>
      <c r="M752" s="1" t="s">
        <v>2077</v>
      </c>
      <c r="N752" s="235">
        <f t="shared" si="46"/>
        <v>4200</v>
      </c>
      <c r="O752" s="235">
        <f t="shared" si="47"/>
        <v>0</v>
      </c>
      <c r="P752" s="238" t="s">
        <v>3564</v>
      </c>
      <c r="Q752" s="1" t="s">
        <v>2511</v>
      </c>
      <c r="R752" s="239" t="s">
        <v>3565</v>
      </c>
      <c r="S752" s="238" t="s">
        <v>3480</v>
      </c>
      <c r="T752" s="238" t="s">
        <v>3566</v>
      </c>
      <c r="U752" s="238" t="s">
        <v>3567</v>
      </c>
      <c r="V752" s="238" t="s">
        <v>3483</v>
      </c>
      <c r="W752" s="236">
        <v>4752</v>
      </c>
      <c r="X752" s="233">
        <v>41219</v>
      </c>
      <c r="Y752" s="238" t="s">
        <v>3484</v>
      </c>
      <c r="Z752" s="255"/>
      <c r="AA752" s="240"/>
      <c r="AB752" s="1" t="s">
        <v>2527</v>
      </c>
    </row>
    <row r="753" spans="1:28" s="5" customFormat="1" ht="11.25" customHeight="1">
      <c r="A753" s="7">
        <v>41191</v>
      </c>
      <c r="B753" s="5" t="s">
        <v>3568</v>
      </c>
      <c r="C753" s="277" t="s">
        <v>3569</v>
      </c>
      <c r="D753" s="5" t="s">
        <v>854</v>
      </c>
      <c r="E753" s="5">
        <v>9031</v>
      </c>
      <c r="F753" s="5">
        <v>500</v>
      </c>
      <c r="G753" s="232" t="s">
        <v>2086</v>
      </c>
      <c r="H753" s="243">
        <v>2.4</v>
      </c>
      <c r="I753" s="235">
        <f t="shared" si="45"/>
        <v>1200</v>
      </c>
      <c r="J753" s="361"/>
      <c r="K753" s="266">
        <f>1.49292*F753</f>
        <v>746.46</v>
      </c>
      <c r="L753" s="245">
        <v>41192</v>
      </c>
      <c r="M753" s="5" t="s">
        <v>2077</v>
      </c>
      <c r="N753" s="235">
        <f t="shared" si="46"/>
        <v>1200</v>
      </c>
      <c r="O753" s="235">
        <f t="shared" si="47"/>
        <v>0</v>
      </c>
      <c r="P753" s="246" t="s">
        <v>3570</v>
      </c>
      <c r="Q753" s="5" t="s">
        <v>3571</v>
      </c>
      <c r="R753" s="247" t="s">
        <v>3572</v>
      </c>
      <c r="S753" s="246" t="s">
        <v>3573</v>
      </c>
      <c r="T753" s="246"/>
      <c r="U753" s="246" t="s">
        <v>3574</v>
      </c>
      <c r="V753" s="246" t="s">
        <v>3575</v>
      </c>
      <c r="W753" s="235">
        <v>1970</v>
      </c>
      <c r="X753" s="7">
        <v>41201</v>
      </c>
      <c r="Y753" s="246" t="s">
        <v>3576</v>
      </c>
      <c r="Z753" s="273"/>
      <c r="AA753" s="248"/>
      <c r="AB753" s="5" t="s">
        <v>2079</v>
      </c>
    </row>
    <row r="754" spans="1:28" s="5" customFormat="1" ht="11.25" customHeight="1">
      <c r="A754" s="7">
        <v>41191</v>
      </c>
      <c r="B754" s="5" t="s">
        <v>3568</v>
      </c>
      <c r="C754" s="277" t="s">
        <v>3569</v>
      </c>
      <c r="D754" s="1" t="s">
        <v>2013</v>
      </c>
      <c r="E754" s="5" t="s">
        <v>3137</v>
      </c>
      <c r="F754" s="5">
        <v>5</v>
      </c>
      <c r="G754" s="5" t="s">
        <v>3129</v>
      </c>
      <c r="H754" s="243">
        <v>52</v>
      </c>
      <c r="I754" s="235">
        <f t="shared" si="45"/>
        <v>260</v>
      </c>
      <c r="J754" s="361"/>
      <c r="K754" s="266">
        <f>33.11*F754</f>
        <v>165.55</v>
      </c>
      <c r="L754" s="245">
        <v>41192</v>
      </c>
      <c r="M754" s="5" t="s">
        <v>2077</v>
      </c>
      <c r="N754" s="235">
        <f t="shared" si="46"/>
        <v>260</v>
      </c>
      <c r="O754" s="235">
        <f t="shared" si="47"/>
        <v>0</v>
      </c>
      <c r="P754" s="246" t="s">
        <v>3570</v>
      </c>
      <c r="Q754" s="5" t="s">
        <v>3571</v>
      </c>
      <c r="R754" s="247" t="s">
        <v>3572</v>
      </c>
      <c r="S754" s="246" t="s">
        <v>3573</v>
      </c>
      <c r="T754" s="246"/>
      <c r="U754" s="246" t="s">
        <v>3574</v>
      </c>
      <c r="V754" s="246" t="s">
        <v>3575</v>
      </c>
      <c r="W754" s="235">
        <v>1970</v>
      </c>
      <c r="X754" s="7">
        <v>41201</v>
      </c>
      <c r="Y754" s="246" t="s">
        <v>3576</v>
      </c>
      <c r="Z754" s="273"/>
      <c r="AA754" s="248"/>
      <c r="AB754" s="5" t="s">
        <v>2079</v>
      </c>
    </row>
    <row r="755" spans="1:28" s="5" customFormat="1" ht="11.25" customHeight="1">
      <c r="A755" s="7">
        <v>41191</v>
      </c>
      <c r="B755" s="5" t="s">
        <v>3568</v>
      </c>
      <c r="C755" s="277" t="s">
        <v>3569</v>
      </c>
      <c r="D755" s="1" t="s">
        <v>2010</v>
      </c>
      <c r="E755" s="5">
        <v>10434</v>
      </c>
      <c r="F755" s="5">
        <v>10</v>
      </c>
      <c r="G755" s="5" t="s">
        <v>2398</v>
      </c>
      <c r="H755" s="243">
        <v>23</v>
      </c>
      <c r="I755" s="235">
        <f t="shared" si="45"/>
        <v>230</v>
      </c>
      <c r="J755" s="361"/>
      <c r="K755" s="266">
        <f>14.88*F755</f>
        <v>148.80000000000001</v>
      </c>
      <c r="L755" s="245">
        <v>41192</v>
      </c>
      <c r="M755" s="5" t="s">
        <v>2077</v>
      </c>
      <c r="N755" s="235">
        <f t="shared" si="46"/>
        <v>230</v>
      </c>
      <c r="O755" s="235">
        <f t="shared" si="47"/>
        <v>0</v>
      </c>
      <c r="P755" s="246" t="s">
        <v>3570</v>
      </c>
      <c r="Q755" s="5" t="s">
        <v>3571</v>
      </c>
      <c r="R755" s="247" t="s">
        <v>3572</v>
      </c>
      <c r="S755" s="246" t="s">
        <v>3573</v>
      </c>
      <c r="T755" s="246"/>
      <c r="U755" s="246" t="s">
        <v>3574</v>
      </c>
      <c r="V755" s="246" t="s">
        <v>3575</v>
      </c>
      <c r="W755" s="235">
        <v>1970</v>
      </c>
      <c r="X755" s="7">
        <v>41201</v>
      </c>
      <c r="Y755" s="246" t="s">
        <v>3576</v>
      </c>
      <c r="Z755" s="273"/>
      <c r="AA755" s="248"/>
      <c r="AB755" s="5" t="s">
        <v>2079</v>
      </c>
    </row>
    <row r="756" spans="1:28" s="5" customFormat="1" ht="11.25" customHeight="1">
      <c r="A756" s="7">
        <v>41191</v>
      </c>
      <c r="B756" s="5" t="s">
        <v>3568</v>
      </c>
      <c r="C756" s="277" t="s">
        <v>3569</v>
      </c>
      <c r="D756" s="1" t="s">
        <v>681</v>
      </c>
      <c r="E756" s="5" t="s">
        <v>2807</v>
      </c>
      <c r="F756" s="5">
        <v>20</v>
      </c>
      <c r="G756" s="5" t="s">
        <v>2398</v>
      </c>
      <c r="H756" s="243">
        <v>5</v>
      </c>
      <c r="I756" s="235">
        <f t="shared" si="45"/>
        <v>100</v>
      </c>
      <c r="J756" s="361">
        <v>3.31</v>
      </c>
      <c r="K756" s="266">
        <f>3.31*F756</f>
        <v>66.2</v>
      </c>
      <c r="L756" s="245">
        <v>41192</v>
      </c>
      <c r="M756" s="5" t="s">
        <v>2077</v>
      </c>
      <c r="N756" s="235">
        <f t="shared" si="46"/>
        <v>100</v>
      </c>
      <c r="O756" s="235">
        <f t="shared" si="47"/>
        <v>0</v>
      </c>
      <c r="P756" s="246" t="s">
        <v>3570</v>
      </c>
      <c r="Q756" s="5" t="s">
        <v>3571</v>
      </c>
      <c r="R756" s="247" t="s">
        <v>3572</v>
      </c>
      <c r="S756" s="246" t="s">
        <v>3573</v>
      </c>
      <c r="T756" s="246"/>
      <c r="U756" s="246" t="s">
        <v>3574</v>
      </c>
      <c r="V756" s="246" t="s">
        <v>3575</v>
      </c>
      <c r="W756" s="235">
        <v>1970</v>
      </c>
      <c r="X756" s="7">
        <v>41201</v>
      </c>
      <c r="Y756" s="246" t="s">
        <v>3576</v>
      </c>
      <c r="Z756" s="273" t="s">
        <v>2549</v>
      </c>
      <c r="AA756" s="248"/>
      <c r="AB756" s="5" t="s">
        <v>2079</v>
      </c>
    </row>
    <row r="757" spans="1:28" s="5" customFormat="1" ht="11.25" customHeight="1">
      <c r="A757" s="7">
        <v>41191</v>
      </c>
      <c r="B757" s="5" t="s">
        <v>3568</v>
      </c>
      <c r="C757" s="277" t="s">
        <v>3569</v>
      </c>
      <c r="D757" s="5" t="s">
        <v>2035</v>
      </c>
      <c r="E757" s="5" t="s">
        <v>3577</v>
      </c>
      <c r="F757" s="5">
        <v>10</v>
      </c>
      <c r="G757" s="5" t="s">
        <v>2398</v>
      </c>
      <c r="H757" s="243">
        <v>18</v>
      </c>
      <c r="I757" s="235">
        <f t="shared" si="45"/>
        <v>180</v>
      </c>
      <c r="J757" s="361"/>
      <c r="K757" s="266">
        <f>13*F757</f>
        <v>130</v>
      </c>
      <c r="L757" s="245">
        <v>41192</v>
      </c>
      <c r="M757" s="5" t="s">
        <v>2077</v>
      </c>
      <c r="N757" s="235">
        <f t="shared" si="46"/>
        <v>180</v>
      </c>
      <c r="O757" s="235">
        <f t="shared" si="47"/>
        <v>0</v>
      </c>
      <c r="P757" s="246" t="s">
        <v>3570</v>
      </c>
      <c r="Q757" s="5" t="s">
        <v>3571</v>
      </c>
      <c r="R757" s="247" t="s">
        <v>3572</v>
      </c>
      <c r="S757" s="246" t="s">
        <v>3573</v>
      </c>
      <c r="T757" s="246"/>
      <c r="U757" s="246" t="s">
        <v>3574</v>
      </c>
      <c r="V757" s="246" t="s">
        <v>3575</v>
      </c>
      <c r="W757" s="235">
        <v>1970</v>
      </c>
      <c r="X757" s="7">
        <v>41201</v>
      </c>
      <c r="Y757" s="246" t="s">
        <v>3576</v>
      </c>
      <c r="Z757" s="273"/>
      <c r="AA757" s="248"/>
      <c r="AB757" s="5" t="s">
        <v>2079</v>
      </c>
    </row>
    <row r="758" spans="1:28" s="5" customFormat="1" ht="11.25" customHeight="1">
      <c r="A758" s="7">
        <v>41191</v>
      </c>
      <c r="B758" s="5" t="s">
        <v>3578</v>
      </c>
      <c r="C758" s="277" t="s">
        <v>3569</v>
      </c>
      <c r="D758" s="5" t="s">
        <v>246</v>
      </c>
      <c r="E758" s="5">
        <v>4515</v>
      </c>
      <c r="F758" s="5">
        <v>4</v>
      </c>
      <c r="G758" s="5" t="s">
        <v>2529</v>
      </c>
      <c r="H758" s="243">
        <v>26</v>
      </c>
      <c r="I758" s="235">
        <f t="shared" si="45"/>
        <v>104</v>
      </c>
      <c r="J758" s="361"/>
      <c r="K758" s="266">
        <f>13*F758</f>
        <v>52</v>
      </c>
      <c r="L758" s="245">
        <v>41204</v>
      </c>
      <c r="M758" s="1" t="s">
        <v>2077</v>
      </c>
      <c r="N758" s="235">
        <f t="shared" si="46"/>
        <v>104</v>
      </c>
      <c r="O758" s="235">
        <f t="shared" si="47"/>
        <v>0</v>
      </c>
      <c r="P758" s="246" t="s">
        <v>3579</v>
      </c>
      <c r="Q758" s="5" t="s">
        <v>3571</v>
      </c>
      <c r="R758" s="247" t="s">
        <v>3580</v>
      </c>
      <c r="S758" s="246" t="s">
        <v>3581</v>
      </c>
      <c r="T758" s="238" t="s">
        <v>5513</v>
      </c>
      <c r="U758" s="246" t="s">
        <v>3582</v>
      </c>
      <c r="V758" s="246" t="s">
        <v>3583</v>
      </c>
      <c r="W758" s="235">
        <v>3968</v>
      </c>
      <c r="X758" s="7">
        <v>41199</v>
      </c>
      <c r="Y758" s="246" t="s">
        <v>3584</v>
      </c>
      <c r="Z758" s="273"/>
      <c r="AA758" s="248"/>
      <c r="AB758" s="5" t="s">
        <v>2079</v>
      </c>
    </row>
    <row r="759" spans="1:28" s="5" customFormat="1" ht="11.25" customHeight="1">
      <c r="A759" s="7">
        <v>41191</v>
      </c>
      <c r="B759" s="5" t="s">
        <v>3578</v>
      </c>
      <c r="C759" s="277" t="s">
        <v>3569</v>
      </c>
      <c r="D759" s="5" t="s">
        <v>246</v>
      </c>
      <c r="E759" s="5">
        <v>4510</v>
      </c>
      <c r="F759" s="5">
        <v>14</v>
      </c>
      <c r="G759" s="5" t="s">
        <v>2529</v>
      </c>
      <c r="H759" s="243">
        <v>26</v>
      </c>
      <c r="I759" s="235">
        <f t="shared" si="45"/>
        <v>364</v>
      </c>
      <c r="J759" s="361"/>
      <c r="K759" s="266">
        <f>17.55*14</f>
        <v>245.70000000000002</v>
      </c>
      <c r="L759" s="245">
        <v>41204</v>
      </c>
      <c r="M759" s="1" t="s">
        <v>2077</v>
      </c>
      <c r="N759" s="235">
        <f t="shared" si="46"/>
        <v>364</v>
      </c>
      <c r="O759" s="235">
        <f t="shared" si="47"/>
        <v>0</v>
      </c>
      <c r="P759" s="246" t="s">
        <v>3579</v>
      </c>
      <c r="Q759" s="5" t="s">
        <v>3571</v>
      </c>
      <c r="R759" s="247" t="s">
        <v>3580</v>
      </c>
      <c r="S759" s="246" t="s">
        <v>3581</v>
      </c>
      <c r="T759" s="238" t="s">
        <v>5513</v>
      </c>
      <c r="U759" s="246" t="s">
        <v>3582</v>
      </c>
      <c r="V759" s="246" t="s">
        <v>3583</v>
      </c>
      <c r="W759" s="235">
        <v>3968</v>
      </c>
      <c r="X759" s="7">
        <v>41199</v>
      </c>
      <c r="Y759" s="246" t="s">
        <v>3584</v>
      </c>
      <c r="Z759" s="273"/>
      <c r="AA759" s="248"/>
      <c r="AB759" s="5" t="s">
        <v>2079</v>
      </c>
    </row>
    <row r="760" spans="1:28" s="5" customFormat="1" ht="11.25" customHeight="1">
      <c r="A760" s="7">
        <v>41191</v>
      </c>
      <c r="B760" s="5" t="s">
        <v>3578</v>
      </c>
      <c r="C760" s="277" t="s">
        <v>3569</v>
      </c>
      <c r="D760" s="5" t="s">
        <v>2036</v>
      </c>
      <c r="E760" s="5">
        <v>4510</v>
      </c>
      <c r="F760" s="5">
        <v>2</v>
      </c>
      <c r="G760" s="5" t="s">
        <v>2529</v>
      </c>
      <c r="H760" s="243">
        <v>26</v>
      </c>
      <c r="I760" s="235">
        <f t="shared" si="45"/>
        <v>52</v>
      </c>
      <c r="J760" s="361"/>
      <c r="K760" s="266">
        <f>17.55*2</f>
        <v>35.1</v>
      </c>
      <c r="L760" s="245">
        <v>41204</v>
      </c>
      <c r="M760" s="1" t="s">
        <v>2077</v>
      </c>
      <c r="N760" s="235">
        <f t="shared" si="46"/>
        <v>52</v>
      </c>
      <c r="O760" s="235">
        <f t="shared" si="47"/>
        <v>0</v>
      </c>
      <c r="P760" s="246" t="s">
        <v>3579</v>
      </c>
      <c r="Q760" s="5" t="s">
        <v>3571</v>
      </c>
      <c r="R760" s="247" t="s">
        <v>3580</v>
      </c>
      <c r="S760" s="246" t="s">
        <v>3581</v>
      </c>
      <c r="T760" s="238" t="s">
        <v>5513</v>
      </c>
      <c r="U760" s="246" t="s">
        <v>3582</v>
      </c>
      <c r="V760" s="246" t="s">
        <v>3583</v>
      </c>
      <c r="W760" s="235">
        <v>3968</v>
      </c>
      <c r="X760" s="7">
        <v>41199</v>
      </c>
      <c r="Y760" s="246" t="s">
        <v>3584</v>
      </c>
      <c r="Z760" s="273"/>
      <c r="AA760" s="248"/>
      <c r="AB760" s="5" t="s">
        <v>2079</v>
      </c>
    </row>
    <row r="761" spans="1:28" s="5" customFormat="1" ht="11.25" customHeight="1">
      <c r="A761" s="7">
        <v>41191</v>
      </c>
      <c r="B761" s="5" t="s">
        <v>3578</v>
      </c>
      <c r="C761" s="277" t="s">
        <v>3569</v>
      </c>
      <c r="D761" s="5" t="s">
        <v>854</v>
      </c>
      <c r="E761" s="5">
        <v>9031</v>
      </c>
      <c r="F761" s="5">
        <v>100</v>
      </c>
      <c r="G761" s="232" t="s">
        <v>2086</v>
      </c>
      <c r="H761" s="243">
        <v>2.4</v>
      </c>
      <c r="I761" s="235">
        <f t="shared" si="45"/>
        <v>240</v>
      </c>
      <c r="J761" s="361"/>
      <c r="K761" s="266">
        <f>1.49292*F761</f>
        <v>149.292</v>
      </c>
      <c r="L761" s="245">
        <v>41204</v>
      </c>
      <c r="M761" s="1" t="s">
        <v>2077</v>
      </c>
      <c r="N761" s="235">
        <f t="shared" si="46"/>
        <v>240</v>
      </c>
      <c r="O761" s="235">
        <f t="shared" si="47"/>
        <v>0</v>
      </c>
      <c r="P761" s="246" t="s">
        <v>3579</v>
      </c>
      <c r="Q761" s="5" t="s">
        <v>3571</v>
      </c>
      <c r="R761" s="247" t="s">
        <v>3580</v>
      </c>
      <c r="S761" s="246" t="s">
        <v>3581</v>
      </c>
      <c r="T761" s="238" t="s">
        <v>5513</v>
      </c>
      <c r="U761" s="246" t="s">
        <v>3582</v>
      </c>
      <c r="V761" s="246" t="s">
        <v>3583</v>
      </c>
      <c r="W761" s="235">
        <v>3968</v>
      </c>
      <c r="X761" s="7">
        <v>41199</v>
      </c>
      <c r="Y761" s="246" t="s">
        <v>3584</v>
      </c>
      <c r="Z761" s="273"/>
      <c r="AA761" s="248"/>
      <c r="AB761" s="5" t="s">
        <v>2079</v>
      </c>
    </row>
    <row r="762" spans="1:28" s="5" customFormat="1" ht="11.25" customHeight="1">
      <c r="A762" s="7">
        <v>41191</v>
      </c>
      <c r="B762" s="5" t="s">
        <v>3578</v>
      </c>
      <c r="C762" s="277" t="s">
        <v>3569</v>
      </c>
      <c r="D762" s="1" t="s">
        <v>86</v>
      </c>
      <c r="E762" s="5">
        <v>9032</v>
      </c>
      <c r="F762" s="5">
        <v>100</v>
      </c>
      <c r="G762" s="1" t="s">
        <v>2086</v>
      </c>
      <c r="H762" s="243">
        <v>2.4</v>
      </c>
      <c r="I762" s="235">
        <f t="shared" si="45"/>
        <v>240</v>
      </c>
      <c r="J762" s="361"/>
      <c r="K762" s="266">
        <f>1.4929*F762</f>
        <v>149.29</v>
      </c>
      <c r="L762" s="245">
        <v>41204</v>
      </c>
      <c r="M762" s="1" t="s">
        <v>2077</v>
      </c>
      <c r="N762" s="235">
        <f t="shared" si="46"/>
        <v>240</v>
      </c>
      <c r="O762" s="235">
        <f t="shared" si="47"/>
        <v>0</v>
      </c>
      <c r="P762" s="246" t="s">
        <v>3579</v>
      </c>
      <c r="Q762" s="5" t="s">
        <v>3571</v>
      </c>
      <c r="R762" s="247" t="s">
        <v>3580</v>
      </c>
      <c r="S762" s="246" t="s">
        <v>3581</v>
      </c>
      <c r="T762" s="238" t="s">
        <v>5513</v>
      </c>
      <c r="U762" s="246" t="s">
        <v>3582</v>
      </c>
      <c r="V762" s="246" t="s">
        <v>3583</v>
      </c>
      <c r="W762" s="235">
        <v>3968</v>
      </c>
      <c r="X762" s="7">
        <v>41199</v>
      </c>
      <c r="Y762" s="246" t="s">
        <v>3584</v>
      </c>
      <c r="Z762" s="273"/>
      <c r="AA762" s="248"/>
      <c r="AB762" s="5" t="s">
        <v>2079</v>
      </c>
    </row>
    <row r="763" spans="1:28" s="5" customFormat="1" ht="12" customHeight="1">
      <c r="A763" s="7">
        <v>41191</v>
      </c>
      <c r="B763" s="5" t="s">
        <v>3578</v>
      </c>
      <c r="C763" s="277" t="s">
        <v>3569</v>
      </c>
      <c r="D763" s="1" t="s">
        <v>1213</v>
      </c>
      <c r="E763" s="5" t="s">
        <v>2509</v>
      </c>
      <c r="F763" s="5">
        <v>20</v>
      </c>
      <c r="G763" s="5" t="s">
        <v>2398</v>
      </c>
      <c r="H763" s="243">
        <v>21</v>
      </c>
      <c r="I763" s="235">
        <f t="shared" si="45"/>
        <v>420</v>
      </c>
      <c r="J763" s="361"/>
      <c r="K763" s="274">
        <f>13*F763</f>
        <v>260</v>
      </c>
      <c r="L763" s="245">
        <v>41204</v>
      </c>
      <c r="M763" s="1" t="s">
        <v>2077</v>
      </c>
      <c r="N763" s="235">
        <f t="shared" si="46"/>
        <v>420</v>
      </c>
      <c r="O763" s="235">
        <f t="shared" si="47"/>
        <v>0</v>
      </c>
      <c r="P763" s="246" t="s">
        <v>3579</v>
      </c>
      <c r="Q763" s="5" t="s">
        <v>3571</v>
      </c>
      <c r="R763" s="247" t="s">
        <v>3580</v>
      </c>
      <c r="S763" s="246" t="s">
        <v>3581</v>
      </c>
      <c r="T763" s="238" t="s">
        <v>5513</v>
      </c>
      <c r="U763" s="246" t="s">
        <v>3582</v>
      </c>
      <c r="V763" s="246" t="s">
        <v>3583</v>
      </c>
      <c r="W763" s="235">
        <v>3968</v>
      </c>
      <c r="X763" s="7">
        <v>41199</v>
      </c>
      <c r="Y763" s="246" t="s">
        <v>3584</v>
      </c>
      <c r="Z763" s="273"/>
      <c r="AA763" s="248"/>
      <c r="AB763" s="5" t="s">
        <v>2079</v>
      </c>
    </row>
    <row r="764" spans="1:28" s="5" customFormat="1" ht="11.25" customHeight="1">
      <c r="A764" s="7">
        <v>41191</v>
      </c>
      <c r="B764" s="5" t="s">
        <v>3578</v>
      </c>
      <c r="C764" s="1" t="s">
        <v>2821</v>
      </c>
      <c r="D764" s="95" t="s">
        <v>5008</v>
      </c>
      <c r="E764" s="5" t="s">
        <v>3585</v>
      </c>
      <c r="F764" s="5">
        <v>50</v>
      </c>
      <c r="G764" s="1" t="s">
        <v>2823</v>
      </c>
      <c r="H764" s="243">
        <v>16</v>
      </c>
      <c r="I764" s="235">
        <f t="shared" si="45"/>
        <v>800</v>
      </c>
      <c r="J764" s="361"/>
      <c r="K764" s="266">
        <f>10*50</f>
        <v>500</v>
      </c>
      <c r="L764" s="245">
        <v>41204</v>
      </c>
      <c r="M764" s="1" t="s">
        <v>2077</v>
      </c>
      <c r="N764" s="235">
        <f t="shared" si="46"/>
        <v>800</v>
      </c>
      <c r="O764" s="235">
        <f t="shared" si="47"/>
        <v>0</v>
      </c>
      <c r="P764" s="246" t="s">
        <v>3579</v>
      </c>
      <c r="Q764" s="5" t="s">
        <v>3571</v>
      </c>
      <c r="R764" s="247" t="s">
        <v>3580</v>
      </c>
      <c r="S764" s="246" t="s">
        <v>3581</v>
      </c>
      <c r="T764" s="238" t="s">
        <v>5513</v>
      </c>
      <c r="U764" s="246" t="s">
        <v>3582</v>
      </c>
      <c r="V764" s="246" t="s">
        <v>3583</v>
      </c>
      <c r="W764" s="235">
        <v>3968</v>
      </c>
      <c r="X764" s="7">
        <v>41199</v>
      </c>
      <c r="Y764" s="246" t="s">
        <v>3584</v>
      </c>
      <c r="Z764" s="273"/>
      <c r="AA764" s="248"/>
      <c r="AB764" s="5" t="s">
        <v>2079</v>
      </c>
    </row>
    <row r="765" spans="1:28" s="5" customFormat="1" ht="11.25" customHeight="1">
      <c r="A765" s="7">
        <v>41191</v>
      </c>
      <c r="B765" s="5" t="s">
        <v>3578</v>
      </c>
      <c r="C765" s="277" t="s">
        <v>3569</v>
      </c>
      <c r="D765" s="1" t="s">
        <v>1210</v>
      </c>
      <c r="E765" s="5">
        <v>3200</v>
      </c>
      <c r="F765" s="5">
        <v>10</v>
      </c>
      <c r="G765" s="5" t="s">
        <v>2086</v>
      </c>
      <c r="H765" s="243">
        <v>43</v>
      </c>
      <c r="I765" s="235">
        <f t="shared" si="45"/>
        <v>430</v>
      </c>
      <c r="J765" s="361"/>
      <c r="K765" s="266">
        <f>23.94*10</f>
        <v>239.4</v>
      </c>
      <c r="L765" s="245">
        <v>41204</v>
      </c>
      <c r="M765" s="1" t="s">
        <v>2077</v>
      </c>
      <c r="N765" s="235">
        <f t="shared" si="46"/>
        <v>430</v>
      </c>
      <c r="O765" s="235">
        <f t="shared" si="47"/>
        <v>0</v>
      </c>
      <c r="P765" s="246" t="s">
        <v>3579</v>
      </c>
      <c r="Q765" s="5" t="s">
        <v>3571</v>
      </c>
      <c r="R765" s="247" t="s">
        <v>3580</v>
      </c>
      <c r="S765" s="246" t="s">
        <v>3581</v>
      </c>
      <c r="T765" s="238" t="s">
        <v>5513</v>
      </c>
      <c r="U765" s="246" t="s">
        <v>3582</v>
      </c>
      <c r="V765" s="246" t="s">
        <v>3583</v>
      </c>
      <c r="W765" s="235">
        <v>3968</v>
      </c>
      <c r="X765" s="7">
        <v>41199</v>
      </c>
      <c r="Y765" s="246" t="s">
        <v>3584</v>
      </c>
      <c r="Z765" s="273"/>
      <c r="AA765" s="248"/>
      <c r="AB765" s="5" t="s">
        <v>2079</v>
      </c>
    </row>
    <row r="766" spans="1:28" ht="12" customHeight="1">
      <c r="A766" s="7">
        <v>41191</v>
      </c>
      <c r="B766" s="5" t="s">
        <v>3578</v>
      </c>
      <c r="C766" s="277" t="s">
        <v>3569</v>
      </c>
      <c r="D766" s="5" t="s">
        <v>1221</v>
      </c>
      <c r="E766" s="1" t="s">
        <v>2625</v>
      </c>
      <c r="F766" s="5">
        <v>10</v>
      </c>
      <c r="G766" s="5" t="s">
        <v>2086</v>
      </c>
      <c r="H766" s="243">
        <v>52</v>
      </c>
      <c r="I766" s="235">
        <f t="shared" si="45"/>
        <v>520</v>
      </c>
      <c r="J766" s="361"/>
      <c r="K766" s="266">
        <f>36*10</f>
        <v>360</v>
      </c>
      <c r="L766" s="245">
        <v>41204</v>
      </c>
      <c r="M766" s="1" t="s">
        <v>2077</v>
      </c>
      <c r="N766" s="235">
        <f t="shared" si="46"/>
        <v>520</v>
      </c>
      <c r="O766" s="235">
        <f t="shared" si="47"/>
        <v>0</v>
      </c>
      <c r="P766" s="246" t="s">
        <v>3579</v>
      </c>
      <c r="Q766" s="5" t="s">
        <v>3571</v>
      </c>
      <c r="R766" s="247" t="s">
        <v>3580</v>
      </c>
      <c r="S766" s="246" t="s">
        <v>3581</v>
      </c>
      <c r="T766" s="238" t="s">
        <v>5513</v>
      </c>
      <c r="U766" s="246" t="s">
        <v>3582</v>
      </c>
      <c r="V766" s="246" t="s">
        <v>3583</v>
      </c>
      <c r="W766" s="235">
        <v>3968</v>
      </c>
      <c r="X766" s="7">
        <v>41199</v>
      </c>
      <c r="Y766" s="246" t="s">
        <v>3584</v>
      </c>
      <c r="Z766" s="273"/>
      <c r="AA766" s="248"/>
      <c r="AB766" s="5" t="s">
        <v>2079</v>
      </c>
    </row>
    <row r="767" spans="1:28" ht="12" customHeight="1">
      <c r="A767" s="233">
        <v>41192</v>
      </c>
      <c r="B767" s="228" t="s">
        <v>2649</v>
      </c>
      <c r="C767" s="276" t="s">
        <v>2080</v>
      </c>
      <c r="D767" s="1" t="s">
        <v>1210</v>
      </c>
      <c r="E767" s="5">
        <v>3200</v>
      </c>
      <c r="F767" s="5">
        <v>35</v>
      </c>
      <c r="G767" s="225" t="s">
        <v>2086</v>
      </c>
      <c r="H767" s="234">
        <v>27</v>
      </c>
      <c r="I767" s="235">
        <f t="shared" si="45"/>
        <v>945</v>
      </c>
      <c r="K767" s="266">
        <f>23.94*F767</f>
        <v>837.90000000000009</v>
      </c>
      <c r="L767" s="237">
        <v>41192</v>
      </c>
      <c r="M767" s="1" t="s">
        <v>2077</v>
      </c>
      <c r="N767" s="235">
        <f t="shared" si="46"/>
        <v>945</v>
      </c>
      <c r="O767" s="235">
        <f t="shared" si="47"/>
        <v>0</v>
      </c>
      <c r="P767" s="238" t="s">
        <v>3586</v>
      </c>
      <c r="Q767" s="1" t="s">
        <v>1863</v>
      </c>
      <c r="R767" s="239" t="s">
        <v>3148</v>
      </c>
      <c r="S767" s="238" t="s">
        <v>3149</v>
      </c>
      <c r="T767" s="238" t="s">
        <v>2082</v>
      </c>
      <c r="U767" s="238" t="s">
        <v>2082</v>
      </c>
      <c r="V767" s="238" t="s">
        <v>3510</v>
      </c>
      <c r="W767" s="236">
        <v>6244.3</v>
      </c>
      <c r="X767" s="233">
        <v>41205</v>
      </c>
      <c r="Y767" s="238" t="s">
        <v>2082</v>
      </c>
      <c r="AB767" s="1" t="s">
        <v>2527</v>
      </c>
    </row>
    <row r="768" spans="1:28" ht="12" customHeight="1">
      <c r="A768" s="233">
        <v>41192</v>
      </c>
      <c r="B768" s="228" t="s">
        <v>2649</v>
      </c>
      <c r="C768" s="276" t="s">
        <v>2080</v>
      </c>
      <c r="D768" s="1" t="s">
        <v>346</v>
      </c>
      <c r="E768" s="5">
        <v>3700</v>
      </c>
      <c r="F768" s="5">
        <v>37</v>
      </c>
      <c r="G768" s="1" t="s">
        <v>2086</v>
      </c>
      <c r="H768" s="234">
        <v>3.41</v>
      </c>
      <c r="I768" s="235">
        <f t="shared" si="45"/>
        <v>126.17</v>
      </c>
      <c r="J768" s="352">
        <v>3.09</v>
      </c>
      <c r="K768" s="266">
        <f>3.09*37</f>
        <v>114.33</v>
      </c>
      <c r="L768" s="237">
        <v>41192</v>
      </c>
      <c r="M768" s="1" t="s">
        <v>2077</v>
      </c>
      <c r="N768" s="235">
        <f t="shared" si="46"/>
        <v>126.17</v>
      </c>
      <c r="O768" s="235">
        <f t="shared" si="47"/>
        <v>0</v>
      </c>
      <c r="P768" s="238" t="s">
        <v>3586</v>
      </c>
      <c r="Q768" s="1" t="s">
        <v>1863</v>
      </c>
      <c r="R768" s="239" t="s">
        <v>3148</v>
      </c>
      <c r="S768" s="238" t="s">
        <v>3149</v>
      </c>
      <c r="T768" s="238" t="s">
        <v>2082</v>
      </c>
      <c r="U768" s="238" t="s">
        <v>2082</v>
      </c>
      <c r="V768" s="238" t="s">
        <v>3510</v>
      </c>
      <c r="W768" s="236">
        <v>6244.3</v>
      </c>
      <c r="X768" s="233">
        <v>41205</v>
      </c>
      <c r="Y768" s="238" t="s">
        <v>2082</v>
      </c>
      <c r="AB768" s="1" t="s">
        <v>2527</v>
      </c>
    </row>
    <row r="769" spans="1:28" ht="12" customHeight="1">
      <c r="A769" s="233">
        <v>41192</v>
      </c>
      <c r="B769" s="228" t="s">
        <v>2649</v>
      </c>
      <c r="C769" s="276" t="s">
        <v>2080</v>
      </c>
      <c r="D769" s="1" t="s">
        <v>6623</v>
      </c>
      <c r="E769" s="5" t="s">
        <v>2798</v>
      </c>
      <c r="F769" s="5">
        <v>113</v>
      </c>
      <c r="G769" s="1" t="s">
        <v>2398</v>
      </c>
      <c r="H769" s="234">
        <v>14.95</v>
      </c>
      <c r="I769" s="235">
        <f t="shared" si="45"/>
        <v>1689.35</v>
      </c>
      <c r="K769" s="266">
        <f>14.49*113</f>
        <v>1637.3700000000001</v>
      </c>
      <c r="L769" s="237">
        <v>41192</v>
      </c>
      <c r="M769" s="1" t="s">
        <v>2077</v>
      </c>
      <c r="N769" s="235">
        <f t="shared" si="46"/>
        <v>1689.35</v>
      </c>
      <c r="O769" s="235">
        <f t="shared" si="47"/>
        <v>0</v>
      </c>
      <c r="P769" s="238" t="s">
        <v>3586</v>
      </c>
      <c r="Q769" s="1" t="s">
        <v>1863</v>
      </c>
      <c r="R769" s="239" t="s">
        <v>3148</v>
      </c>
      <c r="S769" s="238" t="s">
        <v>3149</v>
      </c>
      <c r="T769" s="238" t="s">
        <v>2082</v>
      </c>
      <c r="U769" s="238" t="s">
        <v>2082</v>
      </c>
      <c r="V769" s="238" t="s">
        <v>3510</v>
      </c>
      <c r="W769" s="236">
        <v>6244.3</v>
      </c>
      <c r="X769" s="233">
        <v>41205</v>
      </c>
      <c r="Y769" s="238" t="s">
        <v>2082</v>
      </c>
      <c r="AB769" s="1" t="s">
        <v>2527</v>
      </c>
    </row>
    <row r="770" spans="1:28" ht="11.25" customHeight="1">
      <c r="A770" s="233">
        <v>41192</v>
      </c>
      <c r="B770" s="228" t="s">
        <v>2649</v>
      </c>
      <c r="C770" s="276" t="s">
        <v>2080</v>
      </c>
      <c r="D770" s="1" t="s">
        <v>353</v>
      </c>
      <c r="E770" s="5" t="s">
        <v>3587</v>
      </c>
      <c r="F770" s="5">
        <v>8</v>
      </c>
      <c r="G770" s="1" t="s">
        <v>2086</v>
      </c>
      <c r="H770" s="234">
        <v>12.93</v>
      </c>
      <c r="I770" s="235">
        <f t="shared" si="45"/>
        <v>103.44</v>
      </c>
      <c r="K770" s="266">
        <f>10.94*8</f>
        <v>87.52</v>
      </c>
      <c r="L770" s="237">
        <v>41192</v>
      </c>
      <c r="M770" s="1" t="s">
        <v>2077</v>
      </c>
      <c r="N770" s="235">
        <f t="shared" si="46"/>
        <v>103.44</v>
      </c>
      <c r="O770" s="235">
        <f t="shared" si="47"/>
        <v>0</v>
      </c>
      <c r="P770" s="238" t="s">
        <v>3586</v>
      </c>
      <c r="Q770" s="1" t="s">
        <v>1863</v>
      </c>
      <c r="R770" s="239" t="s">
        <v>3148</v>
      </c>
      <c r="S770" s="238" t="s">
        <v>3149</v>
      </c>
      <c r="T770" s="238" t="s">
        <v>2082</v>
      </c>
      <c r="U770" s="238" t="s">
        <v>2082</v>
      </c>
      <c r="V770" s="238" t="s">
        <v>3510</v>
      </c>
      <c r="W770" s="236">
        <v>6244.3</v>
      </c>
      <c r="X770" s="233">
        <v>41205</v>
      </c>
      <c r="Y770" s="238" t="s">
        <v>2082</v>
      </c>
      <c r="AB770" s="1" t="s">
        <v>2527</v>
      </c>
    </row>
    <row r="771" spans="1:28" s="5" customFormat="1" ht="11.25" customHeight="1">
      <c r="A771" s="233">
        <v>41192</v>
      </c>
      <c r="B771" s="1" t="s">
        <v>2517</v>
      </c>
      <c r="C771" s="1" t="s">
        <v>2080</v>
      </c>
      <c r="D771" s="5" t="s">
        <v>2012</v>
      </c>
      <c r="E771" s="5" t="s">
        <v>2489</v>
      </c>
      <c r="F771" s="5">
        <v>500</v>
      </c>
      <c r="G771" s="1" t="s">
        <v>4970</v>
      </c>
      <c r="H771" s="234">
        <v>1.7</v>
      </c>
      <c r="I771" s="235">
        <f t="shared" ref="I771:I837" si="48">H771*F771</f>
        <v>850</v>
      </c>
      <c r="J771" s="360">
        <v>1.46</v>
      </c>
      <c r="K771" s="266">
        <f>1.46*500</f>
        <v>730</v>
      </c>
      <c r="L771" s="237">
        <v>41192</v>
      </c>
      <c r="M771" s="1" t="s">
        <v>2390</v>
      </c>
      <c r="N771" s="235">
        <f t="shared" ref="N771:N834" si="49">I771</f>
        <v>850</v>
      </c>
      <c r="O771" s="235">
        <f t="shared" ref="O771:O834" si="50">I771-N771</f>
        <v>0</v>
      </c>
      <c r="P771" s="238" t="s">
        <v>3588</v>
      </c>
      <c r="Q771" s="1" t="s">
        <v>2212</v>
      </c>
      <c r="R771" s="239" t="s">
        <v>2519</v>
      </c>
      <c r="S771" s="238" t="s">
        <v>2520</v>
      </c>
      <c r="T771" s="238" t="s">
        <v>2082</v>
      </c>
      <c r="U771" s="238"/>
      <c r="V771" s="238" t="s">
        <v>2488</v>
      </c>
      <c r="W771" s="236"/>
      <c r="X771" s="233"/>
      <c r="Y771" s="238"/>
      <c r="Z771" s="255"/>
      <c r="AA771" s="240"/>
      <c r="AB771" s="1" t="s">
        <v>2079</v>
      </c>
    </row>
    <row r="772" spans="1:28" s="5" customFormat="1" ht="12" customHeight="1">
      <c r="A772" s="7">
        <v>41192</v>
      </c>
      <c r="B772" s="5" t="s">
        <v>3589</v>
      </c>
      <c r="C772" s="277" t="s">
        <v>2080</v>
      </c>
      <c r="D772" s="1" t="s">
        <v>2028</v>
      </c>
      <c r="E772" s="5" t="s">
        <v>3168</v>
      </c>
      <c r="F772" s="5">
        <v>2</v>
      </c>
      <c r="G772" s="5" t="s">
        <v>3129</v>
      </c>
      <c r="H772" s="243">
        <v>122.2</v>
      </c>
      <c r="I772" s="235">
        <f t="shared" si="48"/>
        <v>244.4</v>
      </c>
      <c r="J772" s="361"/>
      <c r="K772" s="266">
        <f>107.64*2</f>
        <v>215.28</v>
      </c>
      <c r="L772" s="245">
        <v>41192</v>
      </c>
      <c r="M772" s="5" t="s">
        <v>2638</v>
      </c>
      <c r="N772" s="235">
        <f t="shared" si="49"/>
        <v>244.4</v>
      </c>
      <c r="O772" s="235">
        <f t="shared" si="50"/>
        <v>0</v>
      </c>
      <c r="P772" s="246" t="s">
        <v>2082</v>
      </c>
      <c r="Q772" s="5" t="s">
        <v>2562</v>
      </c>
      <c r="R772" s="247" t="s">
        <v>3590</v>
      </c>
      <c r="S772" s="246" t="s">
        <v>3591</v>
      </c>
      <c r="T772" s="246" t="s">
        <v>3592</v>
      </c>
      <c r="U772" s="246" t="s">
        <v>3593</v>
      </c>
      <c r="V772" s="246" t="s">
        <v>2488</v>
      </c>
      <c r="W772" s="235"/>
      <c r="X772" s="7"/>
      <c r="Y772" s="246"/>
      <c r="Z772" s="273"/>
      <c r="AA772" s="248"/>
      <c r="AB772" s="1" t="s">
        <v>2527</v>
      </c>
    </row>
    <row r="773" spans="1:28" s="5" customFormat="1" ht="12" customHeight="1">
      <c r="A773" s="7">
        <v>41193</v>
      </c>
      <c r="B773" s="5" t="s">
        <v>2709</v>
      </c>
      <c r="C773" s="277" t="s">
        <v>2080</v>
      </c>
      <c r="D773" s="1" t="s">
        <v>1210</v>
      </c>
      <c r="E773" s="5">
        <v>3200</v>
      </c>
      <c r="F773" s="5">
        <v>60</v>
      </c>
      <c r="G773" s="5" t="s">
        <v>2086</v>
      </c>
      <c r="H773" s="243">
        <v>26.81</v>
      </c>
      <c r="I773" s="235">
        <f t="shared" si="48"/>
        <v>1608.6</v>
      </c>
      <c r="J773" s="361"/>
      <c r="K773" s="266">
        <f>23.94*60</f>
        <v>1436.4</v>
      </c>
      <c r="L773" s="245">
        <v>41193</v>
      </c>
      <c r="M773" s="5" t="s">
        <v>2077</v>
      </c>
      <c r="N773" s="235">
        <f t="shared" si="49"/>
        <v>1608.6</v>
      </c>
      <c r="O773" s="235">
        <f t="shared" si="50"/>
        <v>0</v>
      </c>
      <c r="P773" s="246" t="s">
        <v>2082</v>
      </c>
      <c r="Q773" s="5" t="s">
        <v>2212</v>
      </c>
      <c r="R773" s="239" t="s">
        <v>2082</v>
      </c>
      <c r="S773" s="238" t="s">
        <v>2082</v>
      </c>
      <c r="T773" s="238" t="s">
        <v>2082</v>
      </c>
      <c r="U773" s="238" t="s">
        <v>2082</v>
      </c>
      <c r="V773" s="238" t="s">
        <v>3541</v>
      </c>
      <c r="W773" s="235">
        <v>4372.8</v>
      </c>
      <c r="X773" s="7">
        <v>41205</v>
      </c>
      <c r="Y773" s="5" t="s">
        <v>2212</v>
      </c>
      <c r="Z773" s="273"/>
      <c r="AA773" s="248"/>
      <c r="AB773" s="5" t="s">
        <v>2527</v>
      </c>
    </row>
    <row r="774" spans="1:28" s="5" customFormat="1" ht="11.25" customHeight="1">
      <c r="A774" s="7">
        <v>41193</v>
      </c>
      <c r="B774" s="5" t="s">
        <v>2709</v>
      </c>
      <c r="C774" s="277" t="s">
        <v>2080</v>
      </c>
      <c r="D774" s="1" t="s">
        <v>346</v>
      </c>
      <c r="E774" s="5">
        <v>3700</v>
      </c>
      <c r="F774" s="5">
        <v>60</v>
      </c>
      <c r="G774" s="1" t="s">
        <v>2086</v>
      </c>
      <c r="H774" s="243">
        <v>3.46</v>
      </c>
      <c r="I774" s="235">
        <f t="shared" si="48"/>
        <v>207.6</v>
      </c>
      <c r="J774" s="361">
        <v>3.09</v>
      </c>
      <c r="K774" s="266">
        <f>3.09*60</f>
        <v>185.39999999999998</v>
      </c>
      <c r="L774" s="245">
        <v>41193</v>
      </c>
      <c r="M774" s="5" t="s">
        <v>2077</v>
      </c>
      <c r="N774" s="235">
        <f t="shared" si="49"/>
        <v>207.6</v>
      </c>
      <c r="O774" s="235">
        <f t="shared" si="50"/>
        <v>0</v>
      </c>
      <c r="P774" s="246" t="s">
        <v>2082</v>
      </c>
      <c r="Q774" s="5" t="s">
        <v>2212</v>
      </c>
      <c r="R774" s="239" t="s">
        <v>2082</v>
      </c>
      <c r="S774" s="238" t="s">
        <v>2082</v>
      </c>
      <c r="T774" s="238" t="s">
        <v>2082</v>
      </c>
      <c r="U774" s="238" t="s">
        <v>2082</v>
      </c>
      <c r="V774" s="238" t="s">
        <v>3541</v>
      </c>
      <c r="W774" s="235">
        <v>4372.8</v>
      </c>
      <c r="X774" s="7">
        <v>41205</v>
      </c>
      <c r="Y774" s="5" t="s">
        <v>2212</v>
      </c>
      <c r="Z774" s="273"/>
      <c r="AA774" s="248"/>
      <c r="AB774" s="5" t="s">
        <v>2527</v>
      </c>
    </row>
    <row r="775" spans="1:28" s="5" customFormat="1" ht="12" customHeight="1">
      <c r="A775" s="7">
        <v>41193</v>
      </c>
      <c r="B775" s="5" t="s">
        <v>2709</v>
      </c>
      <c r="C775" s="277" t="s">
        <v>2080</v>
      </c>
      <c r="D775" s="5" t="s">
        <v>1874</v>
      </c>
      <c r="E775" s="5" t="s">
        <v>2615</v>
      </c>
      <c r="F775" s="5">
        <v>60</v>
      </c>
      <c r="G775" s="1" t="s">
        <v>2490</v>
      </c>
      <c r="H775" s="243">
        <v>1.73</v>
      </c>
      <c r="I775" s="235">
        <f t="shared" si="48"/>
        <v>103.8</v>
      </c>
      <c r="J775" s="359">
        <v>1.54</v>
      </c>
      <c r="K775" s="266">
        <f>1.54*60</f>
        <v>92.4</v>
      </c>
      <c r="L775" s="245">
        <v>41193</v>
      </c>
      <c r="M775" s="5" t="s">
        <v>2077</v>
      </c>
      <c r="N775" s="235">
        <f t="shared" si="49"/>
        <v>103.8</v>
      </c>
      <c r="O775" s="235">
        <f t="shared" si="50"/>
        <v>0</v>
      </c>
      <c r="P775" s="246" t="s">
        <v>2082</v>
      </c>
      <c r="Q775" s="5" t="s">
        <v>2212</v>
      </c>
      <c r="R775" s="239" t="s">
        <v>2082</v>
      </c>
      <c r="S775" s="238" t="s">
        <v>2082</v>
      </c>
      <c r="T775" s="238" t="s">
        <v>2082</v>
      </c>
      <c r="U775" s="238" t="s">
        <v>2082</v>
      </c>
      <c r="V775" s="238" t="s">
        <v>3541</v>
      </c>
      <c r="W775" s="235">
        <v>4372.8</v>
      </c>
      <c r="X775" s="7">
        <v>41205</v>
      </c>
      <c r="Y775" s="5" t="s">
        <v>2212</v>
      </c>
      <c r="Z775" s="273"/>
      <c r="AA775" s="248"/>
      <c r="AB775" s="5" t="s">
        <v>2527</v>
      </c>
    </row>
    <row r="776" spans="1:28" s="5" customFormat="1" ht="12" customHeight="1">
      <c r="A776" s="7">
        <v>41193</v>
      </c>
      <c r="B776" s="5" t="s">
        <v>2709</v>
      </c>
      <c r="C776" s="277" t="s">
        <v>2080</v>
      </c>
      <c r="D776" s="1" t="s">
        <v>353</v>
      </c>
      <c r="E776" s="5" t="s">
        <v>2397</v>
      </c>
      <c r="F776" s="5">
        <v>150</v>
      </c>
      <c r="G776" s="5" t="s">
        <v>2086</v>
      </c>
      <c r="H776" s="243">
        <v>13.33</v>
      </c>
      <c r="I776" s="235">
        <f t="shared" si="48"/>
        <v>1999.5</v>
      </c>
      <c r="J776" s="361"/>
      <c r="K776" s="266">
        <f>10.94*150</f>
        <v>1641</v>
      </c>
      <c r="L776" s="245">
        <v>41193</v>
      </c>
      <c r="M776" s="5" t="s">
        <v>2077</v>
      </c>
      <c r="N776" s="235">
        <f t="shared" si="49"/>
        <v>1999.5</v>
      </c>
      <c r="O776" s="235">
        <f t="shared" si="50"/>
        <v>0</v>
      </c>
      <c r="P776" s="246" t="s">
        <v>2082</v>
      </c>
      <c r="Q776" s="5" t="s">
        <v>2212</v>
      </c>
      <c r="R776" s="239" t="s">
        <v>2082</v>
      </c>
      <c r="S776" s="238" t="s">
        <v>2082</v>
      </c>
      <c r="T776" s="238" t="s">
        <v>2082</v>
      </c>
      <c r="U776" s="238" t="s">
        <v>2082</v>
      </c>
      <c r="V776" s="238" t="s">
        <v>3541</v>
      </c>
      <c r="W776" s="235">
        <v>4372.8</v>
      </c>
      <c r="X776" s="7">
        <v>41205</v>
      </c>
      <c r="Y776" s="5" t="s">
        <v>2212</v>
      </c>
      <c r="Z776" s="273"/>
      <c r="AA776" s="248"/>
      <c r="AB776" s="5" t="s">
        <v>2527</v>
      </c>
    </row>
    <row r="777" spans="1:28" s="5" customFormat="1" ht="11.25" customHeight="1">
      <c r="A777" s="7">
        <v>41193</v>
      </c>
      <c r="B777" s="1" t="s">
        <v>2111</v>
      </c>
      <c r="C777" s="277" t="s">
        <v>2080</v>
      </c>
      <c r="D777" s="5" t="s">
        <v>1880</v>
      </c>
      <c r="E777" s="5" t="s">
        <v>3594</v>
      </c>
      <c r="F777" s="5">
        <v>7</v>
      </c>
      <c r="G777" s="5" t="s">
        <v>2529</v>
      </c>
      <c r="H777" s="243">
        <v>25.3</v>
      </c>
      <c r="I777" s="235">
        <f t="shared" si="48"/>
        <v>177.1</v>
      </c>
      <c r="J777" s="361"/>
      <c r="K777" s="275">
        <f>22.8*F777</f>
        <v>159.6</v>
      </c>
      <c r="L777" s="245">
        <v>41194</v>
      </c>
      <c r="M777" s="5" t="s">
        <v>2327</v>
      </c>
      <c r="N777" s="235">
        <f t="shared" si="49"/>
        <v>177.1</v>
      </c>
      <c r="O777" s="235">
        <f t="shared" si="50"/>
        <v>0</v>
      </c>
      <c r="P777" s="246" t="s">
        <v>3595</v>
      </c>
      <c r="Q777" s="5" t="s">
        <v>2938</v>
      </c>
      <c r="R777" s="239" t="s">
        <v>2082</v>
      </c>
      <c r="S777" s="238" t="s">
        <v>2082</v>
      </c>
      <c r="T777" s="238" t="s">
        <v>2082</v>
      </c>
      <c r="U777" s="238" t="s">
        <v>2082</v>
      </c>
      <c r="V777" s="246" t="s">
        <v>2488</v>
      </c>
      <c r="W777" s="235"/>
      <c r="X777" s="7"/>
      <c r="Y777" s="246"/>
      <c r="Z777" s="273" t="s">
        <v>2549</v>
      </c>
      <c r="AA777" s="248" t="s">
        <v>398</v>
      </c>
      <c r="AB777" s="5" t="s">
        <v>2527</v>
      </c>
    </row>
    <row r="778" spans="1:28" ht="11.25" customHeight="1">
      <c r="A778" s="7">
        <v>41194</v>
      </c>
      <c r="B778" s="5" t="s">
        <v>2555</v>
      </c>
      <c r="C778" s="277" t="s">
        <v>2080</v>
      </c>
      <c r="D778" s="5" t="s">
        <v>307</v>
      </c>
      <c r="E778" s="5">
        <v>1110</v>
      </c>
      <c r="F778" s="5">
        <v>200</v>
      </c>
      <c r="G778" s="5" t="s">
        <v>2398</v>
      </c>
      <c r="H778" s="243">
        <v>0.8</v>
      </c>
      <c r="I778" s="235">
        <f t="shared" si="48"/>
        <v>160</v>
      </c>
      <c r="J778" s="361"/>
      <c r="K778" s="266">
        <f>0.77*200</f>
        <v>154</v>
      </c>
      <c r="L778" s="245">
        <v>41198</v>
      </c>
      <c r="M778" s="5" t="s">
        <v>2077</v>
      </c>
      <c r="N778" s="235">
        <f t="shared" si="49"/>
        <v>160</v>
      </c>
      <c r="O778" s="235">
        <f t="shared" si="50"/>
        <v>0</v>
      </c>
      <c r="P778" s="246" t="s">
        <v>2082</v>
      </c>
      <c r="Q778" s="5" t="s">
        <v>3596</v>
      </c>
      <c r="R778" s="239" t="s">
        <v>2082</v>
      </c>
      <c r="S778" s="238" t="s">
        <v>2082</v>
      </c>
      <c r="T778" s="238" t="s">
        <v>2082</v>
      </c>
      <c r="U778" s="238" t="s">
        <v>2082</v>
      </c>
      <c r="V778" s="246" t="s">
        <v>3597</v>
      </c>
      <c r="W778" s="235">
        <v>8558.0400000000009</v>
      </c>
      <c r="X778" s="7">
        <v>41205</v>
      </c>
      <c r="Y778" s="5">
        <v>23000438484</v>
      </c>
      <c r="Z778" s="273"/>
      <c r="AA778" s="248"/>
      <c r="AB778" s="5" t="s">
        <v>2527</v>
      </c>
    </row>
    <row r="779" spans="1:28" s="5" customFormat="1" ht="12" customHeight="1">
      <c r="A779" s="233">
        <v>41194</v>
      </c>
      <c r="B779" s="1" t="s">
        <v>3598</v>
      </c>
      <c r="C779" s="277" t="s">
        <v>2080</v>
      </c>
      <c r="D779" s="5" t="s">
        <v>854</v>
      </c>
      <c r="E779" s="5">
        <v>9031</v>
      </c>
      <c r="F779" s="5">
        <v>500</v>
      </c>
      <c r="G779" s="232" t="s">
        <v>2086</v>
      </c>
      <c r="H779" s="234">
        <v>2.4</v>
      </c>
      <c r="I779" s="235">
        <f t="shared" si="48"/>
        <v>1200</v>
      </c>
      <c r="J779" s="352"/>
      <c r="K779" s="266">
        <f>1.49292*500</f>
        <v>746.46</v>
      </c>
      <c r="L779" s="237">
        <v>41197</v>
      </c>
      <c r="M779" s="1" t="s">
        <v>2327</v>
      </c>
      <c r="N779" s="235">
        <f t="shared" si="49"/>
        <v>1200</v>
      </c>
      <c r="O779" s="235">
        <f t="shared" si="50"/>
        <v>0</v>
      </c>
      <c r="P779" s="238" t="s">
        <v>3599</v>
      </c>
      <c r="Q779" s="5" t="s">
        <v>3600</v>
      </c>
      <c r="R779" s="239" t="s">
        <v>2082</v>
      </c>
      <c r="S779" s="239" t="s">
        <v>2082</v>
      </c>
      <c r="T779" s="239" t="s">
        <v>2082</v>
      </c>
      <c r="U779" s="239" t="s">
        <v>2082</v>
      </c>
      <c r="V779" s="238" t="s">
        <v>2488</v>
      </c>
      <c r="W779" s="236"/>
      <c r="X779" s="233"/>
      <c r="Y779" s="238"/>
      <c r="Z779" s="255"/>
      <c r="AA779" s="240"/>
      <c r="AB779" s="1" t="s">
        <v>2079</v>
      </c>
    </row>
    <row r="780" spans="1:28" s="5" customFormat="1" ht="11.25" customHeight="1">
      <c r="A780" s="7">
        <v>41197</v>
      </c>
      <c r="B780" s="5" t="s">
        <v>2709</v>
      </c>
      <c r="C780" s="277" t="s">
        <v>2080</v>
      </c>
      <c r="D780" s="1" t="s">
        <v>346</v>
      </c>
      <c r="E780" s="5">
        <v>3700</v>
      </c>
      <c r="F780" s="5">
        <v>-60</v>
      </c>
      <c r="G780" s="1" t="s">
        <v>2086</v>
      </c>
      <c r="H780" s="243">
        <v>3.46</v>
      </c>
      <c r="I780" s="235">
        <f>H780*F780</f>
        <v>-207.6</v>
      </c>
      <c r="J780" s="361">
        <v>3.09</v>
      </c>
      <c r="K780" s="266">
        <f>3.09*F780</f>
        <v>-185.39999999999998</v>
      </c>
      <c r="L780" s="245">
        <v>41193</v>
      </c>
      <c r="M780" s="5" t="s">
        <v>2077</v>
      </c>
      <c r="N780" s="235">
        <f t="shared" si="49"/>
        <v>-207.6</v>
      </c>
      <c r="O780" s="235">
        <f t="shared" si="50"/>
        <v>0</v>
      </c>
      <c r="P780" s="238" t="s">
        <v>4886</v>
      </c>
      <c r="Q780" s="1" t="s">
        <v>1863</v>
      </c>
      <c r="R780" s="247" t="s">
        <v>1863</v>
      </c>
      <c r="S780" s="246" t="s">
        <v>1863</v>
      </c>
      <c r="T780" s="246" t="s">
        <v>1863</v>
      </c>
      <c r="U780" s="246" t="s">
        <v>1863</v>
      </c>
      <c r="V780" s="238" t="s">
        <v>3541</v>
      </c>
      <c r="W780" s="235">
        <v>4372.8</v>
      </c>
      <c r="X780" s="7">
        <v>41205</v>
      </c>
      <c r="Y780" s="5" t="s">
        <v>2212</v>
      </c>
      <c r="Z780" s="273"/>
      <c r="AA780" s="248" t="s">
        <v>2542</v>
      </c>
      <c r="AB780" s="5" t="s">
        <v>2527</v>
      </c>
    </row>
    <row r="781" spans="1:28" ht="11.25" customHeight="1">
      <c r="A781" s="7">
        <v>41197</v>
      </c>
      <c r="B781" s="5" t="s">
        <v>2709</v>
      </c>
      <c r="C781" s="277" t="s">
        <v>2080</v>
      </c>
      <c r="D781" s="5" t="s">
        <v>1874</v>
      </c>
      <c r="E781" s="5" t="s">
        <v>2615</v>
      </c>
      <c r="F781" s="5">
        <v>-60</v>
      </c>
      <c r="G781" s="1" t="s">
        <v>2490</v>
      </c>
      <c r="H781" s="243">
        <v>1.73</v>
      </c>
      <c r="I781" s="235">
        <f>H781*F781</f>
        <v>-103.8</v>
      </c>
      <c r="J781" s="359">
        <v>1.54</v>
      </c>
      <c r="K781" s="266">
        <f>1.54*F781</f>
        <v>-92.4</v>
      </c>
      <c r="L781" s="245">
        <v>41193</v>
      </c>
      <c r="M781" s="5" t="s">
        <v>2077</v>
      </c>
      <c r="N781" s="235">
        <f t="shared" si="49"/>
        <v>-103.8</v>
      </c>
      <c r="O781" s="235">
        <f t="shared" si="50"/>
        <v>0</v>
      </c>
      <c r="P781" s="238" t="s">
        <v>4886</v>
      </c>
      <c r="Q781" s="1" t="s">
        <v>1863</v>
      </c>
      <c r="R781" s="247" t="s">
        <v>1863</v>
      </c>
      <c r="S781" s="246" t="s">
        <v>1863</v>
      </c>
      <c r="T781" s="246" t="s">
        <v>1863</v>
      </c>
      <c r="U781" s="246" t="s">
        <v>1863</v>
      </c>
      <c r="V781" s="238" t="s">
        <v>3541</v>
      </c>
      <c r="W781" s="235">
        <v>4372.8</v>
      </c>
      <c r="X781" s="7">
        <v>41205</v>
      </c>
      <c r="Y781" s="5" t="s">
        <v>2212</v>
      </c>
      <c r="Z781" s="273"/>
      <c r="AA781" s="248" t="s">
        <v>2542</v>
      </c>
      <c r="AB781" s="5" t="s">
        <v>2527</v>
      </c>
    </row>
    <row r="782" spans="1:28" ht="11.25" customHeight="1">
      <c r="A782" s="233">
        <v>41197</v>
      </c>
      <c r="B782" s="5" t="s">
        <v>2709</v>
      </c>
      <c r="C782" s="277" t="s">
        <v>2080</v>
      </c>
      <c r="D782" s="1" t="s">
        <v>1869</v>
      </c>
      <c r="E782" s="5" t="s">
        <v>3490</v>
      </c>
      <c r="F782" s="5">
        <v>60</v>
      </c>
      <c r="G782" s="1" t="s">
        <v>2086</v>
      </c>
      <c r="H782" s="234">
        <v>1.87</v>
      </c>
      <c r="I782" s="236">
        <f t="shared" si="48"/>
        <v>112.2</v>
      </c>
      <c r="J782" s="352" t="s">
        <v>6049</v>
      </c>
      <c r="K782" s="266">
        <f>1.58*50+10*1.82</f>
        <v>97.2</v>
      </c>
      <c r="L782" s="237">
        <v>41221</v>
      </c>
      <c r="M782" s="5" t="s">
        <v>2077</v>
      </c>
      <c r="N782" s="235">
        <f t="shared" si="49"/>
        <v>112.2</v>
      </c>
      <c r="O782" s="235">
        <f t="shared" si="50"/>
        <v>0</v>
      </c>
      <c r="P782" s="238" t="s">
        <v>3601</v>
      </c>
      <c r="Q782" s="5" t="s">
        <v>2212</v>
      </c>
      <c r="R782" s="239" t="s">
        <v>2082</v>
      </c>
      <c r="S782" s="238" t="s">
        <v>2082</v>
      </c>
      <c r="T782" s="238" t="s">
        <v>2082</v>
      </c>
      <c r="U782" s="238" t="s">
        <v>2082</v>
      </c>
      <c r="V782" s="238" t="s">
        <v>3541</v>
      </c>
      <c r="W782" s="236">
        <v>4372.8</v>
      </c>
      <c r="X782" s="233">
        <v>41205</v>
      </c>
      <c r="Y782" s="5" t="s">
        <v>2212</v>
      </c>
      <c r="AB782" s="5" t="s">
        <v>2527</v>
      </c>
    </row>
    <row r="783" spans="1:28" ht="11.25" customHeight="1">
      <c r="A783" s="233">
        <v>41197</v>
      </c>
      <c r="B783" s="5" t="s">
        <v>2709</v>
      </c>
      <c r="C783" s="277" t="s">
        <v>2080</v>
      </c>
      <c r="D783" s="1" t="s">
        <v>268</v>
      </c>
      <c r="E783" s="5" t="s">
        <v>3602</v>
      </c>
      <c r="F783" s="5">
        <v>180</v>
      </c>
      <c r="G783" s="1" t="s">
        <v>2490</v>
      </c>
      <c r="H783" s="234">
        <v>1.38</v>
      </c>
      <c r="I783" s="236">
        <f t="shared" si="48"/>
        <v>248.39999999999998</v>
      </c>
      <c r="K783" s="266">
        <f>1.27*180</f>
        <v>228.6</v>
      </c>
      <c r="L783" s="237">
        <v>41221</v>
      </c>
      <c r="M783" s="5" t="s">
        <v>2077</v>
      </c>
      <c r="N783" s="235">
        <f t="shared" si="49"/>
        <v>248.39999999999998</v>
      </c>
      <c r="O783" s="235">
        <f t="shared" si="50"/>
        <v>0</v>
      </c>
      <c r="P783" s="238" t="s">
        <v>3601</v>
      </c>
      <c r="Q783" s="5" t="s">
        <v>2212</v>
      </c>
      <c r="R783" s="239" t="s">
        <v>2082</v>
      </c>
      <c r="S783" s="238" t="s">
        <v>2082</v>
      </c>
      <c r="T783" s="238" t="s">
        <v>2082</v>
      </c>
      <c r="U783" s="238" t="s">
        <v>2082</v>
      </c>
      <c r="V783" s="238" t="s">
        <v>3541</v>
      </c>
      <c r="W783" s="236">
        <v>4372.8</v>
      </c>
      <c r="X783" s="233">
        <v>41205</v>
      </c>
      <c r="Y783" s="5" t="s">
        <v>2212</v>
      </c>
      <c r="AB783" s="5" t="s">
        <v>2527</v>
      </c>
    </row>
    <row r="784" spans="1:28" ht="11.25" customHeight="1">
      <c r="A784" s="233">
        <v>41197</v>
      </c>
      <c r="B784" s="5" t="s">
        <v>2709</v>
      </c>
      <c r="C784" s="277" t="s">
        <v>2080</v>
      </c>
      <c r="D784" s="1" t="s">
        <v>353</v>
      </c>
      <c r="E784" s="5" t="s">
        <v>3587</v>
      </c>
      <c r="F784" s="5">
        <v>30</v>
      </c>
      <c r="G784" s="1" t="s">
        <v>2086</v>
      </c>
      <c r="H784" s="234">
        <v>11.93</v>
      </c>
      <c r="I784" s="236">
        <f t="shared" si="48"/>
        <v>357.9</v>
      </c>
      <c r="K784" s="266">
        <f>10.94*30</f>
        <v>328.2</v>
      </c>
      <c r="L784" s="237">
        <v>41221</v>
      </c>
      <c r="M784" s="5" t="s">
        <v>2077</v>
      </c>
      <c r="N784" s="235">
        <f t="shared" si="49"/>
        <v>357.9</v>
      </c>
      <c r="O784" s="235">
        <f t="shared" si="50"/>
        <v>0</v>
      </c>
      <c r="P784" s="238" t="s">
        <v>3601</v>
      </c>
      <c r="Q784" s="5" t="s">
        <v>2212</v>
      </c>
      <c r="R784" s="239" t="s">
        <v>2082</v>
      </c>
      <c r="S784" s="238" t="s">
        <v>2082</v>
      </c>
      <c r="T784" s="238" t="s">
        <v>2082</v>
      </c>
      <c r="U784" s="238" t="s">
        <v>2082</v>
      </c>
      <c r="V784" s="238" t="s">
        <v>3541</v>
      </c>
      <c r="W784" s="236">
        <v>4372.8</v>
      </c>
      <c r="X784" s="233">
        <v>41205</v>
      </c>
      <c r="Y784" s="5" t="s">
        <v>2212</v>
      </c>
      <c r="AB784" s="5" t="s">
        <v>2527</v>
      </c>
    </row>
    <row r="785" spans="1:28" ht="11.25" customHeight="1">
      <c r="A785" s="233">
        <v>41197</v>
      </c>
      <c r="B785" s="1" t="s">
        <v>3603</v>
      </c>
      <c r="C785" s="277" t="s">
        <v>2080</v>
      </c>
      <c r="D785" s="5" t="s">
        <v>854</v>
      </c>
      <c r="E785" s="5">
        <v>9031</v>
      </c>
      <c r="F785" s="5">
        <v>100</v>
      </c>
      <c r="G785" s="232" t="s">
        <v>2086</v>
      </c>
      <c r="H785" s="234">
        <v>2.4</v>
      </c>
      <c r="I785" s="235">
        <f t="shared" si="48"/>
        <v>240</v>
      </c>
      <c r="K785" s="266">
        <f>1.49292*F785</f>
        <v>149.292</v>
      </c>
      <c r="L785" s="237">
        <v>41197</v>
      </c>
      <c r="M785" s="1" t="s">
        <v>2327</v>
      </c>
      <c r="N785" s="235">
        <f t="shared" si="49"/>
        <v>240</v>
      </c>
      <c r="O785" s="235">
        <f t="shared" si="50"/>
        <v>0</v>
      </c>
      <c r="P785" s="238" t="s">
        <v>3604</v>
      </c>
      <c r="Q785" s="1" t="s">
        <v>3605</v>
      </c>
      <c r="R785" s="239" t="s">
        <v>2082</v>
      </c>
      <c r="S785" s="238" t="s">
        <v>2082</v>
      </c>
      <c r="T785" s="238" t="s">
        <v>2082</v>
      </c>
      <c r="U785" s="238" t="s">
        <v>2082</v>
      </c>
      <c r="V785" s="238" t="s">
        <v>2488</v>
      </c>
      <c r="AB785" s="1" t="s">
        <v>2079</v>
      </c>
    </row>
    <row r="786" spans="1:28" ht="11.25" customHeight="1">
      <c r="A786" s="233">
        <v>41197</v>
      </c>
      <c r="B786" s="1" t="s">
        <v>3603</v>
      </c>
      <c r="C786" s="277" t="s">
        <v>2080</v>
      </c>
      <c r="D786" s="1" t="s">
        <v>2028</v>
      </c>
      <c r="E786" s="5" t="s">
        <v>3168</v>
      </c>
      <c r="F786" s="5">
        <v>1</v>
      </c>
      <c r="G786" s="1" t="s">
        <v>3129</v>
      </c>
      <c r="H786" s="234">
        <v>160</v>
      </c>
      <c r="I786" s="235">
        <f t="shared" si="48"/>
        <v>160</v>
      </c>
      <c r="K786" s="266">
        <f>107.64*1</f>
        <v>107.64</v>
      </c>
      <c r="L786" s="237">
        <v>41197</v>
      </c>
      <c r="M786" s="1" t="s">
        <v>2327</v>
      </c>
      <c r="N786" s="235">
        <f t="shared" si="49"/>
        <v>160</v>
      </c>
      <c r="O786" s="235">
        <f t="shared" si="50"/>
        <v>0</v>
      </c>
      <c r="P786" s="238" t="s">
        <v>3604</v>
      </c>
      <c r="Q786" s="1" t="s">
        <v>3605</v>
      </c>
      <c r="R786" s="239" t="s">
        <v>2082</v>
      </c>
      <c r="S786" s="238" t="s">
        <v>2082</v>
      </c>
      <c r="T786" s="238" t="s">
        <v>2082</v>
      </c>
      <c r="U786" s="238" t="s">
        <v>2082</v>
      </c>
      <c r="V786" s="238" t="s">
        <v>2488</v>
      </c>
      <c r="AB786" s="1" t="s">
        <v>2079</v>
      </c>
    </row>
    <row r="787" spans="1:28" ht="11.25" customHeight="1">
      <c r="A787" s="233">
        <v>41197</v>
      </c>
      <c r="B787" s="1" t="s">
        <v>3606</v>
      </c>
      <c r="C787" s="277" t="s">
        <v>2080</v>
      </c>
      <c r="D787" s="1" t="s">
        <v>86</v>
      </c>
      <c r="E787" s="5">
        <v>9032</v>
      </c>
      <c r="F787" s="5">
        <v>2000</v>
      </c>
      <c r="G787" s="1" t="s">
        <v>2086</v>
      </c>
      <c r="H787" s="234">
        <v>1.9</v>
      </c>
      <c r="I787" s="235">
        <f t="shared" si="48"/>
        <v>3800</v>
      </c>
      <c r="K787" s="266">
        <f>1.4929*2000</f>
        <v>2985.7999999999997</v>
      </c>
      <c r="L787" s="237">
        <v>41197</v>
      </c>
      <c r="M787" s="1" t="s">
        <v>2390</v>
      </c>
      <c r="N787" s="235">
        <f t="shared" si="49"/>
        <v>3800</v>
      </c>
      <c r="O787" s="235">
        <f t="shared" si="50"/>
        <v>0</v>
      </c>
      <c r="P787" s="238" t="s">
        <v>3607</v>
      </c>
      <c r="Q787" s="1" t="s">
        <v>2212</v>
      </c>
      <c r="R787" s="239" t="s">
        <v>2483</v>
      </c>
      <c r="S787" s="238" t="s">
        <v>2484</v>
      </c>
      <c r="T787" s="238" t="s">
        <v>167</v>
      </c>
      <c r="V787" s="238" t="s">
        <v>175</v>
      </c>
      <c r="AB787" s="1" t="s">
        <v>2079</v>
      </c>
    </row>
    <row r="788" spans="1:28" ht="12" customHeight="1">
      <c r="A788" s="233">
        <v>41198</v>
      </c>
      <c r="B788" s="228" t="s">
        <v>2649</v>
      </c>
      <c r="C788" s="277" t="s">
        <v>2080</v>
      </c>
      <c r="D788" s="1" t="s">
        <v>353</v>
      </c>
      <c r="E788" s="5" t="s">
        <v>3587</v>
      </c>
      <c r="F788" s="5">
        <v>56</v>
      </c>
      <c r="G788" s="1" t="s">
        <v>2086</v>
      </c>
      <c r="H788" s="234">
        <v>13</v>
      </c>
      <c r="I788" s="235">
        <f t="shared" si="48"/>
        <v>728</v>
      </c>
      <c r="K788" s="266">
        <f>10.94*56</f>
        <v>612.64</v>
      </c>
      <c r="L788" s="237">
        <v>41198</v>
      </c>
      <c r="M788" s="1" t="s">
        <v>2077</v>
      </c>
      <c r="N788" s="235">
        <f t="shared" si="49"/>
        <v>728</v>
      </c>
      <c r="O788" s="235">
        <f t="shared" si="50"/>
        <v>0</v>
      </c>
      <c r="P788" s="238" t="s">
        <v>3608</v>
      </c>
      <c r="Q788" s="1" t="s">
        <v>2212</v>
      </c>
      <c r="R788" s="239" t="s">
        <v>3148</v>
      </c>
      <c r="S788" s="238" t="s">
        <v>3149</v>
      </c>
      <c r="T788" s="238" t="s">
        <v>2082</v>
      </c>
      <c r="U788" s="238" t="s">
        <v>2082</v>
      </c>
      <c r="V788" s="238" t="s">
        <v>3510</v>
      </c>
      <c r="W788" s="236">
        <v>6244.3</v>
      </c>
      <c r="X788" s="233">
        <v>41205</v>
      </c>
      <c r="Y788" s="238" t="s">
        <v>2082</v>
      </c>
      <c r="AB788" s="1" t="s">
        <v>2527</v>
      </c>
    </row>
    <row r="789" spans="1:28" ht="12" customHeight="1">
      <c r="A789" s="233">
        <v>41198</v>
      </c>
      <c r="B789" s="228" t="s">
        <v>2649</v>
      </c>
      <c r="C789" s="277" t="s">
        <v>2080</v>
      </c>
      <c r="D789" s="1" t="s">
        <v>1210</v>
      </c>
      <c r="E789" s="5">
        <v>3200</v>
      </c>
      <c r="F789" s="5">
        <v>58</v>
      </c>
      <c r="G789" s="1" t="s">
        <v>2086</v>
      </c>
      <c r="H789" s="234">
        <v>26.5</v>
      </c>
      <c r="I789" s="235">
        <f t="shared" si="48"/>
        <v>1537</v>
      </c>
      <c r="K789" s="266">
        <f>23.94*58</f>
        <v>1388.52</v>
      </c>
      <c r="L789" s="237">
        <v>41198</v>
      </c>
      <c r="M789" s="1" t="s">
        <v>2077</v>
      </c>
      <c r="N789" s="235">
        <f t="shared" si="49"/>
        <v>1537</v>
      </c>
      <c r="O789" s="235">
        <f t="shared" si="50"/>
        <v>0</v>
      </c>
      <c r="P789" s="238" t="s">
        <v>3608</v>
      </c>
      <c r="Q789" s="1" t="s">
        <v>2212</v>
      </c>
      <c r="R789" s="239" t="s">
        <v>3148</v>
      </c>
      <c r="S789" s="238" t="s">
        <v>3149</v>
      </c>
      <c r="T789" s="238" t="s">
        <v>2082</v>
      </c>
      <c r="U789" s="238" t="s">
        <v>2082</v>
      </c>
      <c r="V789" s="238" t="s">
        <v>3510</v>
      </c>
      <c r="W789" s="236">
        <v>6244.3</v>
      </c>
      <c r="X789" s="233">
        <v>41205</v>
      </c>
      <c r="Y789" s="238" t="s">
        <v>2082</v>
      </c>
      <c r="AB789" s="1" t="s">
        <v>2527</v>
      </c>
    </row>
    <row r="790" spans="1:28" ht="11.25" customHeight="1">
      <c r="A790" s="233">
        <v>41198</v>
      </c>
      <c r="B790" s="228" t="s">
        <v>2649</v>
      </c>
      <c r="C790" s="277" t="s">
        <v>2080</v>
      </c>
      <c r="D790" s="1" t="s">
        <v>346</v>
      </c>
      <c r="E790" s="5">
        <v>3700</v>
      </c>
      <c r="F790" s="5">
        <v>8</v>
      </c>
      <c r="G790" s="1" t="s">
        <v>2086</v>
      </c>
      <c r="H790" s="234">
        <v>3.31</v>
      </c>
      <c r="I790" s="235">
        <f t="shared" si="48"/>
        <v>26.48</v>
      </c>
      <c r="J790" s="352">
        <v>3.09</v>
      </c>
      <c r="K790" s="266">
        <f>3.09*8</f>
        <v>24.72</v>
      </c>
      <c r="L790" s="237">
        <v>41198</v>
      </c>
      <c r="M790" s="1" t="s">
        <v>2077</v>
      </c>
      <c r="N790" s="235">
        <f t="shared" si="49"/>
        <v>26.48</v>
      </c>
      <c r="O790" s="235">
        <f t="shared" si="50"/>
        <v>0</v>
      </c>
      <c r="P790" s="238" t="s">
        <v>3608</v>
      </c>
      <c r="Q790" s="1" t="s">
        <v>2212</v>
      </c>
      <c r="R790" s="239" t="s">
        <v>3148</v>
      </c>
      <c r="S790" s="238" t="s">
        <v>3149</v>
      </c>
      <c r="T790" s="238" t="s">
        <v>2082</v>
      </c>
      <c r="U790" s="238" t="s">
        <v>2082</v>
      </c>
      <c r="V790" s="238" t="s">
        <v>3510</v>
      </c>
      <c r="W790" s="236">
        <v>6244.3</v>
      </c>
      <c r="X790" s="233">
        <v>41205</v>
      </c>
      <c r="Y790" s="238" t="s">
        <v>2082</v>
      </c>
      <c r="AB790" s="1" t="s">
        <v>2527</v>
      </c>
    </row>
    <row r="791" spans="1:28" ht="11.25" customHeight="1">
      <c r="A791" s="233">
        <v>41198</v>
      </c>
      <c r="B791" s="228" t="s">
        <v>2649</v>
      </c>
      <c r="C791" s="277" t="s">
        <v>2080</v>
      </c>
      <c r="D791" s="1" t="s">
        <v>1869</v>
      </c>
      <c r="E791" s="5" t="s">
        <v>3490</v>
      </c>
      <c r="F791" s="5">
        <v>50</v>
      </c>
      <c r="G791" s="1" t="s">
        <v>2086</v>
      </c>
      <c r="H791" s="234">
        <v>1.93</v>
      </c>
      <c r="I791" s="235">
        <f t="shared" si="48"/>
        <v>96.5</v>
      </c>
      <c r="J791" s="352">
        <v>1.58</v>
      </c>
      <c r="K791" s="266">
        <f>1.58*50</f>
        <v>79</v>
      </c>
      <c r="L791" s="237">
        <v>41198</v>
      </c>
      <c r="M791" s="1" t="s">
        <v>2077</v>
      </c>
      <c r="N791" s="235">
        <f t="shared" si="49"/>
        <v>96.5</v>
      </c>
      <c r="O791" s="235">
        <f t="shared" si="50"/>
        <v>0</v>
      </c>
      <c r="P791" s="238" t="s">
        <v>3608</v>
      </c>
      <c r="Q791" s="1" t="s">
        <v>2212</v>
      </c>
      <c r="R791" s="239" t="s">
        <v>3148</v>
      </c>
      <c r="S791" s="238" t="s">
        <v>3149</v>
      </c>
      <c r="T791" s="238" t="s">
        <v>2082</v>
      </c>
      <c r="U791" s="238" t="s">
        <v>2082</v>
      </c>
      <c r="V791" s="238" t="s">
        <v>3510</v>
      </c>
      <c r="W791" s="236">
        <v>6244.3</v>
      </c>
      <c r="X791" s="233">
        <v>41205</v>
      </c>
      <c r="Y791" s="238" t="s">
        <v>2082</v>
      </c>
      <c r="AB791" s="1" t="s">
        <v>2527</v>
      </c>
    </row>
    <row r="792" spans="1:28" s="5" customFormat="1" ht="11.25" customHeight="1">
      <c r="A792" s="233">
        <v>41198</v>
      </c>
      <c r="B792" s="228" t="s">
        <v>2649</v>
      </c>
      <c r="C792" s="277" t="s">
        <v>2080</v>
      </c>
      <c r="D792" s="1" t="s">
        <v>305</v>
      </c>
      <c r="E792" s="5">
        <v>1270</v>
      </c>
      <c r="F792" s="5">
        <v>50</v>
      </c>
      <c r="G792" s="1" t="s">
        <v>2398</v>
      </c>
      <c r="H792" s="234">
        <v>4.45</v>
      </c>
      <c r="I792" s="235">
        <f t="shared" si="48"/>
        <v>222.5</v>
      </c>
      <c r="J792" s="352"/>
      <c r="K792" s="266">
        <f>4.31*50</f>
        <v>215.49999999999997</v>
      </c>
      <c r="L792" s="237">
        <v>41198</v>
      </c>
      <c r="M792" s="1" t="s">
        <v>2077</v>
      </c>
      <c r="N792" s="235">
        <f t="shared" si="49"/>
        <v>222.5</v>
      </c>
      <c r="O792" s="235">
        <f t="shared" si="50"/>
        <v>0</v>
      </c>
      <c r="P792" s="238" t="s">
        <v>3608</v>
      </c>
      <c r="Q792" s="1" t="s">
        <v>2212</v>
      </c>
      <c r="R792" s="239" t="s">
        <v>3148</v>
      </c>
      <c r="S792" s="238" t="s">
        <v>3149</v>
      </c>
      <c r="T792" s="238" t="s">
        <v>2082</v>
      </c>
      <c r="U792" s="238" t="s">
        <v>2082</v>
      </c>
      <c r="V792" s="238" t="s">
        <v>3510</v>
      </c>
      <c r="W792" s="236">
        <v>6244.3</v>
      </c>
      <c r="X792" s="233">
        <v>41205</v>
      </c>
      <c r="Y792" s="238" t="s">
        <v>2082</v>
      </c>
      <c r="Z792" s="255"/>
      <c r="AA792" s="240"/>
      <c r="AB792" s="1" t="s">
        <v>2527</v>
      </c>
    </row>
    <row r="793" spans="1:28" s="5" customFormat="1" ht="11.25" customHeight="1">
      <c r="A793" s="7">
        <v>41198</v>
      </c>
      <c r="B793" s="5" t="s">
        <v>3609</v>
      </c>
      <c r="C793" s="277" t="s">
        <v>2080</v>
      </c>
      <c r="D793" s="1" t="s">
        <v>1711</v>
      </c>
      <c r="E793" s="5">
        <v>8210</v>
      </c>
      <c r="F793" s="5">
        <v>60</v>
      </c>
      <c r="G793" s="1" t="s">
        <v>2086</v>
      </c>
      <c r="H793" s="243">
        <v>6.5</v>
      </c>
      <c r="I793" s="235">
        <f t="shared" si="48"/>
        <v>390</v>
      </c>
      <c r="J793" s="361"/>
      <c r="K793" s="266">
        <f>3.63*60</f>
        <v>217.79999999999998</v>
      </c>
      <c r="L793" s="245">
        <v>41205</v>
      </c>
      <c r="M793" s="5" t="s">
        <v>2327</v>
      </c>
      <c r="N793" s="235">
        <f t="shared" si="49"/>
        <v>390</v>
      </c>
      <c r="O793" s="235">
        <f t="shared" si="50"/>
        <v>0</v>
      </c>
      <c r="P793" s="246" t="s">
        <v>3610</v>
      </c>
      <c r="Q793" s="5" t="s">
        <v>3611</v>
      </c>
      <c r="R793" s="239" t="s">
        <v>2082</v>
      </c>
      <c r="S793" s="238" t="s">
        <v>2082</v>
      </c>
      <c r="T793" s="238" t="s">
        <v>2082</v>
      </c>
      <c r="U793" s="238" t="s">
        <v>2082</v>
      </c>
      <c r="V793" s="246" t="s">
        <v>2488</v>
      </c>
      <c r="W793" s="235"/>
      <c r="X793" s="7"/>
      <c r="Y793" s="246"/>
      <c r="Z793" s="273"/>
      <c r="AA793" s="248"/>
      <c r="AB793" s="5" t="s">
        <v>2079</v>
      </c>
    </row>
    <row r="794" spans="1:28" ht="12" customHeight="1">
      <c r="A794" s="7">
        <v>41198</v>
      </c>
      <c r="B794" s="5" t="s">
        <v>3609</v>
      </c>
      <c r="C794" s="277" t="s">
        <v>2080</v>
      </c>
      <c r="D794" s="5" t="s">
        <v>288</v>
      </c>
      <c r="E794" s="5" t="s">
        <v>3612</v>
      </c>
      <c r="F794" s="5">
        <v>20</v>
      </c>
      <c r="G794" s="5" t="s">
        <v>2398</v>
      </c>
      <c r="H794" s="243">
        <v>2</v>
      </c>
      <c r="I794" s="235">
        <f t="shared" si="48"/>
        <v>40</v>
      </c>
      <c r="J794" s="361"/>
      <c r="K794" s="266">
        <f>1.178*20</f>
        <v>23.56</v>
      </c>
      <c r="L794" s="245">
        <v>41205</v>
      </c>
      <c r="M794" s="5" t="s">
        <v>2327</v>
      </c>
      <c r="N794" s="235">
        <f t="shared" si="49"/>
        <v>40</v>
      </c>
      <c r="O794" s="235">
        <f t="shared" si="50"/>
        <v>0</v>
      </c>
      <c r="P794" s="246" t="s">
        <v>3610</v>
      </c>
      <c r="Q794" s="5" t="s">
        <v>3611</v>
      </c>
      <c r="R794" s="239" t="s">
        <v>2082</v>
      </c>
      <c r="S794" s="238" t="s">
        <v>2082</v>
      </c>
      <c r="T794" s="238" t="s">
        <v>2082</v>
      </c>
      <c r="U794" s="238" t="s">
        <v>2082</v>
      </c>
      <c r="V794" s="246" t="s">
        <v>2488</v>
      </c>
      <c r="W794" s="235"/>
      <c r="X794" s="7"/>
      <c r="Y794" s="246"/>
      <c r="Z794" s="273"/>
      <c r="AA794" s="248"/>
      <c r="AB794" s="5" t="s">
        <v>2079</v>
      </c>
    </row>
    <row r="795" spans="1:28" ht="11.25" customHeight="1">
      <c r="A795" s="233">
        <v>41198</v>
      </c>
      <c r="B795" s="1" t="s">
        <v>2940</v>
      </c>
      <c r="C795" s="277" t="s">
        <v>2080</v>
      </c>
      <c r="D795" s="1" t="s">
        <v>1210</v>
      </c>
      <c r="E795" s="5">
        <v>3200</v>
      </c>
      <c r="F795" s="5">
        <v>10</v>
      </c>
      <c r="G795" s="1" t="s">
        <v>2086</v>
      </c>
      <c r="H795" s="234">
        <v>34.6</v>
      </c>
      <c r="I795" s="235">
        <f t="shared" si="48"/>
        <v>346</v>
      </c>
      <c r="K795" s="266">
        <f>23.94*10</f>
        <v>239.4</v>
      </c>
      <c r="L795" s="237">
        <v>41198</v>
      </c>
      <c r="M795" s="1" t="s">
        <v>2390</v>
      </c>
      <c r="N795" s="235">
        <f t="shared" si="49"/>
        <v>346</v>
      </c>
      <c r="O795" s="235">
        <f t="shared" si="50"/>
        <v>0</v>
      </c>
      <c r="P795" s="238" t="s">
        <v>3613</v>
      </c>
      <c r="Q795" s="1" t="s">
        <v>2212</v>
      </c>
      <c r="R795" s="239" t="s">
        <v>2082</v>
      </c>
      <c r="S795" s="239" t="s">
        <v>2082</v>
      </c>
      <c r="T795" s="239" t="s">
        <v>2082</v>
      </c>
      <c r="U795" s="239" t="s">
        <v>2082</v>
      </c>
      <c r="AB795" s="1" t="s">
        <v>2079</v>
      </c>
    </row>
    <row r="796" spans="1:28" ht="12" customHeight="1">
      <c r="A796" s="233">
        <v>41198</v>
      </c>
      <c r="B796" s="1" t="s">
        <v>3614</v>
      </c>
      <c r="C796" s="277" t="s">
        <v>2080</v>
      </c>
      <c r="D796" s="1" t="s">
        <v>86</v>
      </c>
      <c r="E796" s="5">
        <v>9032</v>
      </c>
      <c r="F796" s="5">
        <v>500</v>
      </c>
      <c r="G796" s="1" t="s">
        <v>2086</v>
      </c>
      <c r="H796" s="234">
        <v>1.9</v>
      </c>
      <c r="I796" s="235">
        <f t="shared" si="48"/>
        <v>950</v>
      </c>
      <c r="K796" s="266">
        <f>1.4929*500</f>
        <v>746.44999999999993</v>
      </c>
      <c r="L796" s="237">
        <v>41198</v>
      </c>
      <c r="M796" s="1" t="s">
        <v>2390</v>
      </c>
      <c r="N796" s="235">
        <f t="shared" si="49"/>
        <v>950</v>
      </c>
      <c r="O796" s="235">
        <f t="shared" si="50"/>
        <v>0</v>
      </c>
      <c r="P796" s="238" t="s">
        <v>3615</v>
      </c>
      <c r="Q796" s="1" t="s">
        <v>2212</v>
      </c>
      <c r="R796" s="239" t="s">
        <v>2082</v>
      </c>
      <c r="S796" s="238" t="s">
        <v>2082</v>
      </c>
      <c r="T796" s="238" t="s">
        <v>2082</v>
      </c>
      <c r="U796" s="238" t="s">
        <v>2082</v>
      </c>
      <c r="V796" s="238" t="s">
        <v>2488</v>
      </c>
      <c r="AB796" s="1" t="s">
        <v>2527</v>
      </c>
    </row>
    <row r="797" spans="1:28" ht="12" customHeight="1">
      <c r="A797" s="233">
        <v>41198</v>
      </c>
      <c r="B797" s="1" t="s">
        <v>3616</v>
      </c>
      <c r="C797" s="277" t="s">
        <v>2080</v>
      </c>
      <c r="D797" s="95" t="s">
        <v>1904</v>
      </c>
      <c r="E797" s="5" t="s">
        <v>3617</v>
      </c>
      <c r="F797" s="5">
        <v>10</v>
      </c>
      <c r="G797" s="1" t="s">
        <v>2086</v>
      </c>
      <c r="H797" s="234">
        <v>56</v>
      </c>
      <c r="I797" s="235">
        <f t="shared" si="48"/>
        <v>560</v>
      </c>
      <c r="K797" s="266">
        <f>52.4*10</f>
        <v>524</v>
      </c>
      <c r="L797" s="237">
        <v>41193</v>
      </c>
      <c r="M797" s="1" t="s">
        <v>2077</v>
      </c>
      <c r="N797" s="235">
        <f t="shared" si="49"/>
        <v>560</v>
      </c>
      <c r="O797" s="235">
        <f t="shared" si="50"/>
        <v>0</v>
      </c>
      <c r="P797" s="238" t="s">
        <v>2082</v>
      </c>
      <c r="Q797" s="1" t="s">
        <v>2212</v>
      </c>
      <c r="R797" s="239" t="s">
        <v>2082</v>
      </c>
      <c r="S797" s="238" t="s">
        <v>2082</v>
      </c>
      <c r="T797" s="238" t="s">
        <v>2082</v>
      </c>
      <c r="U797" s="238" t="s">
        <v>2082</v>
      </c>
      <c r="V797" s="238" t="s">
        <v>3618</v>
      </c>
      <c r="W797" s="236">
        <v>1920</v>
      </c>
      <c r="X797" s="233">
        <v>41198</v>
      </c>
      <c r="Y797" s="238" t="s">
        <v>2212</v>
      </c>
      <c r="AB797" s="1" t="s">
        <v>2527</v>
      </c>
    </row>
    <row r="798" spans="1:28" s="5" customFormat="1" ht="12" customHeight="1">
      <c r="A798" s="233">
        <v>41198</v>
      </c>
      <c r="B798" s="1" t="s">
        <v>3616</v>
      </c>
      <c r="C798" s="277" t="s">
        <v>2080</v>
      </c>
      <c r="D798" s="95" t="s">
        <v>1962</v>
      </c>
      <c r="E798" s="5">
        <v>82501</v>
      </c>
      <c r="F798" s="5">
        <v>10</v>
      </c>
      <c r="G798" s="1" t="s">
        <v>2086</v>
      </c>
      <c r="H798" s="234">
        <v>136</v>
      </c>
      <c r="I798" s="235">
        <f t="shared" si="48"/>
        <v>1360</v>
      </c>
      <c r="J798" s="352"/>
      <c r="K798" s="266">
        <f>115.9*10</f>
        <v>1159</v>
      </c>
      <c r="L798" s="237">
        <v>41193</v>
      </c>
      <c r="M798" s="1" t="s">
        <v>2077</v>
      </c>
      <c r="N798" s="235">
        <f t="shared" si="49"/>
        <v>1360</v>
      </c>
      <c r="O798" s="235">
        <f t="shared" si="50"/>
        <v>0</v>
      </c>
      <c r="P798" s="238" t="s">
        <v>2082</v>
      </c>
      <c r="Q798" s="1" t="s">
        <v>2212</v>
      </c>
      <c r="R798" s="239" t="s">
        <v>2082</v>
      </c>
      <c r="S798" s="238" t="s">
        <v>2082</v>
      </c>
      <c r="T798" s="238" t="s">
        <v>2082</v>
      </c>
      <c r="U798" s="238" t="s">
        <v>2082</v>
      </c>
      <c r="V798" s="238" t="s">
        <v>3618</v>
      </c>
      <c r="W798" s="236">
        <v>1920</v>
      </c>
      <c r="X798" s="233">
        <v>41198</v>
      </c>
      <c r="Y798" s="238" t="s">
        <v>2212</v>
      </c>
      <c r="Z798" s="255"/>
      <c r="AA798" s="240"/>
      <c r="AB798" s="1" t="s">
        <v>2527</v>
      </c>
    </row>
    <row r="799" spans="1:28" s="5" customFormat="1" ht="12" customHeight="1">
      <c r="A799" s="7">
        <v>41198</v>
      </c>
      <c r="B799" s="5" t="s">
        <v>2555</v>
      </c>
      <c r="C799" s="277" t="s">
        <v>2080</v>
      </c>
      <c r="D799" s="5" t="s">
        <v>2037</v>
      </c>
      <c r="E799" s="5" t="s">
        <v>3619</v>
      </c>
      <c r="F799" s="5">
        <v>3</v>
      </c>
      <c r="G799" s="5" t="s">
        <v>2086</v>
      </c>
      <c r="H799" s="243">
        <v>300</v>
      </c>
      <c r="I799" s="235">
        <f t="shared" si="48"/>
        <v>900</v>
      </c>
      <c r="J799" s="361"/>
      <c r="K799" s="266">
        <f>290*3</f>
        <v>870</v>
      </c>
      <c r="L799" s="245">
        <v>41198</v>
      </c>
      <c r="M799" s="5" t="s">
        <v>2077</v>
      </c>
      <c r="N799" s="235">
        <f t="shared" si="49"/>
        <v>900</v>
      </c>
      <c r="O799" s="235">
        <f t="shared" si="50"/>
        <v>0</v>
      </c>
      <c r="P799" s="246" t="s">
        <v>2082</v>
      </c>
      <c r="Q799" s="5" t="s">
        <v>3611</v>
      </c>
      <c r="R799" s="239" t="s">
        <v>2082</v>
      </c>
      <c r="S799" s="238" t="s">
        <v>2082</v>
      </c>
      <c r="T799" s="238" t="s">
        <v>2082</v>
      </c>
      <c r="U799" s="238" t="s">
        <v>2082</v>
      </c>
      <c r="V799" s="246" t="s">
        <v>3597</v>
      </c>
      <c r="W799" s="235">
        <v>8558.0400000000009</v>
      </c>
      <c r="X799" s="7">
        <v>41205</v>
      </c>
      <c r="Y799" s="5">
        <v>23000438484</v>
      </c>
      <c r="Z799" s="273"/>
      <c r="AA799" s="248"/>
      <c r="AB799" s="1" t="s">
        <v>2527</v>
      </c>
    </row>
    <row r="800" spans="1:28" s="5" customFormat="1" ht="12" customHeight="1">
      <c r="A800" s="7">
        <v>41198</v>
      </c>
      <c r="B800" s="5" t="s">
        <v>2555</v>
      </c>
      <c r="C800" s="277" t="s">
        <v>2080</v>
      </c>
      <c r="D800" s="227" t="s">
        <v>5655</v>
      </c>
      <c r="E800" s="5" t="s">
        <v>3620</v>
      </c>
      <c r="F800" s="5">
        <v>5000</v>
      </c>
      <c r="G800" s="5" t="s">
        <v>2398</v>
      </c>
      <c r="H800" s="243">
        <v>0.57699999999999996</v>
      </c>
      <c r="I800" s="235">
        <f t="shared" si="48"/>
        <v>2885</v>
      </c>
      <c r="J800" s="361"/>
      <c r="K800" s="266">
        <f>0.52*5000</f>
        <v>2600</v>
      </c>
      <c r="L800" s="245">
        <v>41198</v>
      </c>
      <c r="M800" s="5" t="s">
        <v>2077</v>
      </c>
      <c r="N800" s="235">
        <f t="shared" si="49"/>
        <v>2885</v>
      </c>
      <c r="O800" s="235">
        <f t="shared" si="50"/>
        <v>0</v>
      </c>
      <c r="P800" s="246" t="s">
        <v>2082</v>
      </c>
      <c r="Q800" s="5" t="s">
        <v>3611</v>
      </c>
      <c r="R800" s="239" t="s">
        <v>2082</v>
      </c>
      <c r="S800" s="238" t="s">
        <v>2082</v>
      </c>
      <c r="T800" s="238" t="s">
        <v>2082</v>
      </c>
      <c r="U800" s="238" t="s">
        <v>2082</v>
      </c>
      <c r="V800" s="246" t="s">
        <v>3597</v>
      </c>
      <c r="W800" s="235">
        <v>8558.0400000000009</v>
      </c>
      <c r="X800" s="7">
        <v>41205</v>
      </c>
      <c r="Y800" s="5">
        <v>23000438484</v>
      </c>
      <c r="Z800" s="273"/>
      <c r="AA800" s="248"/>
      <c r="AB800" s="1" t="s">
        <v>2527</v>
      </c>
    </row>
    <row r="801" spans="1:28" s="5" customFormat="1" ht="12" customHeight="1">
      <c r="A801" s="7">
        <v>41198</v>
      </c>
      <c r="B801" s="5" t="s">
        <v>2555</v>
      </c>
      <c r="C801" s="277" t="s">
        <v>2080</v>
      </c>
      <c r="D801" s="1" t="s">
        <v>240</v>
      </c>
      <c r="E801" s="5">
        <v>6200</v>
      </c>
      <c r="F801" s="5">
        <v>96</v>
      </c>
      <c r="G801" s="5" t="s">
        <v>2086</v>
      </c>
      <c r="H801" s="243">
        <v>44.5</v>
      </c>
      <c r="I801" s="235">
        <f t="shared" si="48"/>
        <v>4272</v>
      </c>
      <c r="J801" s="361">
        <v>42.7</v>
      </c>
      <c r="K801" s="266">
        <f>42.7*F801</f>
        <v>4099.2000000000007</v>
      </c>
      <c r="L801" s="245">
        <v>41198</v>
      </c>
      <c r="M801" s="5" t="s">
        <v>2077</v>
      </c>
      <c r="N801" s="235">
        <f t="shared" si="49"/>
        <v>4272</v>
      </c>
      <c r="O801" s="235">
        <f t="shared" si="50"/>
        <v>0</v>
      </c>
      <c r="P801" s="246" t="s">
        <v>2082</v>
      </c>
      <c r="Q801" s="5" t="s">
        <v>3611</v>
      </c>
      <c r="R801" s="239" t="s">
        <v>2082</v>
      </c>
      <c r="S801" s="238" t="s">
        <v>2082</v>
      </c>
      <c r="T801" s="238" t="s">
        <v>2082</v>
      </c>
      <c r="U801" s="238" t="s">
        <v>2082</v>
      </c>
      <c r="V801" s="246" t="s">
        <v>3597</v>
      </c>
      <c r="W801" s="235">
        <v>8558.0400000000009</v>
      </c>
      <c r="X801" s="7">
        <v>41205</v>
      </c>
      <c r="Y801" s="5">
        <v>23000438484</v>
      </c>
      <c r="Z801" s="273"/>
      <c r="AA801" s="248"/>
      <c r="AB801" s="1" t="s">
        <v>2527</v>
      </c>
    </row>
    <row r="802" spans="1:28" s="5" customFormat="1" ht="12" customHeight="1">
      <c r="A802" s="7">
        <v>41198</v>
      </c>
      <c r="B802" s="5" t="s">
        <v>2555</v>
      </c>
      <c r="C802" s="277" t="s">
        <v>2080</v>
      </c>
      <c r="D802" s="231" t="s">
        <v>232</v>
      </c>
      <c r="E802" s="5" t="s">
        <v>2107</v>
      </c>
      <c r="F802" s="5">
        <v>492</v>
      </c>
      <c r="G802" s="1" t="s">
        <v>231</v>
      </c>
      <c r="H802" s="243">
        <v>5.2</v>
      </c>
      <c r="I802" s="235">
        <f t="shared" si="48"/>
        <v>2558.4</v>
      </c>
      <c r="J802" s="361"/>
      <c r="K802" s="266">
        <f>4.88*F802</f>
        <v>2400.96</v>
      </c>
      <c r="L802" s="245">
        <v>41198</v>
      </c>
      <c r="M802" s="5" t="s">
        <v>2077</v>
      </c>
      <c r="N802" s="235">
        <f t="shared" si="49"/>
        <v>2558.4</v>
      </c>
      <c r="O802" s="235">
        <f t="shared" si="50"/>
        <v>0</v>
      </c>
      <c r="P802" s="246" t="s">
        <v>2082</v>
      </c>
      <c r="Q802" s="5" t="s">
        <v>3611</v>
      </c>
      <c r="R802" s="239" t="s">
        <v>2082</v>
      </c>
      <c r="S802" s="239" t="s">
        <v>2082</v>
      </c>
      <c r="T802" s="239" t="s">
        <v>2082</v>
      </c>
      <c r="U802" s="239" t="s">
        <v>2082</v>
      </c>
      <c r="V802" s="246" t="s">
        <v>3621</v>
      </c>
      <c r="W802" s="235">
        <v>7192.68</v>
      </c>
      <c r="X802" s="7">
        <v>41205</v>
      </c>
      <c r="Y802" s="5">
        <v>23000438484</v>
      </c>
      <c r="Z802" s="273"/>
      <c r="AA802" s="248"/>
      <c r="AB802" s="1" t="s">
        <v>2527</v>
      </c>
    </row>
    <row r="803" spans="1:28" s="5" customFormat="1" ht="12" customHeight="1">
      <c r="A803" s="7">
        <v>41198</v>
      </c>
      <c r="B803" s="5" t="s">
        <v>2555</v>
      </c>
      <c r="C803" s="277" t="s">
        <v>2080</v>
      </c>
      <c r="D803" s="1" t="s">
        <v>353</v>
      </c>
      <c r="E803" s="5" t="s">
        <v>2492</v>
      </c>
      <c r="F803" s="5">
        <v>252</v>
      </c>
      <c r="G803" s="5" t="s">
        <v>2086</v>
      </c>
      <c r="H803" s="243">
        <v>18.39</v>
      </c>
      <c r="I803" s="235">
        <f t="shared" si="48"/>
        <v>4634.28</v>
      </c>
      <c r="J803" s="361" t="s">
        <v>6050</v>
      </c>
      <c r="K803" s="266">
        <f>17.5*240+12*17</f>
        <v>4404</v>
      </c>
      <c r="L803" s="245">
        <v>41198</v>
      </c>
      <c r="M803" s="5" t="s">
        <v>2077</v>
      </c>
      <c r="N803" s="235">
        <f t="shared" si="49"/>
        <v>4634.28</v>
      </c>
      <c r="O803" s="235">
        <f t="shared" si="50"/>
        <v>0</v>
      </c>
      <c r="P803" s="246" t="s">
        <v>2082</v>
      </c>
      <c r="Q803" s="5" t="s">
        <v>3611</v>
      </c>
      <c r="R803" s="247" t="s">
        <v>3622</v>
      </c>
      <c r="S803" s="246" t="s">
        <v>3623</v>
      </c>
      <c r="T803" s="246" t="s">
        <v>3624</v>
      </c>
      <c r="U803" s="246" t="s">
        <v>3625</v>
      </c>
      <c r="V803" s="246" t="s">
        <v>3621</v>
      </c>
      <c r="W803" s="235">
        <v>7192.68</v>
      </c>
      <c r="X803" s="7">
        <v>41205</v>
      </c>
      <c r="Y803" s="5">
        <v>23000438484</v>
      </c>
      <c r="Z803" s="273"/>
      <c r="AA803" s="248"/>
      <c r="AB803" s="1" t="s">
        <v>2527</v>
      </c>
    </row>
    <row r="804" spans="1:28" ht="11.25" customHeight="1">
      <c r="A804" s="7">
        <v>41198</v>
      </c>
      <c r="B804" s="5" t="s">
        <v>2555</v>
      </c>
      <c r="C804" s="277" t="s">
        <v>2080</v>
      </c>
      <c r="D804" s="1" t="s">
        <v>263</v>
      </c>
      <c r="E804" s="5">
        <v>501</v>
      </c>
      <c r="F804" s="5">
        <v>232</v>
      </c>
      <c r="G804" s="5" t="s">
        <v>2086</v>
      </c>
      <c r="H804" s="243">
        <v>1.47</v>
      </c>
      <c r="I804" s="235">
        <f t="shared" si="48"/>
        <v>341.04</v>
      </c>
      <c r="J804" s="361">
        <v>1.39</v>
      </c>
      <c r="K804" s="266">
        <f>1.39*F804</f>
        <v>322.47999999999996</v>
      </c>
      <c r="L804" s="245">
        <v>41198</v>
      </c>
      <c r="M804" s="5" t="s">
        <v>2077</v>
      </c>
      <c r="N804" s="235">
        <f t="shared" si="49"/>
        <v>341.04</v>
      </c>
      <c r="O804" s="235">
        <f t="shared" si="50"/>
        <v>0</v>
      </c>
      <c r="P804" s="246" t="s">
        <v>2082</v>
      </c>
      <c r="Q804" s="5" t="s">
        <v>3611</v>
      </c>
      <c r="R804" s="247" t="s">
        <v>3622</v>
      </c>
      <c r="S804" s="246" t="s">
        <v>3623</v>
      </c>
      <c r="T804" s="246" t="s">
        <v>3624</v>
      </c>
      <c r="U804" s="246" t="s">
        <v>3625</v>
      </c>
      <c r="V804" s="246" t="s">
        <v>3597</v>
      </c>
      <c r="W804" s="235">
        <v>8558.0400000000009</v>
      </c>
      <c r="X804" s="7">
        <v>41205</v>
      </c>
      <c r="Y804" s="5">
        <v>23000438484</v>
      </c>
      <c r="Z804" s="273"/>
      <c r="AA804" s="248"/>
      <c r="AB804" s="1" t="s">
        <v>2527</v>
      </c>
    </row>
    <row r="805" spans="1:28" ht="12" customHeight="1">
      <c r="A805" s="233">
        <v>41198</v>
      </c>
      <c r="B805" s="1" t="s">
        <v>3542</v>
      </c>
      <c r="C805" s="1" t="s">
        <v>2080</v>
      </c>
      <c r="D805" s="1" t="s">
        <v>304</v>
      </c>
      <c r="E805" s="5">
        <v>1426</v>
      </c>
      <c r="F805" s="5">
        <v>10</v>
      </c>
      <c r="G805" s="5" t="s">
        <v>2398</v>
      </c>
      <c r="H805" s="234">
        <v>29</v>
      </c>
      <c r="I805" s="235">
        <f t="shared" si="48"/>
        <v>290</v>
      </c>
      <c r="K805" s="266">
        <f>19.422*10</f>
        <v>194.22</v>
      </c>
      <c r="L805" s="237">
        <v>41198</v>
      </c>
      <c r="M805" s="1" t="s">
        <v>2390</v>
      </c>
      <c r="N805" s="235">
        <f t="shared" si="49"/>
        <v>290</v>
      </c>
      <c r="O805" s="235">
        <f t="shared" si="50"/>
        <v>0</v>
      </c>
      <c r="P805" s="238" t="s">
        <v>3626</v>
      </c>
      <c r="Q805" s="1" t="s">
        <v>2212</v>
      </c>
      <c r="R805" s="239" t="s">
        <v>3544</v>
      </c>
      <c r="S805" s="238" t="s">
        <v>3545</v>
      </c>
      <c r="T805" s="238" t="s">
        <v>3546</v>
      </c>
      <c r="U805" s="238" t="s">
        <v>2082</v>
      </c>
      <c r="V805" s="238" t="s">
        <v>2488</v>
      </c>
      <c r="AB805" s="1" t="s">
        <v>2079</v>
      </c>
    </row>
    <row r="806" spans="1:28" ht="11.25" customHeight="1">
      <c r="A806" s="233">
        <v>41198</v>
      </c>
      <c r="B806" s="1" t="s">
        <v>3542</v>
      </c>
      <c r="C806" s="1" t="s">
        <v>2080</v>
      </c>
      <c r="D806" s="1" t="s">
        <v>6623</v>
      </c>
      <c r="E806" s="5" t="s">
        <v>3627</v>
      </c>
      <c r="F806" s="5">
        <v>5</v>
      </c>
      <c r="G806" s="1" t="s">
        <v>2398</v>
      </c>
      <c r="H806" s="234">
        <v>22</v>
      </c>
      <c r="I806" s="235">
        <f t="shared" si="48"/>
        <v>110</v>
      </c>
      <c r="K806" s="266">
        <f>13.91*5</f>
        <v>69.55</v>
      </c>
      <c r="L806" s="237">
        <v>41198</v>
      </c>
      <c r="M806" s="1" t="s">
        <v>2390</v>
      </c>
      <c r="N806" s="235">
        <f t="shared" si="49"/>
        <v>110</v>
      </c>
      <c r="O806" s="235">
        <f t="shared" si="50"/>
        <v>0</v>
      </c>
      <c r="P806" s="238" t="s">
        <v>3626</v>
      </c>
      <c r="Q806" s="1" t="s">
        <v>2212</v>
      </c>
      <c r="R806" s="239" t="s">
        <v>3544</v>
      </c>
      <c r="S806" s="238" t="s">
        <v>3545</v>
      </c>
      <c r="T806" s="238" t="s">
        <v>3546</v>
      </c>
      <c r="U806" s="238" t="s">
        <v>2082</v>
      </c>
      <c r="V806" s="238" t="s">
        <v>2488</v>
      </c>
      <c r="Z806" s="255" t="s">
        <v>2549</v>
      </c>
      <c r="AB806" s="1" t="s">
        <v>2079</v>
      </c>
    </row>
    <row r="807" spans="1:28" ht="11.25" customHeight="1">
      <c r="A807" s="233">
        <v>41199</v>
      </c>
      <c r="B807" s="1" t="s">
        <v>2565</v>
      </c>
      <c r="C807" s="1" t="s">
        <v>2080</v>
      </c>
      <c r="D807" s="1" t="s">
        <v>1711</v>
      </c>
      <c r="E807" s="5">
        <v>8210</v>
      </c>
      <c r="F807" s="5">
        <v>80</v>
      </c>
      <c r="G807" s="1" t="s">
        <v>2086</v>
      </c>
      <c r="H807" s="234">
        <v>4.18</v>
      </c>
      <c r="I807" s="236">
        <f t="shared" si="48"/>
        <v>334.4</v>
      </c>
      <c r="K807" s="266">
        <f>3.63*60</f>
        <v>217.79999999999998</v>
      </c>
      <c r="L807" s="237">
        <v>41283</v>
      </c>
      <c r="M807" s="1" t="s">
        <v>2327</v>
      </c>
      <c r="N807" s="235">
        <f t="shared" si="49"/>
        <v>334.4</v>
      </c>
      <c r="O807" s="235">
        <f t="shared" si="50"/>
        <v>0</v>
      </c>
      <c r="P807" s="238" t="s">
        <v>3628</v>
      </c>
      <c r="Q807" s="1" t="s">
        <v>2562</v>
      </c>
      <c r="R807" s="239" t="s">
        <v>2567</v>
      </c>
      <c r="S807" s="238" t="s">
        <v>2568</v>
      </c>
      <c r="T807" s="238" t="s">
        <v>3629</v>
      </c>
      <c r="U807" s="238" t="s">
        <v>3630</v>
      </c>
      <c r="V807" s="238" t="s">
        <v>2488</v>
      </c>
      <c r="AB807" s="1" t="s">
        <v>2527</v>
      </c>
    </row>
    <row r="808" spans="1:28" ht="11.25" customHeight="1">
      <c r="A808" s="233">
        <v>41199</v>
      </c>
      <c r="B808" s="1" t="s">
        <v>2565</v>
      </c>
      <c r="C808" s="1" t="s">
        <v>2080</v>
      </c>
      <c r="D808" s="1" t="s">
        <v>2010</v>
      </c>
      <c r="E808" s="5">
        <v>10434</v>
      </c>
      <c r="F808" s="5">
        <v>60</v>
      </c>
      <c r="G808" s="1" t="s">
        <v>2398</v>
      </c>
      <c r="H808" s="234">
        <v>15.6</v>
      </c>
      <c r="I808" s="236">
        <f t="shared" si="48"/>
        <v>936</v>
      </c>
      <c r="K808" s="266">
        <f>14.28*60</f>
        <v>856.8</v>
      </c>
      <c r="L808" s="237">
        <v>41283</v>
      </c>
      <c r="M808" s="1" t="s">
        <v>2327</v>
      </c>
      <c r="N808" s="235">
        <f t="shared" si="49"/>
        <v>936</v>
      </c>
      <c r="O808" s="235">
        <f t="shared" si="50"/>
        <v>0</v>
      </c>
      <c r="P808" s="238" t="s">
        <v>3628</v>
      </c>
      <c r="Q808" s="1" t="s">
        <v>2562</v>
      </c>
      <c r="R808" s="239" t="s">
        <v>2567</v>
      </c>
      <c r="S808" s="238" t="s">
        <v>2568</v>
      </c>
      <c r="T808" s="238" t="s">
        <v>3629</v>
      </c>
      <c r="U808" s="238" t="s">
        <v>3630</v>
      </c>
      <c r="V808" s="238" t="s">
        <v>2488</v>
      </c>
      <c r="AB808" s="1" t="s">
        <v>2527</v>
      </c>
    </row>
    <row r="809" spans="1:28" ht="11.25" customHeight="1">
      <c r="A809" s="233">
        <v>41201</v>
      </c>
      <c r="B809" s="225" t="s">
        <v>3121</v>
      </c>
      <c r="C809" s="1" t="s">
        <v>2080</v>
      </c>
      <c r="D809" s="5" t="s">
        <v>2012</v>
      </c>
      <c r="E809" s="5" t="s">
        <v>3436</v>
      </c>
      <c r="F809" s="5">
        <v>100</v>
      </c>
      <c r="G809" s="1" t="s">
        <v>4970</v>
      </c>
      <c r="H809" s="234">
        <v>2</v>
      </c>
      <c r="I809" s="235">
        <f t="shared" si="48"/>
        <v>200</v>
      </c>
      <c r="J809" s="360">
        <v>1.46</v>
      </c>
      <c r="K809" s="266">
        <f>1.46*100</f>
        <v>146</v>
      </c>
      <c r="L809" s="237">
        <v>41201</v>
      </c>
      <c r="M809" s="1" t="s">
        <v>2390</v>
      </c>
      <c r="N809" s="235">
        <f t="shared" si="49"/>
        <v>200</v>
      </c>
      <c r="O809" s="235">
        <f t="shared" si="50"/>
        <v>0</v>
      </c>
      <c r="P809" s="238" t="s">
        <v>3631</v>
      </c>
      <c r="Q809" s="1" t="s">
        <v>2212</v>
      </c>
      <c r="R809" s="239" t="s">
        <v>2082</v>
      </c>
      <c r="S809" s="238" t="s">
        <v>2082</v>
      </c>
      <c r="T809" s="238" t="s">
        <v>2082</v>
      </c>
      <c r="U809" s="238" t="s">
        <v>2082</v>
      </c>
      <c r="V809" s="238" t="s">
        <v>2488</v>
      </c>
      <c r="AB809" s="1" t="s">
        <v>2079</v>
      </c>
    </row>
    <row r="810" spans="1:28" ht="11.25" customHeight="1">
      <c r="A810" s="233">
        <v>41201</v>
      </c>
      <c r="B810" s="225" t="s">
        <v>3121</v>
      </c>
      <c r="C810" s="1" t="s">
        <v>2080</v>
      </c>
      <c r="D810" s="1" t="s">
        <v>86</v>
      </c>
      <c r="E810" s="5">
        <v>9032</v>
      </c>
      <c r="F810" s="5">
        <v>100</v>
      </c>
      <c r="G810" s="1" t="s">
        <v>2086</v>
      </c>
      <c r="H810" s="234">
        <v>2</v>
      </c>
      <c r="I810" s="235">
        <f t="shared" si="48"/>
        <v>200</v>
      </c>
      <c r="K810" s="266">
        <f>1.4929*100</f>
        <v>149.29</v>
      </c>
      <c r="L810" s="237">
        <v>41201</v>
      </c>
      <c r="M810" s="1" t="s">
        <v>2390</v>
      </c>
      <c r="N810" s="235">
        <f t="shared" si="49"/>
        <v>200</v>
      </c>
      <c r="O810" s="235">
        <f t="shared" si="50"/>
        <v>0</v>
      </c>
      <c r="P810" s="238" t="s">
        <v>3631</v>
      </c>
      <c r="Q810" s="1" t="s">
        <v>2212</v>
      </c>
      <c r="R810" s="239" t="s">
        <v>2082</v>
      </c>
      <c r="S810" s="238" t="s">
        <v>2082</v>
      </c>
      <c r="T810" s="238" t="s">
        <v>2082</v>
      </c>
      <c r="U810" s="238" t="s">
        <v>2082</v>
      </c>
      <c r="V810" s="238" t="s">
        <v>2488</v>
      </c>
      <c r="AB810" s="1" t="s">
        <v>2079</v>
      </c>
    </row>
    <row r="811" spans="1:28" s="5" customFormat="1" ht="11.25" customHeight="1">
      <c r="A811" s="233">
        <v>41201</v>
      </c>
      <c r="B811" s="1" t="s">
        <v>3632</v>
      </c>
      <c r="C811" s="1" t="s">
        <v>2080</v>
      </c>
      <c r="D811" s="95" t="s">
        <v>1039</v>
      </c>
      <c r="E811" s="5">
        <v>52000183617</v>
      </c>
      <c r="F811" s="5">
        <v>1</v>
      </c>
      <c r="G811" s="1" t="s">
        <v>2086</v>
      </c>
      <c r="H811" s="234">
        <v>1800</v>
      </c>
      <c r="I811" s="235">
        <f t="shared" si="48"/>
        <v>1800</v>
      </c>
      <c r="J811" s="352"/>
      <c r="K811" s="266">
        <f>938*1</f>
        <v>938</v>
      </c>
      <c r="L811" s="237">
        <v>41201</v>
      </c>
      <c r="M811" s="1" t="s">
        <v>2390</v>
      </c>
      <c r="N811" s="235">
        <f t="shared" si="49"/>
        <v>1800</v>
      </c>
      <c r="O811" s="235">
        <f t="shared" si="50"/>
        <v>0</v>
      </c>
      <c r="P811" s="238" t="s">
        <v>3633</v>
      </c>
      <c r="Q811" s="1" t="s">
        <v>2212</v>
      </c>
      <c r="R811" s="239" t="s">
        <v>2082</v>
      </c>
      <c r="S811" s="238" t="s">
        <v>2082</v>
      </c>
      <c r="T811" s="238" t="s">
        <v>2082</v>
      </c>
      <c r="U811" s="238" t="s">
        <v>2082</v>
      </c>
      <c r="V811" s="238" t="s">
        <v>2488</v>
      </c>
      <c r="W811" s="236"/>
      <c r="X811" s="233"/>
      <c r="Y811" s="238"/>
      <c r="Z811" s="255"/>
      <c r="AA811" s="240"/>
      <c r="AB811" s="1" t="s">
        <v>2079</v>
      </c>
    </row>
    <row r="812" spans="1:28" s="5" customFormat="1" ht="12" customHeight="1">
      <c r="A812" s="7">
        <v>41201</v>
      </c>
      <c r="B812" s="5" t="s">
        <v>3530</v>
      </c>
      <c r="C812" s="5" t="s">
        <v>2080</v>
      </c>
      <c r="D812" s="1" t="s">
        <v>2028</v>
      </c>
      <c r="E812" s="5" t="s">
        <v>3168</v>
      </c>
      <c r="F812" s="5">
        <v>10</v>
      </c>
      <c r="G812" s="5" t="s">
        <v>3129</v>
      </c>
      <c r="H812" s="243">
        <v>118</v>
      </c>
      <c r="I812" s="235">
        <f t="shared" si="48"/>
        <v>1180</v>
      </c>
      <c r="J812" s="361"/>
      <c r="K812" s="266">
        <f>107.64*10</f>
        <v>1076.4000000000001</v>
      </c>
      <c r="L812" s="245">
        <v>41204</v>
      </c>
      <c r="M812" s="5" t="s">
        <v>2390</v>
      </c>
      <c r="N812" s="235">
        <f t="shared" si="49"/>
        <v>1180</v>
      </c>
      <c r="O812" s="235">
        <f t="shared" si="50"/>
        <v>0</v>
      </c>
      <c r="P812" s="246" t="s">
        <v>3634</v>
      </c>
      <c r="Q812" s="5" t="s">
        <v>2505</v>
      </c>
      <c r="R812" s="239" t="s">
        <v>2082</v>
      </c>
      <c r="S812" s="238" t="s">
        <v>2082</v>
      </c>
      <c r="T812" s="238" t="s">
        <v>3533</v>
      </c>
      <c r="U812" s="238" t="s">
        <v>2082</v>
      </c>
      <c r="V812" s="238" t="s">
        <v>2488</v>
      </c>
      <c r="W812" s="235"/>
      <c r="X812" s="7"/>
      <c r="Y812" s="246"/>
      <c r="Z812" s="273"/>
      <c r="AA812" s="248"/>
      <c r="AB812" s="5" t="s">
        <v>2527</v>
      </c>
    </row>
    <row r="813" spans="1:28" s="5" customFormat="1" ht="12" customHeight="1">
      <c r="A813" s="7">
        <v>41201</v>
      </c>
      <c r="B813" s="5" t="s">
        <v>3530</v>
      </c>
      <c r="C813" s="5" t="s">
        <v>2080</v>
      </c>
      <c r="D813" s="1" t="s">
        <v>353</v>
      </c>
      <c r="E813" s="5" t="s">
        <v>2492</v>
      </c>
      <c r="F813" s="5">
        <v>20</v>
      </c>
      <c r="G813" s="5" t="s">
        <v>2086</v>
      </c>
      <c r="H813" s="243">
        <v>19.850000000000001</v>
      </c>
      <c r="I813" s="235">
        <f t="shared" si="48"/>
        <v>397</v>
      </c>
      <c r="J813" s="361">
        <v>17.5</v>
      </c>
      <c r="K813" s="266">
        <f>17.5*20</f>
        <v>350</v>
      </c>
      <c r="L813" s="245">
        <v>41204</v>
      </c>
      <c r="M813" s="5" t="s">
        <v>2390</v>
      </c>
      <c r="N813" s="235">
        <f t="shared" si="49"/>
        <v>397</v>
      </c>
      <c r="O813" s="235">
        <f t="shared" si="50"/>
        <v>0</v>
      </c>
      <c r="P813" s="246" t="s">
        <v>3634</v>
      </c>
      <c r="Q813" s="5" t="s">
        <v>2505</v>
      </c>
      <c r="R813" s="247"/>
      <c r="S813" s="246"/>
      <c r="T813" s="238" t="s">
        <v>3533</v>
      </c>
      <c r="U813" s="246"/>
      <c r="V813" s="238" t="s">
        <v>2488</v>
      </c>
      <c r="W813" s="235"/>
      <c r="X813" s="7"/>
      <c r="Y813" s="246"/>
      <c r="Z813" s="273"/>
      <c r="AA813" s="248"/>
      <c r="AB813" s="5" t="s">
        <v>2527</v>
      </c>
    </row>
    <row r="814" spans="1:28" s="5" customFormat="1" ht="12" customHeight="1">
      <c r="A814" s="7">
        <v>41204</v>
      </c>
      <c r="B814" s="5" t="s">
        <v>3635</v>
      </c>
      <c r="C814" s="5" t="s">
        <v>2080</v>
      </c>
      <c r="D814" s="1" t="s">
        <v>1210</v>
      </c>
      <c r="E814" s="5">
        <v>3200</v>
      </c>
      <c r="F814" s="5">
        <v>2</v>
      </c>
      <c r="G814" s="5" t="s">
        <v>2086</v>
      </c>
      <c r="H814" s="243">
        <v>25</v>
      </c>
      <c r="I814" s="235">
        <f t="shared" si="48"/>
        <v>50</v>
      </c>
      <c r="J814" s="361"/>
      <c r="K814" s="266">
        <f>23.94*2</f>
        <v>47.88</v>
      </c>
      <c r="L814" s="245">
        <v>41204</v>
      </c>
      <c r="M814" s="5" t="s">
        <v>2327</v>
      </c>
      <c r="N814" s="235">
        <f t="shared" si="49"/>
        <v>50</v>
      </c>
      <c r="O814" s="235">
        <f t="shared" si="50"/>
        <v>0</v>
      </c>
      <c r="P814" s="246" t="s">
        <v>3636</v>
      </c>
      <c r="Q814" s="5" t="s">
        <v>2562</v>
      </c>
      <c r="R814" s="247" t="s">
        <v>3637</v>
      </c>
      <c r="S814" s="246" t="s">
        <v>3638</v>
      </c>
      <c r="T814" s="246" t="s">
        <v>3639</v>
      </c>
      <c r="U814" s="246" t="s">
        <v>3640</v>
      </c>
      <c r="V814" s="246" t="s">
        <v>2488</v>
      </c>
      <c r="W814" s="235"/>
      <c r="X814" s="7"/>
      <c r="Y814" s="246"/>
      <c r="Z814" s="273" t="s">
        <v>2549</v>
      </c>
      <c r="AA814" s="248"/>
      <c r="AB814" s="5" t="s">
        <v>2527</v>
      </c>
    </row>
    <row r="815" spans="1:28" s="5" customFormat="1" ht="11.25" customHeight="1">
      <c r="A815" s="7">
        <v>41204</v>
      </c>
      <c r="B815" s="5" t="s">
        <v>3635</v>
      </c>
      <c r="C815" s="5" t="s">
        <v>2080</v>
      </c>
      <c r="D815" s="1" t="s">
        <v>346</v>
      </c>
      <c r="E815" s="5">
        <v>3700</v>
      </c>
      <c r="F815" s="5">
        <v>2</v>
      </c>
      <c r="G815" s="1" t="s">
        <v>2086</v>
      </c>
      <c r="H815" s="243">
        <v>6</v>
      </c>
      <c r="I815" s="235">
        <f t="shared" si="48"/>
        <v>12</v>
      </c>
      <c r="J815" s="361">
        <v>3.3</v>
      </c>
      <c r="K815" s="266">
        <f>3.3*2</f>
        <v>6.6</v>
      </c>
      <c r="L815" s="245">
        <v>41204</v>
      </c>
      <c r="M815" s="5" t="s">
        <v>2327</v>
      </c>
      <c r="N815" s="235">
        <f t="shared" si="49"/>
        <v>12</v>
      </c>
      <c r="O815" s="235">
        <f t="shared" si="50"/>
        <v>0</v>
      </c>
      <c r="P815" s="246" t="s">
        <v>3636</v>
      </c>
      <c r="Q815" s="5" t="s">
        <v>2562</v>
      </c>
      <c r="R815" s="247" t="s">
        <v>3637</v>
      </c>
      <c r="S815" s="246" t="s">
        <v>3638</v>
      </c>
      <c r="T815" s="246" t="s">
        <v>1025</v>
      </c>
      <c r="U815" s="246" t="s">
        <v>3640</v>
      </c>
      <c r="V815" s="246" t="s">
        <v>2488</v>
      </c>
      <c r="W815" s="235"/>
      <c r="X815" s="7"/>
      <c r="Y815" s="246"/>
      <c r="Z815" s="273"/>
      <c r="AA815" s="248"/>
      <c r="AB815" s="5" t="s">
        <v>2527</v>
      </c>
    </row>
    <row r="816" spans="1:28" s="5" customFormat="1" ht="11.25" customHeight="1">
      <c r="A816" s="7">
        <v>41204</v>
      </c>
      <c r="B816" s="5" t="s">
        <v>3635</v>
      </c>
      <c r="C816" s="5" t="s">
        <v>2080</v>
      </c>
      <c r="D816" s="5" t="s">
        <v>1874</v>
      </c>
      <c r="E816" s="5" t="s">
        <v>2615</v>
      </c>
      <c r="F816" s="5">
        <v>2</v>
      </c>
      <c r="G816" s="1" t="s">
        <v>2490</v>
      </c>
      <c r="H816" s="243">
        <v>4</v>
      </c>
      <c r="I816" s="235">
        <f t="shared" si="48"/>
        <v>8</v>
      </c>
      <c r="J816" s="359">
        <v>1.7</v>
      </c>
      <c r="K816" s="266">
        <f>1.7*2</f>
        <v>3.4</v>
      </c>
      <c r="L816" s="245">
        <v>41204</v>
      </c>
      <c r="M816" s="5" t="s">
        <v>2327</v>
      </c>
      <c r="N816" s="235">
        <f t="shared" si="49"/>
        <v>8</v>
      </c>
      <c r="O816" s="235">
        <f t="shared" si="50"/>
        <v>0</v>
      </c>
      <c r="P816" s="246" t="s">
        <v>3636</v>
      </c>
      <c r="Q816" s="5" t="s">
        <v>2562</v>
      </c>
      <c r="R816" s="247" t="s">
        <v>3637</v>
      </c>
      <c r="S816" s="246" t="s">
        <v>3638</v>
      </c>
      <c r="T816" s="246" t="s">
        <v>3641</v>
      </c>
      <c r="U816" s="246" t="s">
        <v>3640</v>
      </c>
      <c r="V816" s="246" t="s">
        <v>2488</v>
      </c>
      <c r="W816" s="235"/>
      <c r="X816" s="7"/>
      <c r="Y816" s="246"/>
      <c r="Z816" s="273"/>
      <c r="AA816" s="248"/>
      <c r="AB816" s="5" t="s">
        <v>2527</v>
      </c>
    </row>
    <row r="817" spans="1:28" ht="11.25" customHeight="1">
      <c r="A817" s="7">
        <v>41204</v>
      </c>
      <c r="B817" s="5" t="s">
        <v>3642</v>
      </c>
      <c r="C817" s="5" t="s">
        <v>2080</v>
      </c>
      <c r="D817" s="5" t="s">
        <v>1944</v>
      </c>
      <c r="E817" s="5">
        <v>8515</v>
      </c>
      <c r="F817" s="5">
        <v>14</v>
      </c>
      <c r="G817" s="5" t="s">
        <v>2490</v>
      </c>
      <c r="H817" s="243">
        <v>20</v>
      </c>
      <c r="I817" s="235">
        <f t="shared" si="48"/>
        <v>280</v>
      </c>
      <c r="J817" s="361"/>
      <c r="K817" s="266">
        <f>17*20</f>
        <v>340</v>
      </c>
      <c r="L817" s="245">
        <v>41204</v>
      </c>
      <c r="M817" s="5" t="s">
        <v>2390</v>
      </c>
      <c r="N817" s="235">
        <f t="shared" si="49"/>
        <v>280</v>
      </c>
      <c r="O817" s="235">
        <f t="shared" si="50"/>
        <v>0</v>
      </c>
      <c r="P817" s="246" t="s">
        <v>3643</v>
      </c>
      <c r="Q817" s="5" t="s">
        <v>2212</v>
      </c>
      <c r="R817" s="239" t="s">
        <v>3644</v>
      </c>
      <c r="S817" s="238" t="s">
        <v>3645</v>
      </c>
      <c r="T817" s="238" t="s">
        <v>2082</v>
      </c>
      <c r="U817" s="238" t="s">
        <v>2082</v>
      </c>
      <c r="V817" s="246" t="s">
        <v>2488</v>
      </c>
      <c r="W817" s="235"/>
      <c r="X817" s="7"/>
      <c r="Y817" s="246"/>
      <c r="Z817" s="273"/>
      <c r="AA817" s="248"/>
      <c r="AB817" s="5" t="s">
        <v>2527</v>
      </c>
    </row>
    <row r="818" spans="1:28" ht="11.25" customHeight="1">
      <c r="A818" s="233">
        <v>41204</v>
      </c>
      <c r="B818" s="1" t="s">
        <v>2565</v>
      </c>
      <c r="C818" s="5" t="s">
        <v>2080</v>
      </c>
      <c r="D818" s="5" t="s">
        <v>2012</v>
      </c>
      <c r="E818" s="5" t="s">
        <v>3436</v>
      </c>
      <c r="F818" s="5">
        <v>1100</v>
      </c>
      <c r="G818" s="1" t="s">
        <v>4970</v>
      </c>
      <c r="H818" s="234">
        <v>1.59</v>
      </c>
      <c r="I818" s="236">
        <f t="shared" si="48"/>
        <v>1749</v>
      </c>
      <c r="J818" s="360">
        <v>1.46</v>
      </c>
      <c r="K818" s="266">
        <f>1.46*1100</f>
        <v>1606</v>
      </c>
      <c r="L818" s="237">
        <v>41283</v>
      </c>
      <c r="M818" s="1" t="s">
        <v>2327</v>
      </c>
      <c r="N818" s="235">
        <f t="shared" si="49"/>
        <v>1749</v>
      </c>
      <c r="O818" s="235">
        <f t="shared" si="50"/>
        <v>0</v>
      </c>
      <c r="P818" s="238" t="s">
        <v>3646</v>
      </c>
      <c r="Q818" s="1" t="s">
        <v>3647</v>
      </c>
      <c r="R818" s="239" t="s">
        <v>2082</v>
      </c>
      <c r="S818" s="238" t="s">
        <v>2082</v>
      </c>
      <c r="T818" s="238" t="s">
        <v>2082</v>
      </c>
      <c r="U818" s="238" t="s">
        <v>2082</v>
      </c>
      <c r="V818" s="238" t="s">
        <v>2488</v>
      </c>
      <c r="AB818" s="1" t="s">
        <v>2527</v>
      </c>
    </row>
    <row r="819" spans="1:28" ht="11.25" customHeight="1">
      <c r="A819" s="233">
        <v>41204</v>
      </c>
      <c r="B819" s="1" t="s">
        <v>2565</v>
      </c>
      <c r="C819" s="5" t="s">
        <v>2080</v>
      </c>
      <c r="D819" s="1" t="s">
        <v>346</v>
      </c>
      <c r="E819" s="5">
        <v>3700</v>
      </c>
      <c r="F819" s="5">
        <v>5</v>
      </c>
      <c r="G819" s="1" t="s">
        <v>2086</v>
      </c>
      <c r="H819" s="234">
        <v>3.8</v>
      </c>
      <c r="I819" s="236">
        <f t="shared" si="48"/>
        <v>19</v>
      </c>
      <c r="J819" s="352">
        <v>3.3</v>
      </c>
      <c r="K819" s="266">
        <f>3.3*5</f>
        <v>16.5</v>
      </c>
      <c r="L819" s="237">
        <v>41283</v>
      </c>
      <c r="M819" s="1" t="s">
        <v>2327</v>
      </c>
      <c r="N819" s="235">
        <f t="shared" si="49"/>
        <v>19</v>
      </c>
      <c r="O819" s="235">
        <f t="shared" si="50"/>
        <v>0</v>
      </c>
      <c r="P819" s="238" t="s">
        <v>3646</v>
      </c>
      <c r="Q819" s="1" t="s">
        <v>3647</v>
      </c>
      <c r="R819" s="239" t="s">
        <v>2567</v>
      </c>
      <c r="S819" s="238" t="s">
        <v>2568</v>
      </c>
      <c r="T819" s="238" t="s">
        <v>3404</v>
      </c>
      <c r="U819" s="238" t="s">
        <v>3648</v>
      </c>
      <c r="V819" s="238" t="s">
        <v>2488</v>
      </c>
      <c r="AB819" s="1" t="s">
        <v>2527</v>
      </c>
    </row>
    <row r="820" spans="1:28" ht="11.25" customHeight="1">
      <c r="A820" s="233">
        <v>41204</v>
      </c>
      <c r="B820" s="1" t="s">
        <v>2948</v>
      </c>
      <c r="C820" s="5" t="s">
        <v>2080</v>
      </c>
      <c r="D820" s="5" t="s">
        <v>2012</v>
      </c>
      <c r="E820" s="5" t="s">
        <v>3436</v>
      </c>
      <c r="F820" s="5">
        <v>200</v>
      </c>
      <c r="G820" s="1" t="s">
        <v>4970</v>
      </c>
      <c r="H820" s="234">
        <v>2.68</v>
      </c>
      <c r="I820" s="235">
        <f t="shared" si="48"/>
        <v>536</v>
      </c>
      <c r="J820" s="360">
        <v>1.46</v>
      </c>
      <c r="K820" s="266">
        <f>1.46*200</f>
        <v>292</v>
      </c>
      <c r="L820" s="237">
        <v>41206</v>
      </c>
      <c r="M820" s="1" t="s">
        <v>2077</v>
      </c>
      <c r="N820" s="235">
        <f t="shared" si="49"/>
        <v>536</v>
      </c>
      <c r="O820" s="235">
        <f t="shared" si="50"/>
        <v>0</v>
      </c>
      <c r="P820" s="238" t="s">
        <v>3649</v>
      </c>
      <c r="Q820" s="1" t="s">
        <v>2511</v>
      </c>
      <c r="R820" s="239" t="s">
        <v>2950</v>
      </c>
      <c r="S820" s="238" t="s">
        <v>3650</v>
      </c>
      <c r="T820" s="238" t="s">
        <v>2951</v>
      </c>
      <c r="U820" s="238" t="s">
        <v>3651</v>
      </c>
      <c r="V820" s="238" t="s">
        <v>3652</v>
      </c>
      <c r="W820" s="236">
        <v>536</v>
      </c>
      <c r="X820" s="233">
        <v>41204</v>
      </c>
      <c r="Y820" s="238" t="s">
        <v>3651</v>
      </c>
      <c r="AA820" s="240" t="s">
        <v>2668</v>
      </c>
      <c r="AB820" s="1" t="s">
        <v>2079</v>
      </c>
    </row>
    <row r="821" spans="1:28" s="5" customFormat="1" ht="12" customHeight="1">
      <c r="A821" s="233">
        <v>41204</v>
      </c>
      <c r="B821" s="1" t="s">
        <v>3653</v>
      </c>
      <c r="C821" s="5" t="s">
        <v>2080</v>
      </c>
      <c r="D821" s="5" t="s">
        <v>307</v>
      </c>
      <c r="E821" s="5">
        <v>1110</v>
      </c>
      <c r="F821" s="5">
        <v>200</v>
      </c>
      <c r="G821" s="1" t="s">
        <v>2398</v>
      </c>
      <c r="H821" s="234">
        <v>0.86</v>
      </c>
      <c r="I821" s="235">
        <f t="shared" si="48"/>
        <v>172</v>
      </c>
      <c r="J821" s="352"/>
      <c r="K821" s="266">
        <f>0.77*200</f>
        <v>154</v>
      </c>
      <c r="L821" s="237">
        <v>41204</v>
      </c>
      <c r="M821" s="1" t="s">
        <v>2390</v>
      </c>
      <c r="N821" s="235">
        <f t="shared" si="49"/>
        <v>172</v>
      </c>
      <c r="O821" s="235">
        <f t="shared" si="50"/>
        <v>0</v>
      </c>
      <c r="P821" s="238" t="s">
        <v>3654</v>
      </c>
      <c r="Q821" s="1" t="s">
        <v>2212</v>
      </c>
      <c r="R821" s="239" t="s">
        <v>2082</v>
      </c>
      <c r="S821" s="239" t="s">
        <v>2082</v>
      </c>
      <c r="T821" s="239" t="s">
        <v>2082</v>
      </c>
      <c r="U821" s="239" t="s">
        <v>2082</v>
      </c>
      <c r="V821" s="238" t="s">
        <v>3655</v>
      </c>
      <c r="W821" s="236">
        <v>1077</v>
      </c>
      <c r="X821" s="233">
        <v>41256</v>
      </c>
      <c r="Y821" s="255">
        <v>23000504124</v>
      </c>
      <c r="Z821" s="255"/>
      <c r="AA821" s="240"/>
      <c r="AB821" s="1" t="s">
        <v>2527</v>
      </c>
    </row>
    <row r="822" spans="1:28" s="5" customFormat="1" ht="11.25" customHeight="1">
      <c r="A822" s="7">
        <v>41206</v>
      </c>
      <c r="B822" s="5" t="s">
        <v>3656</v>
      </c>
      <c r="C822" s="5" t="s">
        <v>2080</v>
      </c>
      <c r="D822" s="95" t="s">
        <v>1039</v>
      </c>
      <c r="E822" s="5">
        <v>52000183617</v>
      </c>
      <c r="F822" s="5">
        <v>5</v>
      </c>
      <c r="G822" s="5" t="s">
        <v>2086</v>
      </c>
      <c r="H822" s="243">
        <v>950</v>
      </c>
      <c r="I822" s="235">
        <f t="shared" si="48"/>
        <v>4750</v>
      </c>
      <c r="J822" s="361"/>
      <c r="K822" s="266">
        <f>938*5</f>
        <v>4690</v>
      </c>
      <c r="L822" s="245">
        <v>41207</v>
      </c>
      <c r="M822" s="5" t="s">
        <v>2077</v>
      </c>
      <c r="N822" s="235">
        <f t="shared" si="49"/>
        <v>4750</v>
      </c>
      <c r="O822" s="235">
        <f t="shared" si="50"/>
        <v>0</v>
      </c>
      <c r="P822" s="246" t="s">
        <v>3657</v>
      </c>
      <c r="Q822" s="5" t="s">
        <v>2505</v>
      </c>
      <c r="R822" s="247" t="s">
        <v>3658</v>
      </c>
      <c r="S822" s="246" t="s">
        <v>3659</v>
      </c>
      <c r="T822" s="246" t="s">
        <v>3660</v>
      </c>
      <c r="U822" s="246" t="s">
        <v>2082</v>
      </c>
      <c r="V822" s="246" t="s">
        <v>3661</v>
      </c>
      <c r="W822" s="235">
        <v>4750</v>
      </c>
      <c r="X822" s="7">
        <v>41219</v>
      </c>
      <c r="Y822" s="246" t="s">
        <v>3662</v>
      </c>
      <c r="Z822" s="273"/>
      <c r="AA822" s="248"/>
      <c r="AB822" s="1" t="s">
        <v>2527</v>
      </c>
    </row>
    <row r="823" spans="1:28" s="5" customFormat="1" ht="12" customHeight="1">
      <c r="A823" s="7">
        <v>41206</v>
      </c>
      <c r="B823" s="5" t="s">
        <v>2692</v>
      </c>
      <c r="C823" s="5" t="s">
        <v>2080</v>
      </c>
      <c r="D823" s="1" t="s">
        <v>1711</v>
      </c>
      <c r="E823" s="5">
        <v>8210</v>
      </c>
      <c r="F823" s="5">
        <v>800</v>
      </c>
      <c r="G823" s="1" t="s">
        <v>2086</v>
      </c>
      <c r="H823" s="243">
        <v>4</v>
      </c>
      <c r="I823" s="235">
        <f>F823*H823</f>
        <v>3200</v>
      </c>
      <c r="J823" s="361"/>
      <c r="K823" s="266">
        <f>3.63*800</f>
        <v>2904</v>
      </c>
      <c r="L823" s="245">
        <v>41206</v>
      </c>
      <c r="M823" s="5" t="s">
        <v>2077</v>
      </c>
      <c r="N823" s="235">
        <f t="shared" si="49"/>
        <v>3200</v>
      </c>
      <c r="O823" s="235">
        <f t="shared" si="50"/>
        <v>0</v>
      </c>
      <c r="P823" s="246" t="s">
        <v>3663</v>
      </c>
      <c r="Q823" s="7" t="s">
        <v>3664</v>
      </c>
      <c r="R823" s="239" t="s">
        <v>2688</v>
      </c>
      <c r="S823" s="238" t="s">
        <v>2689</v>
      </c>
      <c r="T823" s="238" t="s">
        <v>3425</v>
      </c>
      <c r="U823" s="246" t="s">
        <v>3665</v>
      </c>
      <c r="V823" s="246" t="s">
        <v>3666</v>
      </c>
      <c r="W823" s="235">
        <v>8494</v>
      </c>
      <c r="X823" s="7">
        <v>41219</v>
      </c>
      <c r="Y823" s="246" t="s">
        <v>3667</v>
      </c>
      <c r="Z823" s="273"/>
      <c r="AA823" s="248"/>
      <c r="AB823" s="5" t="s">
        <v>2527</v>
      </c>
    </row>
    <row r="824" spans="1:28" ht="11.25" customHeight="1">
      <c r="A824" s="7">
        <v>41206</v>
      </c>
      <c r="B824" s="5" t="s">
        <v>2692</v>
      </c>
      <c r="C824" s="5" t="s">
        <v>2080</v>
      </c>
      <c r="D824" s="1" t="s">
        <v>6623</v>
      </c>
      <c r="E824" s="5" t="s">
        <v>2798</v>
      </c>
      <c r="F824" s="5">
        <v>50</v>
      </c>
      <c r="G824" s="5" t="s">
        <v>2398</v>
      </c>
      <c r="H824" s="243">
        <v>15.9</v>
      </c>
      <c r="I824" s="235">
        <f t="shared" si="48"/>
        <v>795</v>
      </c>
      <c r="J824" s="361"/>
      <c r="K824" s="266">
        <f>15*50</f>
        <v>750</v>
      </c>
      <c r="L824" s="245">
        <v>41206</v>
      </c>
      <c r="M824" s="5" t="s">
        <v>2077</v>
      </c>
      <c r="N824" s="235">
        <f t="shared" si="49"/>
        <v>795</v>
      </c>
      <c r="O824" s="235">
        <f t="shared" si="50"/>
        <v>0</v>
      </c>
      <c r="P824" s="246" t="s">
        <v>3663</v>
      </c>
      <c r="Q824" s="7" t="s">
        <v>3664</v>
      </c>
      <c r="R824" s="239" t="s">
        <v>2688</v>
      </c>
      <c r="S824" s="238" t="s">
        <v>2689</v>
      </c>
      <c r="T824" s="238" t="s">
        <v>3425</v>
      </c>
      <c r="U824" s="246" t="s">
        <v>3665</v>
      </c>
      <c r="V824" s="246" t="s">
        <v>3666</v>
      </c>
      <c r="W824" s="235">
        <v>8494</v>
      </c>
      <c r="X824" s="7">
        <v>41219</v>
      </c>
      <c r="Y824" s="246" t="s">
        <v>3667</v>
      </c>
      <c r="Z824" s="273"/>
      <c r="AA824" s="248"/>
      <c r="AB824" s="5" t="s">
        <v>2527</v>
      </c>
    </row>
    <row r="825" spans="1:28" ht="11.25" customHeight="1">
      <c r="A825" s="233">
        <v>41206</v>
      </c>
      <c r="B825" s="1" t="s">
        <v>3668</v>
      </c>
      <c r="C825" s="5" t="s">
        <v>2080</v>
      </c>
      <c r="D825" s="1" t="s">
        <v>1711</v>
      </c>
      <c r="E825" s="5">
        <v>8210</v>
      </c>
      <c r="F825" s="5">
        <v>60</v>
      </c>
      <c r="G825" s="1" t="s">
        <v>2086</v>
      </c>
      <c r="H825" s="234">
        <v>6.5</v>
      </c>
      <c r="I825" s="236">
        <f t="shared" si="48"/>
        <v>390</v>
      </c>
      <c r="K825" s="266">
        <f>3.63*60</f>
        <v>217.79999999999998</v>
      </c>
      <c r="L825" s="237">
        <v>41240</v>
      </c>
      <c r="M825" s="1" t="s">
        <v>2077</v>
      </c>
      <c r="N825" s="235">
        <f t="shared" si="49"/>
        <v>390</v>
      </c>
      <c r="O825" s="235">
        <f t="shared" si="50"/>
        <v>0</v>
      </c>
      <c r="P825" s="238" t="s">
        <v>3669</v>
      </c>
      <c r="Q825" s="1" t="s">
        <v>3535</v>
      </c>
      <c r="R825" s="239" t="s">
        <v>3670</v>
      </c>
      <c r="S825" s="238" t="s">
        <v>3671</v>
      </c>
      <c r="T825" s="238" t="s">
        <v>3672</v>
      </c>
      <c r="U825" s="238" t="s">
        <v>3673</v>
      </c>
      <c r="V825" s="238" t="s">
        <v>3674</v>
      </c>
      <c r="W825" s="236">
        <v>4329.5</v>
      </c>
      <c r="X825" s="233">
        <v>41219</v>
      </c>
      <c r="Y825" s="238" t="s">
        <v>3675</v>
      </c>
      <c r="AB825" s="1" t="s">
        <v>2079</v>
      </c>
    </row>
    <row r="826" spans="1:28" ht="11.25" customHeight="1">
      <c r="A826" s="233">
        <v>41206</v>
      </c>
      <c r="B826" s="1" t="s">
        <v>3668</v>
      </c>
      <c r="C826" s="5" t="s">
        <v>2080</v>
      </c>
      <c r="D826" s="1" t="s">
        <v>86</v>
      </c>
      <c r="E826" s="5">
        <v>9032</v>
      </c>
      <c r="F826" s="5">
        <v>500</v>
      </c>
      <c r="G826" s="1" t="s">
        <v>2086</v>
      </c>
      <c r="H826" s="234">
        <v>2.2999999999999998</v>
      </c>
      <c r="I826" s="236">
        <f t="shared" si="48"/>
        <v>1150</v>
      </c>
      <c r="K826" s="266">
        <f>1.4929*500</f>
        <v>746.44999999999993</v>
      </c>
      <c r="L826" s="237">
        <v>41240</v>
      </c>
      <c r="M826" s="1" t="s">
        <v>2077</v>
      </c>
      <c r="N826" s="235">
        <f t="shared" si="49"/>
        <v>1150</v>
      </c>
      <c r="O826" s="235">
        <f t="shared" si="50"/>
        <v>0</v>
      </c>
      <c r="P826" s="238" t="s">
        <v>3669</v>
      </c>
      <c r="Q826" s="1" t="s">
        <v>3535</v>
      </c>
      <c r="R826" s="239" t="s">
        <v>3670</v>
      </c>
      <c r="S826" s="238" t="s">
        <v>3671</v>
      </c>
      <c r="T826" s="238" t="s">
        <v>3672</v>
      </c>
      <c r="U826" s="238" t="s">
        <v>3673</v>
      </c>
      <c r="V826" s="238" t="s">
        <v>3674</v>
      </c>
      <c r="W826" s="236">
        <v>4329.5</v>
      </c>
      <c r="X826" s="233">
        <v>41219</v>
      </c>
      <c r="Y826" s="238" t="s">
        <v>3675</v>
      </c>
      <c r="AB826" s="1" t="s">
        <v>2079</v>
      </c>
    </row>
    <row r="827" spans="1:28" ht="11.25" customHeight="1">
      <c r="A827" s="233">
        <v>41206</v>
      </c>
      <c r="B827" s="1" t="s">
        <v>3668</v>
      </c>
      <c r="C827" s="5" t="s">
        <v>2080</v>
      </c>
      <c r="D827" s="1" t="s">
        <v>692</v>
      </c>
      <c r="E827" s="5" t="s">
        <v>3676</v>
      </c>
      <c r="F827" s="5">
        <v>27</v>
      </c>
      <c r="G827" s="1" t="s">
        <v>2398</v>
      </c>
      <c r="H827" s="234">
        <v>2.5</v>
      </c>
      <c r="I827" s="236">
        <f t="shared" si="48"/>
        <v>67.5</v>
      </c>
      <c r="K827" s="266">
        <f>1.5376*27</f>
        <v>41.5152</v>
      </c>
      <c r="L827" s="237">
        <v>41240</v>
      </c>
      <c r="M827" s="1" t="s">
        <v>2077</v>
      </c>
      <c r="N827" s="235">
        <f t="shared" si="49"/>
        <v>67.5</v>
      </c>
      <c r="O827" s="235">
        <f t="shared" si="50"/>
        <v>0</v>
      </c>
      <c r="P827" s="238" t="s">
        <v>3669</v>
      </c>
      <c r="Q827" s="1" t="s">
        <v>3535</v>
      </c>
      <c r="R827" s="239" t="s">
        <v>3670</v>
      </c>
      <c r="S827" s="238" t="s">
        <v>3671</v>
      </c>
      <c r="T827" s="238" t="s">
        <v>3672</v>
      </c>
      <c r="U827" s="238" t="s">
        <v>3673</v>
      </c>
      <c r="V827" s="238" t="s">
        <v>3674</v>
      </c>
      <c r="W827" s="236">
        <v>4329.5</v>
      </c>
      <c r="X827" s="233">
        <v>41219</v>
      </c>
      <c r="Y827" s="238" t="s">
        <v>3675</v>
      </c>
      <c r="Z827" s="255" t="s">
        <v>2549</v>
      </c>
      <c r="AB827" s="1" t="s">
        <v>2079</v>
      </c>
    </row>
    <row r="828" spans="1:28" ht="11.25" customHeight="1">
      <c r="A828" s="233">
        <v>41206</v>
      </c>
      <c r="B828" s="1" t="s">
        <v>3668</v>
      </c>
      <c r="C828" s="5" t="s">
        <v>2080</v>
      </c>
      <c r="D828" s="1" t="s">
        <v>1908</v>
      </c>
      <c r="E828" s="5">
        <v>8246</v>
      </c>
      <c r="F828" s="5">
        <v>12</v>
      </c>
      <c r="G828" s="1" t="s">
        <v>5603</v>
      </c>
      <c r="H828" s="234">
        <v>19</v>
      </c>
      <c r="I828" s="236">
        <f t="shared" si="48"/>
        <v>228</v>
      </c>
      <c r="K828" s="266">
        <f>12.8*12</f>
        <v>153.60000000000002</v>
      </c>
      <c r="L828" s="237">
        <v>41240</v>
      </c>
      <c r="M828" s="1" t="s">
        <v>2077</v>
      </c>
      <c r="N828" s="235">
        <f t="shared" si="49"/>
        <v>228</v>
      </c>
      <c r="O828" s="235">
        <f t="shared" si="50"/>
        <v>0</v>
      </c>
      <c r="P828" s="238" t="s">
        <v>3669</v>
      </c>
      <c r="Q828" s="1" t="s">
        <v>3535</v>
      </c>
      <c r="R828" s="239" t="s">
        <v>3670</v>
      </c>
      <c r="S828" s="238" t="s">
        <v>3671</v>
      </c>
      <c r="T828" s="238" t="s">
        <v>3672</v>
      </c>
      <c r="U828" s="238" t="s">
        <v>3673</v>
      </c>
      <c r="V828" s="238" t="s">
        <v>3674</v>
      </c>
      <c r="W828" s="236">
        <v>4329.5</v>
      </c>
      <c r="X828" s="233">
        <v>41219</v>
      </c>
      <c r="Y828" s="238" t="s">
        <v>3675</v>
      </c>
      <c r="AB828" s="1" t="s">
        <v>2079</v>
      </c>
    </row>
    <row r="829" spans="1:28" s="5" customFormat="1" ht="11.25" customHeight="1">
      <c r="A829" s="233">
        <v>41206</v>
      </c>
      <c r="B829" s="1" t="s">
        <v>3668</v>
      </c>
      <c r="C829" s="5" t="s">
        <v>2080</v>
      </c>
      <c r="D829" s="1" t="s">
        <v>1871</v>
      </c>
      <c r="E829" s="5">
        <v>8247</v>
      </c>
      <c r="F829" s="5">
        <v>16</v>
      </c>
      <c r="G829" s="1" t="s">
        <v>2490</v>
      </c>
      <c r="H829" s="234">
        <v>19</v>
      </c>
      <c r="I829" s="236">
        <f t="shared" si="48"/>
        <v>304</v>
      </c>
      <c r="J829" s="352" t="s">
        <v>6051</v>
      </c>
      <c r="K829" s="266">
        <f>12.35*16</f>
        <v>197.6</v>
      </c>
      <c r="L829" s="237">
        <v>41240</v>
      </c>
      <c r="M829" s="1" t="s">
        <v>2077</v>
      </c>
      <c r="N829" s="235">
        <f t="shared" si="49"/>
        <v>304</v>
      </c>
      <c r="O829" s="235">
        <f t="shared" si="50"/>
        <v>0</v>
      </c>
      <c r="P829" s="238" t="s">
        <v>3669</v>
      </c>
      <c r="Q829" s="1" t="s">
        <v>3535</v>
      </c>
      <c r="R829" s="239" t="s">
        <v>3670</v>
      </c>
      <c r="S829" s="238" t="s">
        <v>3671</v>
      </c>
      <c r="T829" s="238" t="s">
        <v>3672</v>
      </c>
      <c r="U829" s="238" t="s">
        <v>3673</v>
      </c>
      <c r="V829" s="238" t="s">
        <v>3674</v>
      </c>
      <c r="W829" s="236">
        <v>4329.5</v>
      </c>
      <c r="X829" s="233">
        <v>41219</v>
      </c>
      <c r="Y829" s="238" t="s">
        <v>3675</v>
      </c>
      <c r="Z829" s="255"/>
      <c r="AA829" s="240"/>
      <c r="AB829" s="1" t="s">
        <v>2079</v>
      </c>
    </row>
    <row r="830" spans="1:28" ht="11.25" customHeight="1">
      <c r="A830" s="7">
        <v>41206</v>
      </c>
      <c r="B830" s="5" t="s">
        <v>3677</v>
      </c>
      <c r="C830" s="5" t="s">
        <v>2080</v>
      </c>
      <c r="D830" s="1" t="s">
        <v>2021</v>
      </c>
      <c r="E830" s="5" t="s">
        <v>2566</v>
      </c>
      <c r="F830" s="5">
        <v>50</v>
      </c>
      <c r="G830" s="5" t="s">
        <v>2490</v>
      </c>
      <c r="H830" s="243">
        <v>1.8</v>
      </c>
      <c r="I830" s="235">
        <f t="shared" si="48"/>
        <v>90</v>
      </c>
      <c r="J830" s="361"/>
      <c r="K830" s="266">
        <f>1.5*50</f>
        <v>75</v>
      </c>
      <c r="L830" s="245">
        <v>41207</v>
      </c>
      <c r="M830" s="5" t="s">
        <v>2327</v>
      </c>
      <c r="N830" s="235">
        <f t="shared" si="49"/>
        <v>90</v>
      </c>
      <c r="O830" s="235">
        <f t="shared" si="50"/>
        <v>0</v>
      </c>
      <c r="P830" s="246" t="s">
        <v>3678</v>
      </c>
      <c r="Q830" s="5" t="s">
        <v>3165</v>
      </c>
      <c r="R830" s="247" t="s">
        <v>3679</v>
      </c>
      <c r="S830" s="246" t="s">
        <v>3680</v>
      </c>
      <c r="T830" s="246" t="s">
        <v>3681</v>
      </c>
      <c r="U830" s="246" t="s">
        <v>3682</v>
      </c>
      <c r="V830" s="246" t="s">
        <v>2488</v>
      </c>
      <c r="W830" s="235"/>
      <c r="X830" s="7"/>
      <c r="Y830" s="246"/>
      <c r="Z830" s="273"/>
      <c r="AA830" s="248"/>
      <c r="AB830" s="5" t="s">
        <v>2527</v>
      </c>
    </row>
    <row r="831" spans="1:28" ht="11.25" customHeight="1">
      <c r="A831" s="233">
        <v>41206</v>
      </c>
      <c r="B831" s="1" t="s">
        <v>3677</v>
      </c>
      <c r="C831" s="5" t="s">
        <v>2080</v>
      </c>
      <c r="D831" s="5" t="s">
        <v>2012</v>
      </c>
      <c r="E831" s="5" t="s">
        <v>3683</v>
      </c>
      <c r="F831" s="5">
        <v>50</v>
      </c>
      <c r="G831" s="1" t="s">
        <v>4970</v>
      </c>
      <c r="H831" s="234">
        <v>1.8</v>
      </c>
      <c r="I831" s="235">
        <f t="shared" si="48"/>
        <v>90</v>
      </c>
      <c r="J831" s="360">
        <v>1.46</v>
      </c>
      <c r="K831" s="266">
        <f>1.46*50</f>
        <v>73</v>
      </c>
      <c r="L831" s="237">
        <v>41207</v>
      </c>
      <c r="M831" s="1" t="s">
        <v>2327</v>
      </c>
      <c r="N831" s="235">
        <f t="shared" si="49"/>
        <v>90</v>
      </c>
      <c r="O831" s="235">
        <f t="shared" si="50"/>
        <v>0</v>
      </c>
      <c r="P831" s="238" t="s">
        <v>3678</v>
      </c>
      <c r="Q831" s="5" t="s">
        <v>3165</v>
      </c>
      <c r="R831" s="239" t="s">
        <v>3679</v>
      </c>
      <c r="S831" s="238" t="s">
        <v>3680</v>
      </c>
      <c r="T831" s="238" t="s">
        <v>3681</v>
      </c>
      <c r="U831" s="238" t="s">
        <v>3682</v>
      </c>
      <c r="V831" s="238" t="s">
        <v>2488</v>
      </c>
      <c r="AB831" s="5" t="s">
        <v>2527</v>
      </c>
    </row>
    <row r="832" spans="1:28" ht="11.25" customHeight="1">
      <c r="A832" s="233">
        <v>41206</v>
      </c>
      <c r="B832" s="1" t="s">
        <v>3677</v>
      </c>
      <c r="C832" s="5" t="s">
        <v>2080</v>
      </c>
      <c r="D832" s="1" t="s">
        <v>86</v>
      </c>
      <c r="E832" s="5">
        <v>9032</v>
      </c>
      <c r="F832" s="5">
        <v>200</v>
      </c>
      <c r="G832" s="1" t="s">
        <v>2086</v>
      </c>
      <c r="H832" s="234">
        <v>1.8</v>
      </c>
      <c r="I832" s="235">
        <f t="shared" si="48"/>
        <v>360</v>
      </c>
      <c r="K832" s="266">
        <f>1.4929*200</f>
        <v>298.58</v>
      </c>
      <c r="L832" s="237">
        <v>41207</v>
      </c>
      <c r="M832" s="1" t="s">
        <v>2327</v>
      </c>
      <c r="N832" s="235">
        <f t="shared" si="49"/>
        <v>360</v>
      </c>
      <c r="O832" s="235">
        <f t="shared" si="50"/>
        <v>0</v>
      </c>
      <c r="P832" s="238" t="s">
        <v>3678</v>
      </c>
      <c r="Q832" s="5" t="s">
        <v>3165</v>
      </c>
      <c r="R832" s="239" t="s">
        <v>3679</v>
      </c>
      <c r="S832" s="238" t="s">
        <v>3680</v>
      </c>
      <c r="T832" s="238" t="s">
        <v>3681</v>
      </c>
      <c r="U832" s="238" t="s">
        <v>3682</v>
      </c>
      <c r="V832" s="238" t="s">
        <v>2488</v>
      </c>
      <c r="AB832" s="5" t="s">
        <v>2527</v>
      </c>
    </row>
    <row r="833" spans="1:28" s="5" customFormat="1" ht="11.25" customHeight="1">
      <c r="A833" s="233">
        <v>41206</v>
      </c>
      <c r="B833" s="1" t="s">
        <v>3677</v>
      </c>
      <c r="C833" s="5" t="s">
        <v>2080</v>
      </c>
      <c r="D833" s="5" t="s">
        <v>854</v>
      </c>
      <c r="E833" s="5">
        <v>9031</v>
      </c>
      <c r="F833" s="5">
        <v>150</v>
      </c>
      <c r="G833" s="232" t="s">
        <v>2086</v>
      </c>
      <c r="H833" s="234">
        <v>1.8</v>
      </c>
      <c r="I833" s="235">
        <f t="shared" si="48"/>
        <v>270</v>
      </c>
      <c r="J833" s="352"/>
      <c r="K833" s="266">
        <f>1.4929*150</f>
        <v>223.93499999999997</v>
      </c>
      <c r="L833" s="237">
        <v>41207</v>
      </c>
      <c r="M833" s="1" t="s">
        <v>2327</v>
      </c>
      <c r="N833" s="235">
        <f t="shared" si="49"/>
        <v>270</v>
      </c>
      <c r="O833" s="235">
        <f t="shared" si="50"/>
        <v>0</v>
      </c>
      <c r="P833" s="238" t="s">
        <v>3678</v>
      </c>
      <c r="Q833" s="5" t="s">
        <v>3165</v>
      </c>
      <c r="R833" s="239" t="s">
        <v>3679</v>
      </c>
      <c r="S833" s="238" t="s">
        <v>3680</v>
      </c>
      <c r="T833" s="238" t="s">
        <v>3681</v>
      </c>
      <c r="U833" s="238" t="s">
        <v>3682</v>
      </c>
      <c r="V833" s="238" t="s">
        <v>2488</v>
      </c>
      <c r="W833" s="236"/>
      <c r="X833" s="233"/>
      <c r="Y833" s="238"/>
      <c r="Z833" s="255"/>
      <c r="AA833" s="240"/>
      <c r="AB833" s="5" t="s">
        <v>2527</v>
      </c>
    </row>
    <row r="834" spans="1:28" ht="11.25" customHeight="1">
      <c r="A834" s="7">
        <v>41206</v>
      </c>
      <c r="B834" s="5" t="s">
        <v>3677</v>
      </c>
      <c r="C834" s="5" t="s">
        <v>2080</v>
      </c>
      <c r="D834" s="1" t="s">
        <v>1219</v>
      </c>
      <c r="E834" s="5" t="s">
        <v>2957</v>
      </c>
      <c r="F834" s="5">
        <v>25</v>
      </c>
      <c r="G834" s="5" t="s">
        <v>2086</v>
      </c>
      <c r="H834" s="243">
        <v>4.8</v>
      </c>
      <c r="I834" s="235">
        <f t="shared" si="48"/>
        <v>120</v>
      </c>
      <c r="J834" s="361"/>
      <c r="K834" s="266">
        <f>3.86*25</f>
        <v>96.5</v>
      </c>
      <c r="L834" s="245">
        <v>41207</v>
      </c>
      <c r="M834" s="5" t="s">
        <v>2327</v>
      </c>
      <c r="N834" s="235">
        <f t="shared" si="49"/>
        <v>120</v>
      </c>
      <c r="O834" s="235">
        <f t="shared" si="50"/>
        <v>0</v>
      </c>
      <c r="P834" s="246" t="s">
        <v>3678</v>
      </c>
      <c r="Q834" s="5" t="s">
        <v>3165</v>
      </c>
      <c r="R834" s="247" t="s">
        <v>3679</v>
      </c>
      <c r="S834" s="246" t="s">
        <v>3680</v>
      </c>
      <c r="T834" s="246" t="s">
        <v>3681</v>
      </c>
      <c r="U834" s="246" t="s">
        <v>3682</v>
      </c>
      <c r="V834" s="246" t="s">
        <v>2488</v>
      </c>
      <c r="W834" s="235"/>
      <c r="X834" s="7"/>
      <c r="Y834" s="246"/>
      <c r="Z834" s="273"/>
      <c r="AA834" s="248"/>
      <c r="AB834" s="5" t="s">
        <v>2527</v>
      </c>
    </row>
    <row r="835" spans="1:28" ht="12" customHeight="1">
      <c r="A835" s="233">
        <v>41207</v>
      </c>
      <c r="B835" s="1" t="s">
        <v>2169</v>
      </c>
      <c r="C835" s="1" t="s">
        <v>2080</v>
      </c>
      <c r="D835" s="1" t="s">
        <v>1910</v>
      </c>
      <c r="E835" s="5" t="s">
        <v>3490</v>
      </c>
      <c r="F835" s="5">
        <v>30</v>
      </c>
      <c r="G835" s="1" t="s">
        <v>2086</v>
      </c>
      <c r="H835" s="234">
        <v>2.0099999999999998</v>
      </c>
      <c r="I835" s="235">
        <f t="shared" si="48"/>
        <v>60.3</v>
      </c>
      <c r="K835" s="266">
        <f>1.82*10+1.88*10+1.82*10</f>
        <v>55.2</v>
      </c>
      <c r="N835" s="235">
        <v>0</v>
      </c>
      <c r="O835" s="235">
        <f>I835-N835</f>
        <v>60.3</v>
      </c>
      <c r="P835" s="238" t="s">
        <v>2082</v>
      </c>
      <c r="Q835" s="1" t="s">
        <v>3684</v>
      </c>
      <c r="R835" s="239" t="s">
        <v>2618</v>
      </c>
      <c r="S835" s="238" t="s">
        <v>2619</v>
      </c>
      <c r="T835" s="238" t="s">
        <v>3685</v>
      </c>
      <c r="U835" s="238" t="s">
        <v>3686</v>
      </c>
      <c r="AB835" s="5" t="s">
        <v>2527</v>
      </c>
    </row>
    <row r="836" spans="1:28" s="5" customFormat="1" ht="11.25" customHeight="1">
      <c r="A836" s="233">
        <v>41207</v>
      </c>
      <c r="B836" s="1" t="s">
        <v>3687</v>
      </c>
      <c r="C836" s="1" t="s">
        <v>2080</v>
      </c>
      <c r="D836" s="225" t="s">
        <v>983</v>
      </c>
      <c r="E836" s="5">
        <v>6800</v>
      </c>
      <c r="F836" s="5">
        <v>1</v>
      </c>
      <c r="G836" s="1" t="s">
        <v>2086</v>
      </c>
      <c r="H836" s="234">
        <v>467</v>
      </c>
      <c r="I836" s="235">
        <f t="shared" si="48"/>
        <v>467</v>
      </c>
      <c r="J836" s="352"/>
      <c r="K836" s="266">
        <f>430*1</f>
        <v>430</v>
      </c>
      <c r="L836" s="237">
        <v>41207</v>
      </c>
      <c r="M836" s="1" t="s">
        <v>2390</v>
      </c>
      <c r="N836" s="235">
        <f t="shared" ref="N836:N898" si="51">I836</f>
        <v>467</v>
      </c>
      <c r="O836" s="235">
        <f t="shared" ref="O836:O843" si="52">I836-N836</f>
        <v>0</v>
      </c>
      <c r="P836" s="238" t="s">
        <v>3688</v>
      </c>
      <c r="Q836" s="1" t="s">
        <v>2212</v>
      </c>
      <c r="R836" s="239" t="s">
        <v>3689</v>
      </c>
      <c r="S836" s="238" t="s">
        <v>3690</v>
      </c>
      <c r="T836" s="238" t="s">
        <v>3691</v>
      </c>
      <c r="U836" s="238" t="s">
        <v>2082</v>
      </c>
      <c r="V836" s="238" t="s">
        <v>2488</v>
      </c>
      <c r="W836" s="236"/>
      <c r="X836" s="233"/>
      <c r="Y836" s="238"/>
      <c r="Z836" s="255"/>
      <c r="AA836" s="240"/>
      <c r="AB836" s="5" t="s">
        <v>2527</v>
      </c>
    </row>
    <row r="837" spans="1:28" s="5" customFormat="1" ht="11.25" customHeight="1">
      <c r="A837" s="7">
        <v>41211</v>
      </c>
      <c r="B837" s="5" t="s">
        <v>2565</v>
      </c>
      <c r="C837" s="5" t="s">
        <v>2080</v>
      </c>
      <c r="D837" s="5" t="s">
        <v>2012</v>
      </c>
      <c r="E837" s="5" t="s">
        <v>2489</v>
      </c>
      <c r="F837" s="5">
        <v>500</v>
      </c>
      <c r="G837" s="1" t="s">
        <v>4970</v>
      </c>
      <c r="H837" s="243">
        <v>1.59</v>
      </c>
      <c r="I837" s="235">
        <f t="shared" si="48"/>
        <v>795</v>
      </c>
      <c r="J837" s="360">
        <v>1.46</v>
      </c>
      <c r="K837" s="266">
        <f>1.46*500</f>
        <v>730</v>
      </c>
      <c r="L837" s="237">
        <v>41283</v>
      </c>
      <c r="M837" s="1" t="s">
        <v>2327</v>
      </c>
      <c r="N837" s="235">
        <f t="shared" si="51"/>
        <v>795</v>
      </c>
      <c r="O837" s="235">
        <f t="shared" si="52"/>
        <v>0</v>
      </c>
      <c r="P837" s="246" t="s">
        <v>3692</v>
      </c>
      <c r="Q837" s="5" t="s">
        <v>3693</v>
      </c>
      <c r="R837" s="247" t="s">
        <v>2567</v>
      </c>
      <c r="S837" s="246" t="s">
        <v>2568</v>
      </c>
      <c r="T837" s="246" t="s">
        <v>3694</v>
      </c>
      <c r="U837" s="246" t="s">
        <v>3695</v>
      </c>
      <c r="V837" s="246" t="s">
        <v>2488</v>
      </c>
      <c r="W837" s="235"/>
      <c r="X837" s="7"/>
      <c r="Y837" s="246"/>
      <c r="Z837" s="273"/>
      <c r="AA837" s="248"/>
      <c r="AB837" s="5" t="s">
        <v>2527</v>
      </c>
    </row>
    <row r="838" spans="1:28" s="5" customFormat="1" ht="11.25" customHeight="1">
      <c r="A838" s="7">
        <v>41211</v>
      </c>
      <c r="B838" s="5" t="s">
        <v>2565</v>
      </c>
      <c r="C838" s="5" t="s">
        <v>2080</v>
      </c>
      <c r="D838" s="1" t="s">
        <v>1219</v>
      </c>
      <c r="E838" s="5" t="s">
        <v>2957</v>
      </c>
      <c r="F838" s="5">
        <v>300</v>
      </c>
      <c r="G838" s="5" t="s">
        <v>2086</v>
      </c>
      <c r="H838" s="243">
        <v>4.0999999999999996</v>
      </c>
      <c r="I838" s="235">
        <f>H838*F838</f>
        <v>1230</v>
      </c>
      <c r="J838" s="361"/>
      <c r="K838" s="266">
        <f>3.86*300</f>
        <v>1158</v>
      </c>
      <c r="L838" s="237">
        <v>41283</v>
      </c>
      <c r="M838" s="1" t="s">
        <v>2327</v>
      </c>
      <c r="N838" s="235">
        <f t="shared" si="51"/>
        <v>1230</v>
      </c>
      <c r="O838" s="235">
        <f t="shared" si="52"/>
        <v>0</v>
      </c>
      <c r="P838" s="246" t="s">
        <v>3692</v>
      </c>
      <c r="Q838" s="5" t="s">
        <v>3693</v>
      </c>
      <c r="R838" s="247" t="s">
        <v>2567</v>
      </c>
      <c r="S838" s="246" t="s">
        <v>2568</v>
      </c>
      <c r="T838" s="246" t="s">
        <v>3694</v>
      </c>
      <c r="U838" s="246" t="s">
        <v>3695</v>
      </c>
      <c r="V838" s="246" t="s">
        <v>2488</v>
      </c>
      <c r="W838" s="235"/>
      <c r="X838" s="7"/>
      <c r="Y838" s="246"/>
      <c r="Z838" s="273"/>
      <c r="AA838" s="248"/>
      <c r="AB838" s="5" t="s">
        <v>2527</v>
      </c>
    </row>
    <row r="839" spans="1:28" s="5" customFormat="1" ht="11.25" customHeight="1">
      <c r="A839" s="7">
        <v>41211</v>
      </c>
      <c r="B839" s="5" t="s">
        <v>2565</v>
      </c>
      <c r="C839" s="5" t="s">
        <v>2080</v>
      </c>
      <c r="D839" s="1" t="s">
        <v>2010</v>
      </c>
      <c r="E839" s="5">
        <v>10434</v>
      </c>
      <c r="F839" s="5">
        <v>40</v>
      </c>
      <c r="G839" s="5" t="s">
        <v>2398</v>
      </c>
      <c r="H839" s="243">
        <v>16.559999999999999</v>
      </c>
      <c r="I839" s="235">
        <f>H839*F839</f>
        <v>662.4</v>
      </c>
      <c r="J839" s="361"/>
      <c r="K839" s="266">
        <f>14.5*40</f>
        <v>580</v>
      </c>
      <c r="L839" s="237">
        <v>41283</v>
      </c>
      <c r="M839" s="1" t="s">
        <v>2327</v>
      </c>
      <c r="N839" s="235">
        <f t="shared" si="51"/>
        <v>662.4</v>
      </c>
      <c r="O839" s="235">
        <f t="shared" si="52"/>
        <v>0</v>
      </c>
      <c r="P839" s="246" t="s">
        <v>3692</v>
      </c>
      <c r="Q839" s="5" t="s">
        <v>3693</v>
      </c>
      <c r="R839" s="247" t="s">
        <v>2567</v>
      </c>
      <c r="S839" s="246" t="s">
        <v>2568</v>
      </c>
      <c r="T839" s="246" t="s">
        <v>3694</v>
      </c>
      <c r="U839" s="246" t="s">
        <v>3695</v>
      </c>
      <c r="V839" s="246" t="s">
        <v>2488</v>
      </c>
      <c r="W839" s="235"/>
      <c r="X839" s="7"/>
      <c r="Y839" s="246"/>
      <c r="Z839" s="273"/>
      <c r="AA839" s="248"/>
      <c r="AB839" s="5" t="s">
        <v>2527</v>
      </c>
    </row>
    <row r="840" spans="1:28" s="5" customFormat="1" ht="11.25" customHeight="1">
      <c r="A840" s="7">
        <v>41211</v>
      </c>
      <c r="B840" s="5" t="s">
        <v>3653</v>
      </c>
      <c r="C840" s="5" t="s">
        <v>2080</v>
      </c>
      <c r="D840" s="5" t="s">
        <v>1934</v>
      </c>
      <c r="E840" s="5">
        <v>1110</v>
      </c>
      <c r="F840" s="5">
        <v>200</v>
      </c>
      <c r="G840" s="5" t="s">
        <v>2398</v>
      </c>
      <c r="H840" s="243">
        <v>0.86</v>
      </c>
      <c r="I840" s="235">
        <f>F840*H840</f>
        <v>172</v>
      </c>
      <c r="J840" s="361"/>
      <c r="K840" s="266">
        <f>0.77*200</f>
        <v>154</v>
      </c>
      <c r="L840" s="245">
        <v>41211</v>
      </c>
      <c r="M840" s="5" t="s">
        <v>2390</v>
      </c>
      <c r="N840" s="235">
        <f t="shared" si="51"/>
        <v>172</v>
      </c>
      <c r="O840" s="235">
        <f t="shared" si="52"/>
        <v>0</v>
      </c>
      <c r="P840" s="246" t="s">
        <v>3696</v>
      </c>
      <c r="Q840" s="5" t="s">
        <v>2212</v>
      </c>
      <c r="R840" s="247" t="s">
        <v>2082</v>
      </c>
      <c r="S840" s="246" t="s">
        <v>2082</v>
      </c>
      <c r="T840" s="246" t="s">
        <v>2082</v>
      </c>
      <c r="U840" s="246" t="s">
        <v>2082</v>
      </c>
      <c r="V840" s="238" t="s">
        <v>3655</v>
      </c>
      <c r="W840" s="235">
        <v>1077</v>
      </c>
      <c r="X840" s="7">
        <v>41256</v>
      </c>
      <c r="Y840" s="255">
        <v>23000504124</v>
      </c>
      <c r="Z840" s="273"/>
      <c r="AA840" s="248"/>
      <c r="AB840" s="5" t="s">
        <v>2527</v>
      </c>
    </row>
    <row r="841" spans="1:28" ht="11.25" customHeight="1">
      <c r="A841" s="7">
        <v>41211</v>
      </c>
      <c r="B841" s="5" t="s">
        <v>3530</v>
      </c>
      <c r="C841" s="5" t="s">
        <v>2080</v>
      </c>
      <c r="D841" s="5" t="s">
        <v>1960</v>
      </c>
      <c r="E841" s="5">
        <v>1426</v>
      </c>
      <c r="F841" s="5">
        <v>2</v>
      </c>
      <c r="G841" s="5" t="s">
        <v>2398</v>
      </c>
      <c r="H841" s="243">
        <v>22.4</v>
      </c>
      <c r="I841" s="235">
        <f>F841*H841</f>
        <v>44.8</v>
      </c>
      <c r="J841" s="361"/>
      <c r="K841" s="266">
        <f>19.422*2</f>
        <v>38.844000000000001</v>
      </c>
      <c r="L841" s="245">
        <v>41211</v>
      </c>
      <c r="M841" s="5" t="s">
        <v>2390</v>
      </c>
      <c r="N841" s="235">
        <f t="shared" si="51"/>
        <v>44.8</v>
      </c>
      <c r="O841" s="235">
        <f t="shared" si="52"/>
        <v>0</v>
      </c>
      <c r="P841" s="246" t="s">
        <v>3697</v>
      </c>
      <c r="Q841" s="5" t="s">
        <v>2505</v>
      </c>
      <c r="R841" s="247" t="s">
        <v>2082</v>
      </c>
      <c r="S841" s="246" t="s">
        <v>2082</v>
      </c>
      <c r="T841" s="238" t="s">
        <v>3533</v>
      </c>
      <c r="U841" s="246" t="s">
        <v>2082</v>
      </c>
      <c r="V841" s="246" t="s">
        <v>2488</v>
      </c>
      <c r="W841" s="235"/>
      <c r="X841" s="7"/>
      <c r="Y841" s="246"/>
      <c r="Z841" s="273"/>
      <c r="AA841" s="248"/>
      <c r="AB841" s="5" t="s">
        <v>2527</v>
      </c>
    </row>
    <row r="842" spans="1:28" ht="11.25" customHeight="1">
      <c r="A842" s="233">
        <v>41211</v>
      </c>
      <c r="B842" s="1" t="s">
        <v>3668</v>
      </c>
      <c r="C842" s="5" t="s">
        <v>2080</v>
      </c>
      <c r="D842" s="1" t="s">
        <v>86</v>
      </c>
      <c r="E842" s="5">
        <v>9032</v>
      </c>
      <c r="F842" s="5">
        <v>500</v>
      </c>
      <c r="G842" s="1" t="s">
        <v>2086</v>
      </c>
      <c r="H842" s="234">
        <v>2.2999999999999998</v>
      </c>
      <c r="I842" s="235">
        <f t="shared" ref="I842:I864" si="53">F842*H842</f>
        <v>1150</v>
      </c>
      <c r="K842" s="266">
        <f>1.4929*500</f>
        <v>746.44999999999993</v>
      </c>
      <c r="L842" s="237">
        <v>41240</v>
      </c>
      <c r="M842" s="1" t="s">
        <v>2077</v>
      </c>
      <c r="N842" s="235">
        <f t="shared" si="51"/>
        <v>1150</v>
      </c>
      <c r="O842" s="235">
        <f t="shared" si="52"/>
        <v>0</v>
      </c>
      <c r="P842" s="238" t="s">
        <v>3698</v>
      </c>
      <c r="Q842" s="1" t="s">
        <v>3535</v>
      </c>
      <c r="R842" s="239" t="s">
        <v>3670</v>
      </c>
      <c r="S842" s="238" t="s">
        <v>3671</v>
      </c>
      <c r="T842" s="238" t="s">
        <v>3672</v>
      </c>
      <c r="U842" s="238" t="s">
        <v>3699</v>
      </c>
      <c r="V842" s="238" t="s">
        <v>3674</v>
      </c>
      <c r="W842" s="236">
        <v>4329.5</v>
      </c>
      <c r="X842" s="233">
        <v>41219</v>
      </c>
      <c r="Y842" s="238" t="s">
        <v>3675</v>
      </c>
      <c r="AB842" s="1" t="s">
        <v>2079</v>
      </c>
    </row>
    <row r="843" spans="1:28" ht="14.25" customHeight="1">
      <c r="A843" s="233">
        <v>41211</v>
      </c>
      <c r="B843" s="1" t="s">
        <v>3668</v>
      </c>
      <c r="C843" s="5" t="s">
        <v>2080</v>
      </c>
      <c r="D843" s="1" t="s">
        <v>1711</v>
      </c>
      <c r="E843" s="5">
        <v>8210</v>
      </c>
      <c r="F843" s="5">
        <v>160</v>
      </c>
      <c r="G843" s="1" t="s">
        <v>2086</v>
      </c>
      <c r="H843" s="234">
        <v>6.5</v>
      </c>
      <c r="I843" s="235">
        <f t="shared" si="53"/>
        <v>1040</v>
      </c>
      <c r="K843" s="266">
        <f>3.63*160</f>
        <v>580.79999999999995</v>
      </c>
      <c r="L843" s="237">
        <v>41240</v>
      </c>
      <c r="M843" s="1" t="s">
        <v>2077</v>
      </c>
      <c r="N843" s="235">
        <f t="shared" si="51"/>
        <v>1040</v>
      </c>
      <c r="O843" s="235">
        <f t="shared" si="52"/>
        <v>0</v>
      </c>
      <c r="P843" s="238" t="s">
        <v>3698</v>
      </c>
      <c r="Q843" s="1" t="s">
        <v>3535</v>
      </c>
      <c r="R843" s="239" t="s">
        <v>3670</v>
      </c>
      <c r="S843" s="238" t="s">
        <v>3671</v>
      </c>
      <c r="T843" s="238" t="s">
        <v>3672</v>
      </c>
      <c r="U843" s="238" t="s">
        <v>3699</v>
      </c>
      <c r="V843" s="238" t="s">
        <v>3674</v>
      </c>
      <c r="W843" s="236">
        <v>4329.5</v>
      </c>
      <c r="X843" s="233">
        <v>41219</v>
      </c>
      <c r="Y843" s="238" t="s">
        <v>3675</v>
      </c>
      <c r="AB843" s="1" t="s">
        <v>2079</v>
      </c>
    </row>
    <row r="844" spans="1:28" ht="11.25" customHeight="1">
      <c r="A844" s="233">
        <v>41211</v>
      </c>
      <c r="B844" s="1" t="s">
        <v>2169</v>
      </c>
      <c r="C844" s="5" t="s">
        <v>2080</v>
      </c>
      <c r="D844" s="1" t="s">
        <v>1910</v>
      </c>
      <c r="E844" s="5" t="s">
        <v>3490</v>
      </c>
      <c r="F844" s="5">
        <v>10</v>
      </c>
      <c r="G844" s="1" t="s">
        <v>2086</v>
      </c>
      <c r="H844" s="234">
        <v>2.0099999999999998</v>
      </c>
      <c r="I844" s="235">
        <f t="shared" si="53"/>
        <v>20.099999999999998</v>
      </c>
      <c r="K844" s="266">
        <f>1.88*10</f>
        <v>18.799999999999997</v>
      </c>
      <c r="N844" s="235">
        <v>0</v>
      </c>
      <c r="O844" s="235">
        <f>I844-N844</f>
        <v>20.099999999999998</v>
      </c>
      <c r="P844" s="238" t="s">
        <v>2082</v>
      </c>
      <c r="Q844" s="1" t="s">
        <v>3535</v>
      </c>
      <c r="R844" s="239" t="s">
        <v>2618</v>
      </c>
      <c r="S844" s="238" t="s">
        <v>2619</v>
      </c>
      <c r="T844" s="238" t="s">
        <v>3685</v>
      </c>
      <c r="U844" s="238" t="s">
        <v>3700</v>
      </c>
      <c r="AB844" s="1" t="s">
        <v>2527</v>
      </c>
    </row>
    <row r="845" spans="1:28" ht="11.25" customHeight="1">
      <c r="A845" s="233">
        <v>41212</v>
      </c>
      <c r="B845" s="1" t="s">
        <v>2084</v>
      </c>
      <c r="C845" s="5" t="s">
        <v>2080</v>
      </c>
      <c r="D845" s="1" t="s">
        <v>2013</v>
      </c>
      <c r="E845" s="5" t="s">
        <v>3701</v>
      </c>
      <c r="F845" s="5">
        <v>25</v>
      </c>
      <c r="G845" s="1" t="s">
        <v>3129</v>
      </c>
      <c r="H845" s="234">
        <v>38.26</v>
      </c>
      <c r="I845" s="235">
        <f t="shared" si="53"/>
        <v>956.5</v>
      </c>
      <c r="K845" s="266">
        <f>33.111*25</f>
        <v>827.77499999999998</v>
      </c>
      <c r="L845" s="237">
        <v>41212</v>
      </c>
      <c r="M845" s="1" t="s">
        <v>2327</v>
      </c>
      <c r="N845" s="235">
        <f t="shared" si="51"/>
        <v>956.5</v>
      </c>
      <c r="O845" s="235">
        <f t="shared" ref="O845:O855" si="54">I845-N845</f>
        <v>0</v>
      </c>
      <c r="P845" s="238" t="s">
        <v>3702</v>
      </c>
      <c r="Q845" s="1" t="s">
        <v>2505</v>
      </c>
      <c r="R845" s="239" t="s">
        <v>3703</v>
      </c>
      <c r="S845" s="238" t="s">
        <v>3704</v>
      </c>
      <c r="T845" s="238" t="s">
        <v>3705</v>
      </c>
      <c r="U845" s="238" t="s">
        <v>2082</v>
      </c>
      <c r="V845" s="238" t="s">
        <v>2082</v>
      </c>
      <c r="AB845" s="1" t="s">
        <v>2527</v>
      </c>
    </row>
    <row r="846" spans="1:28" ht="12" customHeight="1">
      <c r="A846" s="233">
        <v>41212</v>
      </c>
      <c r="B846" s="1" t="s">
        <v>2084</v>
      </c>
      <c r="C846" s="5" t="s">
        <v>2080</v>
      </c>
      <c r="D846" s="1" t="s">
        <v>1874</v>
      </c>
      <c r="E846" s="5" t="s">
        <v>3563</v>
      </c>
      <c r="F846" s="5">
        <v>500</v>
      </c>
      <c r="G846" s="1" t="s">
        <v>2490</v>
      </c>
      <c r="H846" s="234">
        <v>1.97</v>
      </c>
      <c r="I846" s="235">
        <f t="shared" si="53"/>
        <v>985</v>
      </c>
      <c r="J846" s="359">
        <v>1.54</v>
      </c>
      <c r="K846" s="266">
        <f>1.54*500</f>
        <v>770</v>
      </c>
      <c r="L846" s="237">
        <v>41212</v>
      </c>
      <c r="M846" s="1" t="s">
        <v>2327</v>
      </c>
      <c r="N846" s="235">
        <f t="shared" si="51"/>
        <v>985</v>
      </c>
      <c r="O846" s="235">
        <f t="shared" si="54"/>
        <v>0</v>
      </c>
      <c r="P846" s="238" t="s">
        <v>3702</v>
      </c>
      <c r="Q846" s="1" t="s">
        <v>2505</v>
      </c>
      <c r="R846" s="239" t="s">
        <v>3703</v>
      </c>
      <c r="S846" s="238" t="s">
        <v>3704</v>
      </c>
      <c r="T846" s="238" t="s">
        <v>3705</v>
      </c>
      <c r="U846" s="238" t="s">
        <v>2082</v>
      </c>
      <c r="V846" s="238" t="s">
        <v>2082</v>
      </c>
      <c r="AB846" s="1" t="s">
        <v>2527</v>
      </c>
    </row>
    <row r="847" spans="1:28" ht="12" customHeight="1">
      <c r="A847" s="233">
        <v>41212</v>
      </c>
      <c r="B847" s="1" t="s">
        <v>3706</v>
      </c>
      <c r="C847" s="5" t="s">
        <v>2080</v>
      </c>
      <c r="D847" s="1" t="s">
        <v>2038</v>
      </c>
      <c r="E847" s="5" t="s">
        <v>3707</v>
      </c>
      <c r="F847" s="5">
        <v>4</v>
      </c>
      <c r="G847" s="1" t="s">
        <v>2529</v>
      </c>
      <c r="H847" s="270">
        <v>720</v>
      </c>
      <c r="I847" s="236">
        <f t="shared" si="53"/>
        <v>2880</v>
      </c>
      <c r="K847" s="266">
        <f>220*4</f>
        <v>880</v>
      </c>
      <c r="L847" s="237">
        <v>41236</v>
      </c>
      <c r="M847" s="1" t="s">
        <v>2077</v>
      </c>
      <c r="N847" s="235">
        <f t="shared" si="51"/>
        <v>2880</v>
      </c>
      <c r="O847" s="235">
        <f t="shared" si="54"/>
        <v>0</v>
      </c>
      <c r="P847" s="238" t="s">
        <v>3708</v>
      </c>
      <c r="Q847" s="1" t="s">
        <v>2505</v>
      </c>
      <c r="R847" s="239" t="s">
        <v>2082</v>
      </c>
      <c r="S847" s="238" t="s">
        <v>2082</v>
      </c>
      <c r="T847" s="238" t="s">
        <v>2082</v>
      </c>
      <c r="U847" s="238" t="s">
        <v>2082</v>
      </c>
      <c r="V847" s="238" t="s">
        <v>3709</v>
      </c>
      <c r="W847" s="236">
        <v>11540</v>
      </c>
      <c r="X847" s="233">
        <v>41219</v>
      </c>
      <c r="Y847" s="238" t="s">
        <v>3710</v>
      </c>
      <c r="AA847" s="240" t="s">
        <v>2668</v>
      </c>
      <c r="AB847" s="1" t="s">
        <v>2079</v>
      </c>
    </row>
    <row r="848" spans="1:28" ht="12" customHeight="1">
      <c r="A848" s="233">
        <v>41212</v>
      </c>
      <c r="B848" s="1" t="s">
        <v>3706</v>
      </c>
      <c r="C848" s="5" t="s">
        <v>2080</v>
      </c>
      <c r="D848" s="1" t="s">
        <v>1907</v>
      </c>
      <c r="E848" s="5" t="s">
        <v>3711</v>
      </c>
      <c r="F848" s="5">
        <v>4</v>
      </c>
      <c r="G848" s="1" t="s">
        <v>3712</v>
      </c>
      <c r="H848" s="234">
        <v>480</v>
      </c>
      <c r="I848" s="236">
        <f t="shared" si="53"/>
        <v>1920</v>
      </c>
      <c r="K848" s="266">
        <f>210*4</f>
        <v>840</v>
      </c>
      <c r="L848" s="237">
        <v>41236</v>
      </c>
      <c r="M848" s="1" t="s">
        <v>2077</v>
      </c>
      <c r="N848" s="235">
        <f t="shared" si="51"/>
        <v>1920</v>
      </c>
      <c r="O848" s="235">
        <f t="shared" si="54"/>
        <v>0</v>
      </c>
      <c r="P848" s="238" t="s">
        <v>3708</v>
      </c>
      <c r="Q848" s="1" t="s">
        <v>2505</v>
      </c>
      <c r="R848" s="239" t="s">
        <v>2082</v>
      </c>
      <c r="S848" s="238" t="s">
        <v>2082</v>
      </c>
      <c r="T848" s="238" t="s">
        <v>2082</v>
      </c>
      <c r="U848" s="238" t="s">
        <v>2082</v>
      </c>
      <c r="V848" s="238" t="s">
        <v>3709</v>
      </c>
      <c r="W848" s="236">
        <v>11540</v>
      </c>
      <c r="X848" s="233">
        <v>41219</v>
      </c>
      <c r="Y848" s="238" t="s">
        <v>3710</v>
      </c>
      <c r="AA848" s="240" t="s">
        <v>2668</v>
      </c>
      <c r="AB848" s="1" t="s">
        <v>2079</v>
      </c>
    </row>
    <row r="849" spans="1:28" ht="12" customHeight="1">
      <c r="A849" s="233">
        <v>41212</v>
      </c>
      <c r="B849" s="1" t="s">
        <v>3706</v>
      </c>
      <c r="C849" s="5" t="s">
        <v>2080</v>
      </c>
      <c r="D849" s="1" t="s">
        <v>1911</v>
      </c>
      <c r="E849" s="5">
        <v>3511</v>
      </c>
      <c r="F849" s="5">
        <v>3</v>
      </c>
      <c r="G849" s="1" t="s">
        <v>3713</v>
      </c>
      <c r="H849" s="234">
        <v>125</v>
      </c>
      <c r="I849" s="236">
        <f t="shared" si="53"/>
        <v>375</v>
      </c>
      <c r="K849" s="266">
        <f>92*3</f>
        <v>276</v>
      </c>
      <c r="L849" s="237">
        <v>41236</v>
      </c>
      <c r="M849" s="1" t="s">
        <v>2077</v>
      </c>
      <c r="N849" s="235">
        <f t="shared" si="51"/>
        <v>375</v>
      </c>
      <c r="O849" s="235">
        <f t="shared" si="54"/>
        <v>0</v>
      </c>
      <c r="P849" s="238" t="s">
        <v>3708</v>
      </c>
      <c r="Q849" s="1" t="s">
        <v>2505</v>
      </c>
      <c r="R849" s="239" t="s">
        <v>2082</v>
      </c>
      <c r="S849" s="238" t="s">
        <v>2082</v>
      </c>
      <c r="T849" s="238" t="s">
        <v>2082</v>
      </c>
      <c r="U849" s="238" t="s">
        <v>2082</v>
      </c>
      <c r="V849" s="238" t="s">
        <v>3709</v>
      </c>
      <c r="W849" s="236">
        <v>11540</v>
      </c>
      <c r="X849" s="233">
        <v>41219</v>
      </c>
      <c r="Y849" s="238" t="s">
        <v>3710</v>
      </c>
      <c r="AA849" s="240" t="s">
        <v>2668</v>
      </c>
      <c r="AB849" s="1" t="s">
        <v>2079</v>
      </c>
    </row>
    <row r="850" spans="1:28" ht="12" customHeight="1">
      <c r="A850" s="233">
        <v>41212</v>
      </c>
      <c r="B850" s="1" t="s">
        <v>3706</v>
      </c>
      <c r="C850" s="5" t="s">
        <v>2080</v>
      </c>
      <c r="D850" s="1" t="s">
        <v>1912</v>
      </c>
      <c r="E850" s="5">
        <v>3511</v>
      </c>
      <c r="F850" s="5">
        <v>2</v>
      </c>
      <c r="G850" s="1" t="s">
        <v>3713</v>
      </c>
      <c r="H850" s="234">
        <v>125</v>
      </c>
      <c r="I850" s="236">
        <f t="shared" si="53"/>
        <v>250</v>
      </c>
      <c r="K850" s="266">
        <f>92*2</f>
        <v>184</v>
      </c>
      <c r="L850" s="237">
        <v>41236</v>
      </c>
      <c r="M850" s="1" t="s">
        <v>2077</v>
      </c>
      <c r="N850" s="235">
        <f t="shared" si="51"/>
        <v>250</v>
      </c>
      <c r="O850" s="235">
        <f t="shared" si="54"/>
        <v>0</v>
      </c>
      <c r="P850" s="238" t="s">
        <v>3708</v>
      </c>
      <c r="Q850" s="1" t="s">
        <v>2505</v>
      </c>
      <c r="R850" s="239" t="s">
        <v>2082</v>
      </c>
      <c r="S850" s="238" t="s">
        <v>2082</v>
      </c>
      <c r="T850" s="238" t="s">
        <v>2082</v>
      </c>
      <c r="U850" s="238" t="s">
        <v>2082</v>
      </c>
      <c r="V850" s="238" t="s">
        <v>3709</v>
      </c>
      <c r="W850" s="236">
        <v>11540</v>
      </c>
      <c r="X850" s="233">
        <v>41219</v>
      </c>
      <c r="Y850" s="238" t="s">
        <v>3710</v>
      </c>
      <c r="AA850" s="240" t="s">
        <v>2668</v>
      </c>
      <c r="AB850" s="1" t="s">
        <v>2079</v>
      </c>
    </row>
    <row r="851" spans="1:28" s="5" customFormat="1" ht="12" customHeight="1">
      <c r="A851" s="233">
        <v>41212</v>
      </c>
      <c r="B851" s="1" t="s">
        <v>3706</v>
      </c>
      <c r="C851" s="5" t="s">
        <v>2080</v>
      </c>
      <c r="D851" s="1" t="s">
        <v>1913</v>
      </c>
      <c r="E851" s="5" t="s">
        <v>2082</v>
      </c>
      <c r="F851" s="5">
        <v>5</v>
      </c>
      <c r="G851" s="1" t="s">
        <v>2529</v>
      </c>
      <c r="H851" s="234">
        <v>23</v>
      </c>
      <c r="I851" s="236">
        <f t="shared" si="53"/>
        <v>115</v>
      </c>
      <c r="J851" s="352"/>
      <c r="K851" s="266">
        <f>17*5</f>
        <v>85</v>
      </c>
      <c r="L851" s="237">
        <v>41236</v>
      </c>
      <c r="M851" s="1" t="s">
        <v>2077</v>
      </c>
      <c r="N851" s="235">
        <f t="shared" si="51"/>
        <v>115</v>
      </c>
      <c r="O851" s="235">
        <f t="shared" si="54"/>
        <v>0</v>
      </c>
      <c r="P851" s="238" t="s">
        <v>3708</v>
      </c>
      <c r="Q851" s="1" t="s">
        <v>2505</v>
      </c>
      <c r="R851" s="239" t="s">
        <v>2082</v>
      </c>
      <c r="S851" s="238" t="s">
        <v>2082</v>
      </c>
      <c r="T851" s="238" t="s">
        <v>2082</v>
      </c>
      <c r="U851" s="238" t="s">
        <v>2082</v>
      </c>
      <c r="V851" s="238" t="s">
        <v>3709</v>
      </c>
      <c r="W851" s="236">
        <v>11540</v>
      </c>
      <c r="X851" s="233">
        <v>41219</v>
      </c>
      <c r="Y851" s="238" t="s">
        <v>3710</v>
      </c>
      <c r="Z851" s="255"/>
      <c r="AA851" s="240" t="s">
        <v>2668</v>
      </c>
      <c r="AB851" s="1" t="s">
        <v>2079</v>
      </c>
    </row>
    <row r="852" spans="1:28" s="5" customFormat="1" ht="12" customHeight="1">
      <c r="A852" s="7">
        <v>41212</v>
      </c>
      <c r="B852" s="5" t="s">
        <v>3714</v>
      </c>
      <c r="C852" s="5" t="s">
        <v>2080</v>
      </c>
      <c r="D852" s="1" t="s">
        <v>1210</v>
      </c>
      <c r="E852" s="5">
        <v>3200</v>
      </c>
      <c r="F852" s="5">
        <v>40</v>
      </c>
      <c r="G852" s="5" t="s">
        <v>2086</v>
      </c>
      <c r="H852" s="243">
        <v>30.5</v>
      </c>
      <c r="I852" s="235">
        <f t="shared" si="53"/>
        <v>1220</v>
      </c>
      <c r="J852" s="361"/>
      <c r="K852" s="266">
        <f>23.94*40</f>
        <v>957.6</v>
      </c>
      <c r="L852" s="245"/>
      <c r="N852" s="235">
        <v>0</v>
      </c>
      <c r="O852" s="235">
        <f t="shared" si="54"/>
        <v>1220</v>
      </c>
      <c r="P852" s="246" t="s">
        <v>3715</v>
      </c>
      <c r="Q852" s="5" t="s">
        <v>2505</v>
      </c>
      <c r="R852" s="239" t="s">
        <v>2082</v>
      </c>
      <c r="S852" s="238" t="s">
        <v>2082</v>
      </c>
      <c r="T852" s="238" t="s">
        <v>2082</v>
      </c>
      <c r="U852" s="238" t="s">
        <v>2082</v>
      </c>
      <c r="V852" s="246" t="s">
        <v>3716</v>
      </c>
      <c r="W852" s="235">
        <v>2170</v>
      </c>
      <c r="X852" s="7">
        <v>41219</v>
      </c>
      <c r="Y852" s="246" t="s">
        <v>3717</v>
      </c>
      <c r="Z852" s="273"/>
      <c r="AA852" s="248"/>
      <c r="AB852" s="1" t="s">
        <v>2079</v>
      </c>
    </row>
    <row r="853" spans="1:28" s="5" customFormat="1" ht="12" customHeight="1">
      <c r="A853" s="7">
        <v>41212</v>
      </c>
      <c r="B853" s="5" t="s">
        <v>3714</v>
      </c>
      <c r="C853" s="5" t="s">
        <v>2080</v>
      </c>
      <c r="D853" s="1" t="s">
        <v>1874</v>
      </c>
      <c r="E853" s="5" t="s">
        <v>2615</v>
      </c>
      <c r="F853" s="5">
        <v>40</v>
      </c>
      <c r="G853" s="1" t="s">
        <v>2490</v>
      </c>
      <c r="H853" s="243">
        <v>2</v>
      </c>
      <c r="I853" s="235">
        <f t="shared" si="53"/>
        <v>80</v>
      </c>
      <c r="J853" s="361">
        <v>1.7</v>
      </c>
      <c r="K853" s="266">
        <f>1.7*40</f>
        <v>68</v>
      </c>
      <c r="L853" s="245"/>
      <c r="N853" s="235">
        <v>0</v>
      </c>
      <c r="O853" s="235">
        <f t="shared" si="54"/>
        <v>80</v>
      </c>
      <c r="P853" s="246" t="s">
        <v>3715</v>
      </c>
      <c r="Q853" s="5" t="s">
        <v>2505</v>
      </c>
      <c r="R853" s="239" t="s">
        <v>2082</v>
      </c>
      <c r="S853" s="238" t="s">
        <v>2082</v>
      </c>
      <c r="T853" s="238" t="s">
        <v>2082</v>
      </c>
      <c r="U853" s="238" t="s">
        <v>2082</v>
      </c>
      <c r="V853" s="246" t="s">
        <v>3716</v>
      </c>
      <c r="W853" s="235">
        <v>2170</v>
      </c>
      <c r="X853" s="7">
        <v>41219</v>
      </c>
      <c r="Y853" s="246" t="s">
        <v>3717</v>
      </c>
      <c r="Z853" s="273"/>
      <c r="AA853" s="248"/>
      <c r="AB853" s="1" t="s">
        <v>2079</v>
      </c>
    </row>
    <row r="854" spans="1:28" s="5" customFormat="1" ht="12" customHeight="1">
      <c r="A854" s="7">
        <v>41212</v>
      </c>
      <c r="B854" s="5" t="s">
        <v>3714</v>
      </c>
      <c r="C854" s="5" t="s">
        <v>2080</v>
      </c>
      <c r="D854" s="1" t="s">
        <v>346</v>
      </c>
      <c r="E854" s="5">
        <v>3700</v>
      </c>
      <c r="F854" s="5">
        <v>40</v>
      </c>
      <c r="G854" s="1" t="s">
        <v>2086</v>
      </c>
      <c r="H854" s="243">
        <v>4.7</v>
      </c>
      <c r="I854" s="235">
        <f t="shared" si="53"/>
        <v>188</v>
      </c>
      <c r="J854" s="361">
        <v>3.09</v>
      </c>
      <c r="K854" s="266">
        <f>3.09*40</f>
        <v>123.6</v>
      </c>
      <c r="L854" s="245"/>
      <c r="N854" s="235">
        <v>0</v>
      </c>
      <c r="O854" s="235">
        <f t="shared" si="54"/>
        <v>188</v>
      </c>
      <c r="P854" s="246" t="s">
        <v>3715</v>
      </c>
      <c r="Q854" s="5" t="s">
        <v>2505</v>
      </c>
      <c r="R854" s="239" t="s">
        <v>2082</v>
      </c>
      <c r="S854" s="238" t="s">
        <v>2082</v>
      </c>
      <c r="T854" s="238" t="s">
        <v>2082</v>
      </c>
      <c r="U854" s="238" t="s">
        <v>2082</v>
      </c>
      <c r="V854" s="246" t="s">
        <v>3716</v>
      </c>
      <c r="W854" s="235">
        <v>2170</v>
      </c>
      <c r="X854" s="7">
        <v>41219</v>
      </c>
      <c r="Y854" s="246" t="s">
        <v>3717</v>
      </c>
      <c r="Z854" s="273"/>
      <c r="AA854" s="248"/>
      <c r="AB854" s="1" t="s">
        <v>2079</v>
      </c>
    </row>
    <row r="855" spans="1:28" ht="11.25" customHeight="1">
      <c r="A855" s="7">
        <v>41212</v>
      </c>
      <c r="B855" s="5" t="s">
        <v>3714</v>
      </c>
      <c r="C855" s="5" t="s">
        <v>2080</v>
      </c>
      <c r="D855" s="5" t="s">
        <v>305</v>
      </c>
      <c r="E855" s="5">
        <v>1270</v>
      </c>
      <c r="F855" s="5">
        <v>100</v>
      </c>
      <c r="G855" s="5" t="s">
        <v>2398</v>
      </c>
      <c r="H855" s="243">
        <v>5.0999999999999996</v>
      </c>
      <c r="I855" s="235">
        <f t="shared" si="53"/>
        <v>509.99999999999994</v>
      </c>
      <c r="J855" s="361"/>
      <c r="K855" s="266">
        <f>4.31*100</f>
        <v>430.99999999999994</v>
      </c>
      <c r="L855" s="245"/>
      <c r="M855" s="5"/>
      <c r="N855" s="235">
        <v>0</v>
      </c>
      <c r="O855" s="235">
        <f t="shared" si="54"/>
        <v>509.99999999999994</v>
      </c>
      <c r="P855" s="246" t="s">
        <v>3715</v>
      </c>
      <c r="Q855" s="5" t="s">
        <v>2505</v>
      </c>
      <c r="R855" s="239" t="s">
        <v>2082</v>
      </c>
      <c r="S855" s="238" t="s">
        <v>2082</v>
      </c>
      <c r="T855" s="238" t="s">
        <v>2082</v>
      </c>
      <c r="U855" s="238" t="s">
        <v>2082</v>
      </c>
      <c r="V855" s="246" t="s">
        <v>3716</v>
      </c>
      <c r="W855" s="235">
        <v>2170</v>
      </c>
      <c r="X855" s="7">
        <v>41219</v>
      </c>
      <c r="Y855" s="246" t="s">
        <v>3717</v>
      </c>
      <c r="Z855" s="273"/>
      <c r="AA855" s="248"/>
      <c r="AB855" s="5" t="s">
        <v>2079</v>
      </c>
    </row>
    <row r="856" spans="1:28" ht="11.25" customHeight="1">
      <c r="A856" s="233">
        <v>41212</v>
      </c>
      <c r="B856" s="1" t="s">
        <v>3718</v>
      </c>
      <c r="C856" s="1" t="s">
        <v>2080</v>
      </c>
      <c r="D856" s="1" t="s">
        <v>1914</v>
      </c>
      <c r="E856" s="5">
        <v>82518</v>
      </c>
      <c r="F856" s="5">
        <v>300</v>
      </c>
      <c r="G856" s="1" t="s">
        <v>2086</v>
      </c>
      <c r="H856" s="234">
        <v>190</v>
      </c>
      <c r="I856" s="235">
        <f t="shared" si="53"/>
        <v>57000</v>
      </c>
      <c r="K856" s="266">
        <f>127*300</f>
        <v>38100</v>
      </c>
      <c r="L856" s="237">
        <v>41212</v>
      </c>
      <c r="M856" s="1" t="s">
        <v>2077</v>
      </c>
      <c r="N856" s="235">
        <f t="shared" si="51"/>
        <v>57000</v>
      </c>
      <c r="O856" s="235">
        <f>I856-N856</f>
        <v>0</v>
      </c>
      <c r="P856" s="238" t="s">
        <v>2082</v>
      </c>
      <c r="Q856" s="1" t="s">
        <v>2082</v>
      </c>
      <c r="R856" s="239" t="s">
        <v>2082</v>
      </c>
      <c r="S856" s="238" t="s">
        <v>2082</v>
      </c>
      <c r="T856" s="238" t="s">
        <v>2082</v>
      </c>
      <c r="U856" s="238" t="s">
        <v>2082</v>
      </c>
      <c r="V856" s="238" t="s">
        <v>3719</v>
      </c>
      <c r="W856" s="236" t="s">
        <v>3720</v>
      </c>
      <c r="X856" s="233">
        <v>41219</v>
      </c>
      <c r="Y856" s="238" t="s">
        <v>3721</v>
      </c>
      <c r="AB856" s="1" t="s">
        <v>2527</v>
      </c>
    </row>
    <row r="857" spans="1:28" ht="11.25" customHeight="1">
      <c r="A857" s="233">
        <v>41212</v>
      </c>
      <c r="B857" s="1" t="s">
        <v>3722</v>
      </c>
      <c r="C857" s="1" t="s">
        <v>2080</v>
      </c>
      <c r="D857" s="1" t="s">
        <v>2021</v>
      </c>
      <c r="E857" s="5" t="s">
        <v>2566</v>
      </c>
      <c r="F857" s="5">
        <v>5000</v>
      </c>
      <c r="G857" s="1" t="s">
        <v>2490</v>
      </c>
      <c r="H857" s="234">
        <v>1.85</v>
      </c>
      <c r="I857" s="235">
        <f t="shared" si="53"/>
        <v>9250</v>
      </c>
      <c r="K857" s="266">
        <f>1.53*5000</f>
        <v>7650</v>
      </c>
      <c r="L857" s="237">
        <v>41212</v>
      </c>
      <c r="M857" s="1" t="s">
        <v>2390</v>
      </c>
      <c r="N857" s="235">
        <f t="shared" si="51"/>
        <v>9250</v>
      </c>
      <c r="O857" s="235">
        <f>I857-N857</f>
        <v>0</v>
      </c>
      <c r="P857" s="238" t="s">
        <v>3723</v>
      </c>
      <c r="Q857" s="1" t="s">
        <v>2212</v>
      </c>
      <c r="R857" s="239" t="s">
        <v>3724</v>
      </c>
      <c r="S857" s="238" t="s">
        <v>3725</v>
      </c>
      <c r="T857" s="238" t="s">
        <v>3726</v>
      </c>
      <c r="U857" s="238" t="s">
        <v>5640</v>
      </c>
      <c r="V857" s="238" t="s">
        <v>3727</v>
      </c>
      <c r="W857" s="236">
        <v>9250</v>
      </c>
      <c r="X857" s="233">
        <v>41243</v>
      </c>
      <c r="Y857" s="238" t="s">
        <v>3728</v>
      </c>
      <c r="AB857" s="1" t="s">
        <v>2527</v>
      </c>
    </row>
    <row r="858" spans="1:28" ht="11.25" customHeight="1">
      <c r="A858" s="233">
        <v>41213</v>
      </c>
      <c r="B858" s="1" t="s">
        <v>2555</v>
      </c>
      <c r="C858" s="1" t="s">
        <v>2080</v>
      </c>
      <c r="D858" s="5" t="s">
        <v>307</v>
      </c>
      <c r="E858" s="5">
        <v>1110</v>
      </c>
      <c r="F858" s="5">
        <v>200</v>
      </c>
      <c r="G858" s="1" t="s">
        <v>2398</v>
      </c>
      <c r="H858" s="234">
        <v>0.8</v>
      </c>
      <c r="I858" s="236">
        <f t="shared" si="53"/>
        <v>160</v>
      </c>
      <c r="K858" s="266">
        <f>0.77*200</f>
        <v>154</v>
      </c>
      <c r="L858" s="245">
        <v>41248</v>
      </c>
      <c r="M858" s="5" t="s">
        <v>2077</v>
      </c>
      <c r="N858" s="235">
        <f t="shared" si="51"/>
        <v>160</v>
      </c>
      <c r="O858" s="235">
        <f>I858-N858</f>
        <v>0</v>
      </c>
      <c r="P858" s="238" t="s">
        <v>2082</v>
      </c>
      <c r="Q858" s="1" t="s">
        <v>2562</v>
      </c>
      <c r="R858" s="239" t="s">
        <v>2600</v>
      </c>
      <c r="S858" s="238" t="s">
        <v>2601</v>
      </c>
      <c r="T858" s="238" t="s">
        <v>3729</v>
      </c>
      <c r="U858" s="238" t="s">
        <v>3730</v>
      </c>
      <c r="V858" s="238" t="s">
        <v>3731</v>
      </c>
      <c r="W858" s="236" t="s">
        <v>3732</v>
      </c>
      <c r="X858" s="233">
        <v>41239</v>
      </c>
      <c r="Y858" s="238" t="s">
        <v>3733</v>
      </c>
      <c r="AB858" s="1" t="s">
        <v>2527</v>
      </c>
    </row>
    <row r="859" spans="1:28" ht="11.25" customHeight="1">
      <c r="A859" s="233">
        <v>41213</v>
      </c>
      <c r="B859" s="1" t="s">
        <v>2555</v>
      </c>
      <c r="C859" s="1" t="s">
        <v>2080</v>
      </c>
      <c r="D859" s="1" t="s">
        <v>1219</v>
      </c>
      <c r="E859" s="5" t="s">
        <v>3440</v>
      </c>
      <c r="F859" s="5">
        <v>100</v>
      </c>
      <c r="G859" s="1" t="s">
        <v>2086</v>
      </c>
      <c r="H859" s="234">
        <v>4.08</v>
      </c>
      <c r="I859" s="236">
        <f t="shared" si="53"/>
        <v>408</v>
      </c>
      <c r="K859" s="266">
        <f>100*4</f>
        <v>400</v>
      </c>
      <c r="L859" s="245">
        <v>41248</v>
      </c>
      <c r="M859" s="5" t="s">
        <v>2077</v>
      </c>
      <c r="N859" s="235">
        <f t="shared" si="51"/>
        <v>408</v>
      </c>
      <c r="O859" s="235">
        <f>I859-N859</f>
        <v>0</v>
      </c>
      <c r="P859" s="238" t="s">
        <v>2082</v>
      </c>
      <c r="Q859" s="1" t="s">
        <v>2562</v>
      </c>
      <c r="R859" s="239" t="s">
        <v>2600</v>
      </c>
      <c r="S859" s="238" t="s">
        <v>2601</v>
      </c>
      <c r="T859" s="238" t="s">
        <v>3729</v>
      </c>
      <c r="U859" s="238" t="s">
        <v>3730</v>
      </c>
      <c r="V859" s="238" t="s">
        <v>3731</v>
      </c>
      <c r="W859" s="236" t="s">
        <v>3732</v>
      </c>
      <c r="X859" s="233">
        <v>41239</v>
      </c>
      <c r="Y859" s="238" t="s">
        <v>3733</v>
      </c>
      <c r="AB859" s="1" t="s">
        <v>2527</v>
      </c>
    </row>
    <row r="860" spans="1:28" ht="11.25" customHeight="1">
      <c r="A860" s="233">
        <v>41213</v>
      </c>
      <c r="B860" s="1" t="s">
        <v>3714</v>
      </c>
      <c r="C860" s="1" t="s">
        <v>2080</v>
      </c>
      <c r="D860" s="5" t="s">
        <v>2012</v>
      </c>
      <c r="E860" s="5" t="s">
        <v>3436</v>
      </c>
      <c r="F860" s="5">
        <v>100</v>
      </c>
      <c r="G860" s="1" t="s">
        <v>4970</v>
      </c>
      <c r="H860" s="234">
        <v>1.72</v>
      </c>
      <c r="I860" s="236">
        <f t="shared" si="53"/>
        <v>172</v>
      </c>
      <c r="J860" s="360">
        <v>1.46</v>
      </c>
      <c r="K860" s="266">
        <f>1.46*100</f>
        <v>146</v>
      </c>
      <c r="N860" s="235">
        <v>0</v>
      </c>
      <c r="O860" s="235">
        <f>I860-N860</f>
        <v>172</v>
      </c>
      <c r="P860" s="238" t="s">
        <v>3734</v>
      </c>
      <c r="Q860" s="1" t="s">
        <v>3684</v>
      </c>
      <c r="R860" s="239" t="s">
        <v>3735</v>
      </c>
      <c r="S860" s="238" t="s">
        <v>3736</v>
      </c>
      <c r="T860" s="238" t="s">
        <v>3737</v>
      </c>
      <c r="U860" s="238" t="s">
        <v>3738</v>
      </c>
      <c r="V860" s="238" t="s">
        <v>3716</v>
      </c>
      <c r="W860" s="236">
        <v>2170</v>
      </c>
      <c r="X860" s="233">
        <v>41219</v>
      </c>
      <c r="Y860" s="238" t="s">
        <v>3717</v>
      </c>
      <c r="AB860" s="1" t="s">
        <v>2079</v>
      </c>
    </row>
    <row r="861" spans="1:28" ht="11.25" customHeight="1">
      <c r="A861" s="233">
        <v>41213</v>
      </c>
      <c r="B861" s="1" t="s">
        <v>3344</v>
      </c>
      <c r="C861" s="1" t="s">
        <v>2080</v>
      </c>
      <c r="D861" s="1" t="s">
        <v>86</v>
      </c>
      <c r="E861" s="5">
        <v>9032</v>
      </c>
      <c r="F861" s="5">
        <v>250</v>
      </c>
      <c r="G861" s="1" t="s">
        <v>2086</v>
      </c>
      <c r="H861" s="234">
        <v>1.73</v>
      </c>
      <c r="I861" s="236">
        <f t="shared" si="53"/>
        <v>432.5</v>
      </c>
      <c r="K861" s="266">
        <f>1.4929*250</f>
        <v>373.22499999999997</v>
      </c>
      <c r="L861" s="237">
        <v>41214</v>
      </c>
      <c r="M861" s="1" t="s">
        <v>2327</v>
      </c>
      <c r="N861" s="235">
        <f t="shared" si="51"/>
        <v>432.5</v>
      </c>
      <c r="O861" s="235">
        <f t="shared" ref="O861:O883" si="55">I861-N861</f>
        <v>0</v>
      </c>
      <c r="P861" s="238" t="s">
        <v>3739</v>
      </c>
      <c r="Q861" s="1" t="s">
        <v>3345</v>
      </c>
      <c r="R861" s="239" t="s">
        <v>3740</v>
      </c>
      <c r="S861" s="238" t="s">
        <v>3741</v>
      </c>
      <c r="T861" s="238" t="s">
        <v>3347</v>
      </c>
      <c r="U861" s="238" t="s">
        <v>3742</v>
      </c>
      <c r="V861" s="238" t="s">
        <v>2488</v>
      </c>
      <c r="AB861" s="1" t="s">
        <v>2527</v>
      </c>
    </row>
    <row r="862" spans="1:28" ht="11.25" customHeight="1">
      <c r="A862" s="233">
        <v>41213</v>
      </c>
      <c r="B862" s="1" t="s">
        <v>3344</v>
      </c>
      <c r="C862" s="1" t="s">
        <v>2080</v>
      </c>
      <c r="D862" s="5" t="s">
        <v>854</v>
      </c>
      <c r="E862" s="5">
        <v>9031</v>
      </c>
      <c r="F862" s="5">
        <v>250</v>
      </c>
      <c r="G862" s="232" t="s">
        <v>2086</v>
      </c>
      <c r="H862" s="234">
        <v>1.73</v>
      </c>
      <c r="I862" s="236">
        <f t="shared" si="53"/>
        <v>432.5</v>
      </c>
      <c r="K862" s="266">
        <f>1.4929*250</f>
        <v>373.22499999999997</v>
      </c>
      <c r="L862" s="237">
        <v>41214</v>
      </c>
      <c r="M862" s="1" t="s">
        <v>2327</v>
      </c>
      <c r="N862" s="235">
        <f t="shared" si="51"/>
        <v>432.5</v>
      </c>
      <c r="O862" s="235">
        <f t="shared" si="55"/>
        <v>0</v>
      </c>
      <c r="P862" s="238" t="s">
        <v>3739</v>
      </c>
      <c r="Q862" s="1" t="s">
        <v>3345</v>
      </c>
      <c r="R862" s="239" t="s">
        <v>3740</v>
      </c>
      <c r="S862" s="238" t="s">
        <v>3741</v>
      </c>
      <c r="T862" s="238" t="s">
        <v>3347</v>
      </c>
      <c r="U862" s="238" t="s">
        <v>3742</v>
      </c>
      <c r="V862" s="238" t="s">
        <v>2488</v>
      </c>
      <c r="AB862" s="1" t="s">
        <v>2527</v>
      </c>
    </row>
    <row r="863" spans="1:28" ht="11.25" customHeight="1">
      <c r="A863" s="233">
        <v>41213</v>
      </c>
      <c r="B863" s="1" t="s">
        <v>3344</v>
      </c>
      <c r="C863" s="1" t="s">
        <v>2080</v>
      </c>
      <c r="D863" s="1" t="s">
        <v>1711</v>
      </c>
      <c r="E863" s="5">
        <v>8210</v>
      </c>
      <c r="F863" s="5">
        <v>20</v>
      </c>
      <c r="G863" s="1" t="s">
        <v>2086</v>
      </c>
      <c r="H863" s="234">
        <v>4.3</v>
      </c>
      <c r="I863" s="236">
        <f t="shared" si="53"/>
        <v>86</v>
      </c>
      <c r="K863" s="266">
        <f>3.63*20</f>
        <v>72.599999999999994</v>
      </c>
      <c r="L863" s="237">
        <v>41214</v>
      </c>
      <c r="M863" s="1" t="s">
        <v>2327</v>
      </c>
      <c r="N863" s="235">
        <f t="shared" si="51"/>
        <v>86</v>
      </c>
      <c r="O863" s="235">
        <f t="shared" si="55"/>
        <v>0</v>
      </c>
      <c r="P863" s="238" t="s">
        <v>3739</v>
      </c>
      <c r="Q863" s="1" t="s">
        <v>3345</v>
      </c>
      <c r="R863" s="239" t="s">
        <v>3740</v>
      </c>
      <c r="S863" s="238" t="s">
        <v>3741</v>
      </c>
      <c r="T863" s="238" t="s">
        <v>3347</v>
      </c>
      <c r="U863" s="238" t="s">
        <v>3742</v>
      </c>
      <c r="V863" s="238" t="s">
        <v>2488</v>
      </c>
      <c r="AB863" s="1" t="s">
        <v>2527</v>
      </c>
    </row>
    <row r="864" spans="1:28" ht="11.25" customHeight="1">
      <c r="A864" s="233">
        <v>41213</v>
      </c>
      <c r="B864" s="1" t="s">
        <v>3344</v>
      </c>
      <c r="C864" s="1" t="s">
        <v>2080</v>
      </c>
      <c r="D864" s="5" t="s">
        <v>307</v>
      </c>
      <c r="E864" s="5">
        <v>1110</v>
      </c>
      <c r="F864" s="5">
        <v>100</v>
      </c>
      <c r="G864" s="1" t="s">
        <v>2398</v>
      </c>
      <c r="H864" s="234">
        <v>0.9</v>
      </c>
      <c r="I864" s="236">
        <f t="shared" si="53"/>
        <v>90</v>
      </c>
      <c r="K864" s="266">
        <f>0.77*100</f>
        <v>77</v>
      </c>
      <c r="L864" s="237">
        <v>41214</v>
      </c>
      <c r="M864" s="1" t="s">
        <v>2327</v>
      </c>
      <c r="N864" s="235">
        <f t="shared" si="51"/>
        <v>90</v>
      </c>
      <c r="O864" s="235">
        <f t="shared" si="55"/>
        <v>0</v>
      </c>
      <c r="P864" s="238" t="s">
        <v>3739</v>
      </c>
      <c r="Q864" s="1" t="s">
        <v>3345</v>
      </c>
      <c r="R864" s="239" t="s">
        <v>3740</v>
      </c>
      <c r="S864" s="238" t="s">
        <v>3741</v>
      </c>
      <c r="T864" s="238" t="s">
        <v>3347</v>
      </c>
      <c r="U864" s="238" t="s">
        <v>3742</v>
      </c>
      <c r="V864" s="238" t="s">
        <v>2488</v>
      </c>
      <c r="AB864" s="1" t="s">
        <v>2527</v>
      </c>
    </row>
    <row r="865" spans="1:28" s="5" customFormat="1" ht="11.25" customHeight="1">
      <c r="A865" s="233">
        <v>41213</v>
      </c>
      <c r="B865" s="1" t="s">
        <v>3743</v>
      </c>
      <c r="C865" s="5" t="s">
        <v>2080</v>
      </c>
      <c r="D865" s="5" t="s">
        <v>854</v>
      </c>
      <c r="E865" s="5">
        <v>9031</v>
      </c>
      <c r="F865" s="5">
        <v>1000</v>
      </c>
      <c r="G865" s="232" t="s">
        <v>2086</v>
      </c>
      <c r="H865" s="234">
        <v>2.2999999999999998</v>
      </c>
      <c r="I865" s="235">
        <f>F865*H865</f>
        <v>2300</v>
      </c>
      <c r="J865" s="352"/>
      <c r="K865" s="266">
        <f>1.4929*1000</f>
        <v>1492.8999999999999</v>
      </c>
      <c r="L865" s="237">
        <v>41212</v>
      </c>
      <c r="M865" s="1" t="s">
        <v>2327</v>
      </c>
      <c r="N865" s="235">
        <f t="shared" si="51"/>
        <v>2300</v>
      </c>
      <c r="O865" s="235">
        <f t="shared" si="55"/>
        <v>0</v>
      </c>
      <c r="P865" s="238" t="s">
        <v>3744</v>
      </c>
      <c r="Q865" s="1" t="s">
        <v>3745</v>
      </c>
      <c r="R865" s="239" t="s">
        <v>3746</v>
      </c>
      <c r="S865" s="238" t="s">
        <v>3747</v>
      </c>
      <c r="T865" s="238" t="s">
        <v>3748</v>
      </c>
      <c r="U865" s="238" t="s">
        <v>3749</v>
      </c>
      <c r="V865" s="238" t="s">
        <v>2488</v>
      </c>
      <c r="W865" s="236"/>
      <c r="X865" s="233"/>
      <c r="Y865" s="238"/>
      <c r="Z865" s="255"/>
      <c r="AA865" s="240"/>
      <c r="AB865" s="1" t="s">
        <v>2079</v>
      </c>
    </row>
    <row r="866" spans="1:28" ht="11.25" customHeight="1">
      <c r="A866" s="7">
        <v>41213</v>
      </c>
      <c r="B866" s="5" t="s">
        <v>3743</v>
      </c>
      <c r="C866" s="5" t="s">
        <v>2080</v>
      </c>
      <c r="D866" s="1" t="s">
        <v>353</v>
      </c>
      <c r="E866" s="5" t="s">
        <v>2492</v>
      </c>
      <c r="F866" s="5">
        <v>60</v>
      </c>
      <c r="G866" s="5" t="s">
        <v>2086</v>
      </c>
      <c r="H866" s="243">
        <v>27</v>
      </c>
      <c r="I866" s="235">
        <f>F866*H866</f>
        <v>1620</v>
      </c>
      <c r="J866" s="361">
        <v>17.5</v>
      </c>
      <c r="K866" s="266">
        <f>17.5*60</f>
        <v>1050</v>
      </c>
      <c r="L866" s="245">
        <v>41212</v>
      </c>
      <c r="M866" s="5" t="s">
        <v>2327</v>
      </c>
      <c r="N866" s="235">
        <f t="shared" si="51"/>
        <v>1620</v>
      </c>
      <c r="O866" s="235">
        <f t="shared" si="55"/>
        <v>0</v>
      </c>
      <c r="P866" s="246" t="s">
        <v>3744</v>
      </c>
      <c r="Q866" s="1" t="s">
        <v>3745</v>
      </c>
      <c r="R866" s="239" t="s">
        <v>3746</v>
      </c>
      <c r="S866" s="238" t="s">
        <v>3747</v>
      </c>
      <c r="T866" s="238" t="s">
        <v>3748</v>
      </c>
      <c r="U866" s="238" t="s">
        <v>3749</v>
      </c>
      <c r="V866" s="246" t="s">
        <v>2488</v>
      </c>
      <c r="W866" s="235"/>
      <c r="X866" s="7"/>
      <c r="Y866" s="246"/>
      <c r="Z866" s="273"/>
      <c r="AA866" s="248"/>
      <c r="AB866" s="5" t="s">
        <v>2079</v>
      </c>
    </row>
    <row r="867" spans="1:28" ht="11.25" customHeight="1">
      <c r="A867" s="233">
        <v>41213</v>
      </c>
      <c r="B867" s="1" t="s">
        <v>3743</v>
      </c>
      <c r="C867" s="5" t="s">
        <v>2080</v>
      </c>
      <c r="D867" s="1" t="s">
        <v>1874</v>
      </c>
      <c r="E867" s="5" t="s">
        <v>3522</v>
      </c>
      <c r="F867" s="5">
        <v>120</v>
      </c>
      <c r="G867" s="1" t="s">
        <v>231</v>
      </c>
      <c r="H867" s="234">
        <v>7.5</v>
      </c>
      <c r="I867" s="235">
        <f>F867*H867</f>
        <v>900</v>
      </c>
      <c r="K867" s="266">
        <f>4.78*120</f>
        <v>573.6</v>
      </c>
      <c r="L867" s="237">
        <v>41212</v>
      </c>
      <c r="M867" s="1" t="s">
        <v>2327</v>
      </c>
      <c r="N867" s="235">
        <f t="shared" si="51"/>
        <v>900</v>
      </c>
      <c r="O867" s="235">
        <f t="shared" si="55"/>
        <v>0</v>
      </c>
      <c r="P867" s="238" t="s">
        <v>3744</v>
      </c>
      <c r="Q867" s="1" t="s">
        <v>3745</v>
      </c>
      <c r="R867" s="239" t="s">
        <v>3746</v>
      </c>
      <c r="S867" s="238" t="s">
        <v>3747</v>
      </c>
      <c r="T867" s="238" t="s">
        <v>3748</v>
      </c>
      <c r="U867" s="238" t="s">
        <v>3749</v>
      </c>
      <c r="V867" s="238" t="s">
        <v>2488</v>
      </c>
      <c r="AB867" s="1" t="s">
        <v>2079</v>
      </c>
    </row>
    <row r="868" spans="1:28" ht="11.25" customHeight="1">
      <c r="A868" s="233">
        <v>41213</v>
      </c>
      <c r="B868" s="1" t="s">
        <v>3743</v>
      </c>
      <c r="C868" s="1" t="s">
        <v>2821</v>
      </c>
      <c r="D868" s="95" t="s">
        <v>5008</v>
      </c>
      <c r="E868" s="5" t="s">
        <v>3750</v>
      </c>
      <c r="F868" s="5">
        <v>12</v>
      </c>
      <c r="G868" s="1" t="s">
        <v>2823</v>
      </c>
      <c r="H868" s="234">
        <v>15</v>
      </c>
      <c r="I868" s="235">
        <f>F868*H868</f>
        <v>180</v>
      </c>
      <c r="K868" s="266">
        <f>10*12</f>
        <v>120</v>
      </c>
      <c r="L868" s="237">
        <v>41212</v>
      </c>
      <c r="M868" s="1" t="s">
        <v>2327</v>
      </c>
      <c r="N868" s="235">
        <f t="shared" si="51"/>
        <v>180</v>
      </c>
      <c r="O868" s="235">
        <f t="shared" si="55"/>
        <v>0</v>
      </c>
      <c r="P868" s="238" t="s">
        <v>3744</v>
      </c>
      <c r="Q868" s="1" t="s">
        <v>3745</v>
      </c>
      <c r="R868" s="239" t="s">
        <v>3746</v>
      </c>
      <c r="S868" s="238" t="s">
        <v>3747</v>
      </c>
      <c r="T868" s="238" t="s">
        <v>3748</v>
      </c>
      <c r="U868" s="238" t="s">
        <v>3749</v>
      </c>
      <c r="V868" s="238" t="s">
        <v>2488</v>
      </c>
      <c r="AB868" s="1" t="s">
        <v>2079</v>
      </c>
    </row>
    <row r="869" spans="1:28" ht="11.25" customHeight="1">
      <c r="A869" s="233">
        <v>41215</v>
      </c>
      <c r="B869" s="1" t="s">
        <v>3344</v>
      </c>
      <c r="C869" s="1" t="s">
        <v>2080</v>
      </c>
      <c r="D869" s="1" t="s">
        <v>2023</v>
      </c>
      <c r="E869" s="5" t="s">
        <v>3751</v>
      </c>
      <c r="F869" s="5">
        <v>100</v>
      </c>
      <c r="G869" s="1" t="s">
        <v>170</v>
      </c>
      <c r="H869" s="234">
        <v>4.5</v>
      </c>
      <c r="I869" s="236">
        <f t="shared" ref="I869:I874" si="56">F869*H869</f>
        <v>450</v>
      </c>
      <c r="K869" s="266">
        <f>3.59*100</f>
        <v>359</v>
      </c>
      <c r="L869" s="237">
        <v>41214</v>
      </c>
      <c r="M869" s="1" t="s">
        <v>2327</v>
      </c>
      <c r="N869" s="235">
        <f t="shared" si="51"/>
        <v>450</v>
      </c>
      <c r="O869" s="235">
        <f t="shared" si="55"/>
        <v>0</v>
      </c>
      <c r="P869" s="238" t="s">
        <v>3752</v>
      </c>
      <c r="Q869" s="1" t="s">
        <v>3345</v>
      </c>
      <c r="R869" s="239" t="s">
        <v>3740</v>
      </c>
      <c r="S869" s="238" t="s">
        <v>3741</v>
      </c>
      <c r="T869" s="238" t="s">
        <v>3347</v>
      </c>
      <c r="U869" s="238" t="s">
        <v>3753</v>
      </c>
      <c r="V869" s="238" t="s">
        <v>2488</v>
      </c>
      <c r="AB869" s="1" t="s">
        <v>2527</v>
      </c>
    </row>
    <row r="870" spans="1:28" ht="12.75" customHeight="1">
      <c r="A870" s="233">
        <v>41215</v>
      </c>
      <c r="B870" s="1" t="s">
        <v>3754</v>
      </c>
      <c r="C870" s="1" t="s">
        <v>2080</v>
      </c>
      <c r="D870" s="1" t="s">
        <v>1213</v>
      </c>
      <c r="E870" s="5" t="s">
        <v>3548</v>
      </c>
      <c r="F870" s="5">
        <v>12</v>
      </c>
      <c r="G870" s="1" t="s">
        <v>2398</v>
      </c>
      <c r="H870" s="234">
        <v>20</v>
      </c>
      <c r="I870" s="235">
        <f t="shared" si="56"/>
        <v>240</v>
      </c>
      <c r="K870" s="274">
        <f>13*12</f>
        <v>156</v>
      </c>
      <c r="L870" s="237">
        <v>41215</v>
      </c>
      <c r="M870" s="1" t="s">
        <v>2327</v>
      </c>
      <c r="N870" s="235">
        <f t="shared" si="51"/>
        <v>240</v>
      </c>
      <c r="O870" s="235">
        <f t="shared" si="55"/>
        <v>0</v>
      </c>
      <c r="P870" s="238" t="s">
        <v>4886</v>
      </c>
      <c r="Q870" s="1" t="s">
        <v>2562</v>
      </c>
      <c r="R870" s="239" t="s">
        <v>3755</v>
      </c>
      <c r="S870" s="238" t="s">
        <v>3756</v>
      </c>
      <c r="T870" s="238" t="s">
        <v>3757</v>
      </c>
      <c r="U870" s="238" t="s">
        <v>3758</v>
      </c>
      <c r="V870" s="238" t="s">
        <v>2488</v>
      </c>
      <c r="AB870" s="1" t="s">
        <v>2527</v>
      </c>
    </row>
    <row r="871" spans="1:28" ht="12" customHeight="1">
      <c r="A871" s="233">
        <v>41216</v>
      </c>
      <c r="B871" s="1" t="s">
        <v>3759</v>
      </c>
      <c r="C871" s="1" t="s">
        <v>2080</v>
      </c>
      <c r="D871" s="5" t="s">
        <v>2012</v>
      </c>
      <c r="E871" s="5" t="s">
        <v>3436</v>
      </c>
      <c r="F871" s="5">
        <v>10000</v>
      </c>
      <c r="G871" s="1" t="s">
        <v>4970</v>
      </c>
      <c r="H871" s="234">
        <v>1.54</v>
      </c>
      <c r="I871" s="236">
        <f t="shared" si="56"/>
        <v>15400</v>
      </c>
      <c r="J871" s="360">
        <v>1.4</v>
      </c>
      <c r="K871" s="266">
        <f>1.4*10000</f>
        <v>14000</v>
      </c>
      <c r="L871" s="237">
        <v>41215</v>
      </c>
      <c r="M871" s="1" t="s">
        <v>2077</v>
      </c>
      <c r="N871" s="235">
        <f t="shared" si="51"/>
        <v>15400</v>
      </c>
      <c r="O871" s="235">
        <f t="shared" si="55"/>
        <v>0</v>
      </c>
      <c r="P871" s="238" t="s">
        <v>4886</v>
      </c>
      <c r="Q871" s="1" t="s">
        <v>3760</v>
      </c>
      <c r="R871" s="239" t="s">
        <v>3761</v>
      </c>
      <c r="S871" s="238" t="s">
        <v>3762</v>
      </c>
      <c r="T871" s="238" t="s">
        <v>2557</v>
      </c>
      <c r="U871" s="238" t="s">
        <v>3763</v>
      </c>
      <c r="V871" s="238" t="s">
        <v>3764</v>
      </c>
      <c r="W871" s="236" t="s">
        <v>3765</v>
      </c>
      <c r="X871" s="233">
        <v>41234</v>
      </c>
      <c r="Y871" s="238" t="s">
        <v>3766</v>
      </c>
      <c r="AB871" s="1" t="s">
        <v>2527</v>
      </c>
    </row>
    <row r="872" spans="1:28" ht="13.5" customHeight="1">
      <c r="A872" s="233">
        <v>41216</v>
      </c>
      <c r="B872" s="1" t="s">
        <v>2565</v>
      </c>
      <c r="C872" s="1" t="s">
        <v>2080</v>
      </c>
      <c r="D872" s="1" t="s">
        <v>1874</v>
      </c>
      <c r="E872" s="5" t="s">
        <v>2615</v>
      </c>
      <c r="F872" s="5">
        <v>3000</v>
      </c>
      <c r="G872" s="1" t="s">
        <v>2490</v>
      </c>
      <c r="H872" s="234">
        <v>1.8</v>
      </c>
      <c r="I872" s="235">
        <f t="shared" si="56"/>
        <v>5400</v>
      </c>
      <c r="J872" s="352">
        <v>1.54</v>
      </c>
      <c r="K872" s="266">
        <f>1.54*3000</f>
        <v>4620</v>
      </c>
      <c r="L872" s="237">
        <v>41338</v>
      </c>
      <c r="M872" s="1" t="s">
        <v>165</v>
      </c>
      <c r="N872" s="235">
        <f t="shared" si="51"/>
        <v>5400</v>
      </c>
      <c r="O872" s="235">
        <f t="shared" si="55"/>
        <v>0</v>
      </c>
      <c r="P872" s="238" t="s">
        <v>3767</v>
      </c>
      <c r="Q872" s="1" t="s">
        <v>3693</v>
      </c>
      <c r="R872" s="239" t="s">
        <v>2567</v>
      </c>
      <c r="S872" s="238" t="s">
        <v>2568</v>
      </c>
      <c r="T872" s="238" t="s">
        <v>3768</v>
      </c>
      <c r="U872" s="238" t="s">
        <v>3769</v>
      </c>
      <c r="V872" s="238" t="s">
        <v>2488</v>
      </c>
      <c r="AB872" s="1" t="s">
        <v>2527</v>
      </c>
    </row>
    <row r="873" spans="1:28" ht="11.25" customHeight="1">
      <c r="A873" s="233">
        <v>41216</v>
      </c>
      <c r="B873" s="1" t="s">
        <v>2565</v>
      </c>
      <c r="C873" s="1" t="s">
        <v>2080</v>
      </c>
      <c r="D873" s="1" t="s">
        <v>353</v>
      </c>
      <c r="E873" s="5" t="s">
        <v>3521</v>
      </c>
      <c r="F873" s="5">
        <v>100</v>
      </c>
      <c r="G873" s="1" t="s">
        <v>2086</v>
      </c>
      <c r="H873" s="234">
        <v>20.75</v>
      </c>
      <c r="I873" s="235">
        <f t="shared" si="56"/>
        <v>2075</v>
      </c>
      <c r="K873" s="266">
        <f>16.5*100</f>
        <v>1650</v>
      </c>
      <c r="L873" s="237">
        <v>41292</v>
      </c>
      <c r="M873" s="1" t="s">
        <v>2327</v>
      </c>
      <c r="N873" s="235">
        <f t="shared" si="51"/>
        <v>2075</v>
      </c>
      <c r="O873" s="235">
        <f t="shared" si="55"/>
        <v>0</v>
      </c>
      <c r="P873" s="238" t="s">
        <v>3767</v>
      </c>
      <c r="Q873" s="1" t="s">
        <v>3693</v>
      </c>
      <c r="R873" s="239" t="s">
        <v>2567</v>
      </c>
      <c r="S873" s="238" t="s">
        <v>2568</v>
      </c>
      <c r="T873" s="238" t="s">
        <v>3768</v>
      </c>
      <c r="U873" s="238" t="s">
        <v>3769</v>
      </c>
      <c r="V873" s="238" t="s">
        <v>2488</v>
      </c>
      <c r="AB873" s="1" t="s">
        <v>2527</v>
      </c>
    </row>
    <row r="874" spans="1:28" ht="12" customHeight="1">
      <c r="A874" s="233">
        <v>41216</v>
      </c>
      <c r="B874" s="1" t="s">
        <v>2565</v>
      </c>
      <c r="C874" s="1" t="s">
        <v>2080</v>
      </c>
      <c r="D874" s="1" t="s">
        <v>1874</v>
      </c>
      <c r="E874" s="5" t="s">
        <v>3522</v>
      </c>
      <c r="F874" s="5">
        <v>200</v>
      </c>
      <c r="G874" s="1" t="s">
        <v>231</v>
      </c>
      <c r="H874" s="234">
        <v>5.2</v>
      </c>
      <c r="I874" s="235">
        <f t="shared" si="56"/>
        <v>1040</v>
      </c>
      <c r="K874" s="266">
        <f>4.78*160</f>
        <v>764.80000000000007</v>
      </c>
      <c r="L874" s="237">
        <v>41292</v>
      </c>
      <c r="M874" s="1" t="s">
        <v>2327</v>
      </c>
      <c r="N874" s="235">
        <f t="shared" si="51"/>
        <v>1040</v>
      </c>
      <c r="O874" s="235">
        <f t="shared" si="55"/>
        <v>0</v>
      </c>
      <c r="P874" s="238" t="s">
        <v>3767</v>
      </c>
      <c r="Q874" s="1" t="s">
        <v>3693</v>
      </c>
      <c r="R874" s="239" t="s">
        <v>2567</v>
      </c>
      <c r="S874" s="238" t="s">
        <v>2568</v>
      </c>
      <c r="T874" s="238" t="s">
        <v>3768</v>
      </c>
      <c r="U874" s="238" t="s">
        <v>3769</v>
      </c>
      <c r="V874" s="238" t="s">
        <v>2488</v>
      </c>
      <c r="AB874" s="1" t="s">
        <v>2527</v>
      </c>
    </row>
    <row r="875" spans="1:28" ht="12" customHeight="1">
      <c r="A875" s="233">
        <v>41219</v>
      </c>
      <c r="B875" s="1" t="s">
        <v>3770</v>
      </c>
      <c r="C875" s="1" t="s">
        <v>2080</v>
      </c>
      <c r="D875" s="225" t="s">
        <v>1919</v>
      </c>
      <c r="E875" s="5">
        <v>8577</v>
      </c>
      <c r="F875" s="5">
        <v>80</v>
      </c>
      <c r="G875" s="1" t="s">
        <v>2490</v>
      </c>
      <c r="H875" s="234">
        <v>29.45</v>
      </c>
      <c r="I875" s="235">
        <f t="shared" ref="I875:I907" si="57">F875*H875</f>
        <v>2356</v>
      </c>
      <c r="K875" s="266">
        <f>28*30+25.86*38+28.65*12</f>
        <v>2166.4799999999996</v>
      </c>
      <c r="L875" s="237">
        <v>41212</v>
      </c>
      <c r="M875" s="1" t="s">
        <v>2077</v>
      </c>
      <c r="N875" s="235">
        <f t="shared" si="51"/>
        <v>2356</v>
      </c>
      <c r="O875" s="235">
        <f t="shared" si="55"/>
        <v>0</v>
      </c>
      <c r="P875" s="238" t="s">
        <v>3771</v>
      </c>
      <c r="Q875" s="1" t="s">
        <v>2212</v>
      </c>
      <c r="R875" s="239" t="s">
        <v>3772</v>
      </c>
      <c r="S875" s="238" t="s">
        <v>3773</v>
      </c>
      <c r="T875" s="238" t="s">
        <v>2082</v>
      </c>
      <c r="U875" s="238" t="s">
        <v>2082</v>
      </c>
      <c r="V875" s="238" t="s">
        <v>3774</v>
      </c>
      <c r="W875" s="236">
        <v>8445.1</v>
      </c>
      <c r="X875" s="233">
        <v>41219</v>
      </c>
      <c r="Y875" s="238" t="s">
        <v>2212</v>
      </c>
      <c r="AB875" s="1" t="s">
        <v>2527</v>
      </c>
    </row>
    <row r="876" spans="1:28" ht="11.25" customHeight="1">
      <c r="A876" s="233">
        <v>41219</v>
      </c>
      <c r="B876" s="1" t="s">
        <v>3770</v>
      </c>
      <c r="C876" s="1" t="s">
        <v>2080</v>
      </c>
      <c r="D876" s="225" t="s">
        <v>1920</v>
      </c>
      <c r="E876" s="5" t="s">
        <v>3775</v>
      </c>
      <c r="F876" s="5">
        <v>3</v>
      </c>
      <c r="G876" s="1" t="s">
        <v>3776</v>
      </c>
      <c r="H876" s="234">
        <v>557.70000000000005</v>
      </c>
      <c r="I876" s="235">
        <f t="shared" si="57"/>
        <v>1673.1000000000001</v>
      </c>
      <c r="K876" s="266">
        <f>361.3*3</f>
        <v>1083.9000000000001</v>
      </c>
      <c r="L876" s="237">
        <v>41212</v>
      </c>
      <c r="M876" s="1" t="s">
        <v>2077</v>
      </c>
      <c r="N876" s="235">
        <f t="shared" si="51"/>
        <v>1673.1000000000001</v>
      </c>
      <c r="O876" s="235">
        <f t="shared" si="55"/>
        <v>0</v>
      </c>
      <c r="P876" s="238" t="s">
        <v>3771</v>
      </c>
      <c r="Q876" s="1" t="s">
        <v>2212</v>
      </c>
      <c r="R876" s="239" t="s">
        <v>3772</v>
      </c>
      <c r="S876" s="238" t="s">
        <v>3773</v>
      </c>
      <c r="T876" s="238" t="s">
        <v>2082</v>
      </c>
      <c r="U876" s="238" t="s">
        <v>2082</v>
      </c>
      <c r="V876" s="238" t="s">
        <v>3774</v>
      </c>
      <c r="W876" s="236">
        <v>8445.1</v>
      </c>
      <c r="X876" s="233">
        <v>41219</v>
      </c>
      <c r="Y876" s="238" t="s">
        <v>2212</v>
      </c>
      <c r="AB876" s="1" t="s">
        <v>2527</v>
      </c>
    </row>
    <row r="877" spans="1:28" ht="11.25" customHeight="1">
      <c r="A877" s="233">
        <v>41219</v>
      </c>
      <c r="B877" s="1" t="s">
        <v>3770</v>
      </c>
      <c r="C877" s="1" t="s">
        <v>2080</v>
      </c>
      <c r="D877" s="1" t="s">
        <v>1899</v>
      </c>
      <c r="E877" s="5">
        <v>3100</v>
      </c>
      <c r="F877" s="5">
        <v>20</v>
      </c>
      <c r="G877" s="1" t="s">
        <v>2086</v>
      </c>
      <c r="H877" s="234">
        <v>35</v>
      </c>
      <c r="I877" s="235">
        <f t="shared" si="57"/>
        <v>700</v>
      </c>
      <c r="K877" s="266">
        <f>30.2*20</f>
        <v>604</v>
      </c>
      <c r="L877" s="237">
        <v>41219</v>
      </c>
      <c r="M877" s="1" t="s">
        <v>2077</v>
      </c>
      <c r="N877" s="235">
        <f t="shared" si="51"/>
        <v>700</v>
      </c>
      <c r="O877" s="235">
        <f t="shared" si="55"/>
        <v>0</v>
      </c>
      <c r="P877" s="238" t="s">
        <v>3771</v>
      </c>
      <c r="Q877" s="1" t="s">
        <v>2212</v>
      </c>
      <c r="R877" s="239" t="s">
        <v>3772</v>
      </c>
      <c r="S877" s="238" t="s">
        <v>3773</v>
      </c>
      <c r="T877" s="238" t="s">
        <v>2082</v>
      </c>
      <c r="U877" s="238" t="s">
        <v>2082</v>
      </c>
      <c r="V877" s="238" t="s">
        <v>3774</v>
      </c>
      <c r="W877" s="236">
        <v>8445.1</v>
      </c>
      <c r="X877" s="233">
        <v>41219</v>
      </c>
      <c r="Y877" s="238" t="s">
        <v>2212</v>
      </c>
      <c r="AB877" s="1" t="s">
        <v>2527</v>
      </c>
    </row>
    <row r="878" spans="1:28" ht="11.25" customHeight="1">
      <c r="A878" s="233">
        <v>41219</v>
      </c>
      <c r="B878" s="1" t="s">
        <v>3770</v>
      </c>
      <c r="C878" s="1" t="s">
        <v>2080</v>
      </c>
      <c r="D878" s="1" t="s">
        <v>346</v>
      </c>
      <c r="E878" s="5">
        <v>3700</v>
      </c>
      <c r="F878" s="5">
        <v>100</v>
      </c>
      <c r="G878" s="1" t="s">
        <v>2086</v>
      </c>
      <c r="H878" s="234">
        <v>3.48</v>
      </c>
      <c r="I878" s="235">
        <f t="shared" si="57"/>
        <v>348</v>
      </c>
      <c r="J878" s="352">
        <v>3.09</v>
      </c>
      <c r="K878" s="266">
        <f>3.09*100</f>
        <v>309</v>
      </c>
      <c r="L878" s="237">
        <v>41219</v>
      </c>
      <c r="M878" s="1" t="s">
        <v>2077</v>
      </c>
      <c r="N878" s="235">
        <f t="shared" si="51"/>
        <v>348</v>
      </c>
      <c r="O878" s="235">
        <f t="shared" si="55"/>
        <v>0</v>
      </c>
      <c r="P878" s="238" t="s">
        <v>3771</v>
      </c>
      <c r="Q878" s="1" t="s">
        <v>2212</v>
      </c>
      <c r="R878" s="239" t="s">
        <v>3772</v>
      </c>
      <c r="S878" s="238" t="s">
        <v>3773</v>
      </c>
      <c r="T878" s="238" t="s">
        <v>2082</v>
      </c>
      <c r="U878" s="238" t="s">
        <v>2082</v>
      </c>
      <c r="V878" s="238" t="s">
        <v>3774</v>
      </c>
      <c r="W878" s="236">
        <v>8445.1</v>
      </c>
      <c r="X878" s="233">
        <v>41219</v>
      </c>
      <c r="Y878" s="238" t="s">
        <v>2212</v>
      </c>
      <c r="AB878" s="1" t="s">
        <v>2527</v>
      </c>
    </row>
    <row r="879" spans="1:28" ht="12" customHeight="1">
      <c r="A879" s="233">
        <v>41219</v>
      </c>
      <c r="B879" s="1" t="s">
        <v>3770</v>
      </c>
      <c r="C879" s="1" t="s">
        <v>2080</v>
      </c>
      <c r="D879" s="5" t="s">
        <v>1221</v>
      </c>
      <c r="E879" s="1" t="s">
        <v>2625</v>
      </c>
      <c r="F879" s="5">
        <v>60</v>
      </c>
      <c r="G879" s="1" t="s">
        <v>2086</v>
      </c>
      <c r="H879" s="234">
        <v>38</v>
      </c>
      <c r="I879" s="235">
        <f t="shared" si="57"/>
        <v>2280</v>
      </c>
      <c r="K879" s="266">
        <f>34.8*60</f>
        <v>2088</v>
      </c>
      <c r="L879" s="237">
        <v>41219</v>
      </c>
      <c r="M879" s="1" t="s">
        <v>2077</v>
      </c>
      <c r="N879" s="235">
        <f t="shared" si="51"/>
        <v>2280</v>
      </c>
      <c r="O879" s="235">
        <f t="shared" si="55"/>
        <v>0</v>
      </c>
      <c r="P879" s="238" t="s">
        <v>3771</v>
      </c>
      <c r="Q879" s="1" t="s">
        <v>2212</v>
      </c>
      <c r="R879" s="239" t="s">
        <v>3772</v>
      </c>
      <c r="S879" s="238" t="s">
        <v>3773</v>
      </c>
      <c r="T879" s="238" t="s">
        <v>2082</v>
      </c>
      <c r="U879" s="238" t="s">
        <v>2082</v>
      </c>
      <c r="V879" s="238" t="s">
        <v>3774</v>
      </c>
      <c r="W879" s="236">
        <v>8445.1</v>
      </c>
      <c r="X879" s="233">
        <v>41219</v>
      </c>
      <c r="Y879" s="238" t="s">
        <v>2212</v>
      </c>
      <c r="AB879" s="1" t="s">
        <v>2527</v>
      </c>
    </row>
    <row r="880" spans="1:28" ht="11.25" customHeight="1">
      <c r="A880" s="233">
        <v>41219</v>
      </c>
      <c r="B880" s="1" t="s">
        <v>3770</v>
      </c>
      <c r="C880" s="1" t="s">
        <v>2080</v>
      </c>
      <c r="D880" s="1" t="s">
        <v>3777</v>
      </c>
      <c r="E880" s="5" t="s">
        <v>3500</v>
      </c>
      <c r="F880" s="5">
        <v>200</v>
      </c>
      <c r="G880" s="1" t="s">
        <v>2490</v>
      </c>
      <c r="H880" s="234">
        <v>5.44</v>
      </c>
      <c r="I880" s="235">
        <f t="shared" si="57"/>
        <v>1088</v>
      </c>
      <c r="K880" s="266">
        <f>164*4.9+36*5.77</f>
        <v>1011.3199999999999</v>
      </c>
      <c r="L880" s="237">
        <v>41219</v>
      </c>
      <c r="M880" s="1" t="s">
        <v>2077</v>
      </c>
      <c r="N880" s="235">
        <f t="shared" si="51"/>
        <v>1088</v>
      </c>
      <c r="O880" s="235">
        <f t="shared" si="55"/>
        <v>0</v>
      </c>
      <c r="P880" s="238" t="s">
        <v>3771</v>
      </c>
      <c r="Q880" s="1" t="s">
        <v>2212</v>
      </c>
      <c r="R880" s="239" t="s">
        <v>3772</v>
      </c>
      <c r="S880" s="238" t="s">
        <v>3773</v>
      </c>
      <c r="T880" s="238" t="s">
        <v>2082</v>
      </c>
      <c r="U880" s="238" t="s">
        <v>2082</v>
      </c>
      <c r="V880" s="238" t="s">
        <v>3774</v>
      </c>
      <c r="W880" s="236">
        <v>8445.1</v>
      </c>
      <c r="X880" s="233">
        <v>41219</v>
      </c>
      <c r="Y880" s="238" t="s">
        <v>2212</v>
      </c>
      <c r="AB880" s="1" t="s">
        <v>2527</v>
      </c>
    </row>
    <row r="881" spans="1:28" ht="11.25" customHeight="1">
      <c r="A881" s="233">
        <v>41219</v>
      </c>
      <c r="B881" s="1" t="s">
        <v>3135</v>
      </c>
      <c r="C881" s="277" t="s">
        <v>678</v>
      </c>
      <c r="D881" s="1" t="s">
        <v>353</v>
      </c>
      <c r="E881" s="5" t="s">
        <v>3521</v>
      </c>
      <c r="F881" s="5">
        <v>60</v>
      </c>
      <c r="G881" s="1" t="s">
        <v>2086</v>
      </c>
      <c r="H881" s="234">
        <v>25</v>
      </c>
      <c r="I881" s="235">
        <f t="shared" si="57"/>
        <v>1500</v>
      </c>
      <c r="K881" s="266">
        <f>16.5*60</f>
        <v>990</v>
      </c>
      <c r="L881" s="237">
        <v>41219</v>
      </c>
      <c r="M881" s="1" t="s">
        <v>2390</v>
      </c>
      <c r="N881" s="235">
        <f t="shared" si="51"/>
        <v>1500</v>
      </c>
      <c r="O881" s="235">
        <f t="shared" si="55"/>
        <v>0</v>
      </c>
      <c r="P881" s="238" t="s">
        <v>3778</v>
      </c>
      <c r="Q881" s="1" t="s">
        <v>2212</v>
      </c>
      <c r="R881" s="239" t="s">
        <v>3779</v>
      </c>
      <c r="S881" s="238" t="s">
        <v>3780</v>
      </c>
      <c r="T881" s="238" t="s">
        <v>3133</v>
      </c>
      <c r="U881" s="238" t="s">
        <v>2082</v>
      </c>
      <c r="V881" s="238" t="s">
        <v>3781</v>
      </c>
      <c r="W881" s="236">
        <v>2520</v>
      </c>
      <c r="X881" s="233">
        <v>41219</v>
      </c>
      <c r="Y881" s="238" t="s">
        <v>2212</v>
      </c>
      <c r="AB881" s="1" t="s">
        <v>2079</v>
      </c>
    </row>
    <row r="882" spans="1:28" ht="12" customHeight="1">
      <c r="A882" s="233">
        <v>41219</v>
      </c>
      <c r="B882" s="1" t="s">
        <v>3135</v>
      </c>
      <c r="C882" s="277" t="s">
        <v>678</v>
      </c>
      <c r="D882" s="1" t="s">
        <v>1874</v>
      </c>
      <c r="E882" s="5" t="s">
        <v>3522</v>
      </c>
      <c r="F882" s="5">
        <v>120</v>
      </c>
      <c r="G882" s="1" t="s">
        <v>231</v>
      </c>
      <c r="H882" s="234">
        <v>8.5</v>
      </c>
      <c r="I882" s="235">
        <f t="shared" si="57"/>
        <v>1020</v>
      </c>
      <c r="K882" s="266">
        <f>120*5.3</f>
        <v>636</v>
      </c>
      <c r="L882" s="237">
        <v>41219</v>
      </c>
      <c r="M882" s="1" t="s">
        <v>2390</v>
      </c>
      <c r="N882" s="235">
        <f t="shared" si="51"/>
        <v>1020</v>
      </c>
      <c r="O882" s="235">
        <f t="shared" si="55"/>
        <v>0</v>
      </c>
      <c r="P882" s="238" t="s">
        <v>3778</v>
      </c>
      <c r="Q882" s="1" t="s">
        <v>2212</v>
      </c>
      <c r="R882" s="239" t="s">
        <v>3779</v>
      </c>
      <c r="S882" s="238" t="s">
        <v>3780</v>
      </c>
      <c r="T882" s="238" t="s">
        <v>3133</v>
      </c>
      <c r="U882" s="238" t="s">
        <v>2082</v>
      </c>
      <c r="V882" s="238" t="s">
        <v>3781</v>
      </c>
      <c r="W882" s="236">
        <v>2520</v>
      </c>
      <c r="X882" s="233">
        <v>41219</v>
      </c>
      <c r="Y882" s="238" t="s">
        <v>2212</v>
      </c>
      <c r="AB882" s="1" t="s">
        <v>2079</v>
      </c>
    </row>
    <row r="883" spans="1:28" ht="11.25" customHeight="1">
      <c r="A883" s="233">
        <v>41219</v>
      </c>
      <c r="B883" s="1" t="s">
        <v>2555</v>
      </c>
      <c r="C883" s="1" t="s">
        <v>2080</v>
      </c>
      <c r="D883" s="225" t="s">
        <v>1905</v>
      </c>
      <c r="E883" s="5" t="s">
        <v>3619</v>
      </c>
      <c r="F883" s="5">
        <v>2</v>
      </c>
      <c r="G883" s="1" t="s">
        <v>2086</v>
      </c>
      <c r="H883" s="234">
        <v>307.22000000000003</v>
      </c>
      <c r="I883" s="236">
        <f t="shared" si="57"/>
        <v>614.44000000000005</v>
      </c>
      <c r="K883" s="266">
        <f>295*2</f>
        <v>590</v>
      </c>
      <c r="L883" s="245">
        <v>41248</v>
      </c>
      <c r="M883" s="5" t="s">
        <v>2077</v>
      </c>
      <c r="N883" s="235">
        <f t="shared" si="51"/>
        <v>614.44000000000005</v>
      </c>
      <c r="O883" s="235">
        <f t="shared" si="55"/>
        <v>0</v>
      </c>
      <c r="P883" s="238" t="s">
        <v>2082</v>
      </c>
      <c r="Q883" s="1" t="s">
        <v>2082</v>
      </c>
      <c r="R883" s="239" t="s">
        <v>2082</v>
      </c>
      <c r="S883" s="238" t="s">
        <v>2082</v>
      </c>
      <c r="T883" s="238" t="s">
        <v>2082</v>
      </c>
      <c r="U883" s="238" t="s">
        <v>2082</v>
      </c>
      <c r="V883" s="238" t="s">
        <v>3731</v>
      </c>
      <c r="W883" s="236" t="s">
        <v>3732</v>
      </c>
      <c r="X883" s="233">
        <v>41239</v>
      </c>
      <c r="Y883" s="238" t="s">
        <v>3733</v>
      </c>
      <c r="AB883" s="1" t="s">
        <v>2527</v>
      </c>
    </row>
    <row r="884" spans="1:28" ht="12" customHeight="1">
      <c r="A884" s="233">
        <v>41219</v>
      </c>
      <c r="B884" s="1" t="s">
        <v>464</v>
      </c>
      <c r="C884" s="5" t="s">
        <v>2080</v>
      </c>
      <c r="D884" s="1" t="s">
        <v>1910</v>
      </c>
      <c r="E884" s="5" t="s">
        <v>3490</v>
      </c>
      <c r="F884" s="5">
        <v>100</v>
      </c>
      <c r="G884" s="1" t="s">
        <v>2086</v>
      </c>
      <c r="H884" s="234">
        <v>2.0099999999999998</v>
      </c>
      <c r="I884" s="235">
        <f t="shared" si="57"/>
        <v>200.99999999999997</v>
      </c>
      <c r="K884" s="266">
        <f>1.6*100</f>
        <v>160</v>
      </c>
      <c r="N884" s="235">
        <v>0</v>
      </c>
      <c r="O884" s="235">
        <f>I884-N884</f>
        <v>200.99999999999997</v>
      </c>
      <c r="P884" s="238" t="s">
        <v>4886</v>
      </c>
      <c r="Q884" s="1" t="s">
        <v>3782</v>
      </c>
      <c r="R884" s="239" t="s">
        <v>2618</v>
      </c>
      <c r="S884" s="238" t="s">
        <v>2619</v>
      </c>
      <c r="T884" s="238" t="s">
        <v>3685</v>
      </c>
      <c r="U884" s="238" t="s">
        <v>3783</v>
      </c>
      <c r="AB884" s="1" t="s">
        <v>2527</v>
      </c>
    </row>
    <row r="885" spans="1:28" ht="11.25" customHeight="1">
      <c r="A885" s="233">
        <v>41220</v>
      </c>
      <c r="B885" s="1" t="s">
        <v>3784</v>
      </c>
      <c r="C885" s="5" t="s">
        <v>2080</v>
      </c>
      <c r="D885" s="5" t="s">
        <v>86</v>
      </c>
      <c r="E885" s="1">
        <v>9032</v>
      </c>
      <c r="F885" s="5">
        <v>300</v>
      </c>
      <c r="G885" s="1" t="s">
        <v>2086</v>
      </c>
      <c r="H885" s="234">
        <v>1.9</v>
      </c>
      <c r="I885" s="235">
        <f t="shared" si="57"/>
        <v>570</v>
      </c>
      <c r="K885" s="266">
        <f>1.4929*300</f>
        <v>447.86999999999995</v>
      </c>
      <c r="L885" s="237">
        <v>41219</v>
      </c>
      <c r="M885" s="1" t="s">
        <v>2077</v>
      </c>
      <c r="N885" s="235">
        <f t="shared" si="51"/>
        <v>570</v>
      </c>
      <c r="O885" s="235">
        <f t="shared" ref="O885:O917" si="58">I885-N885</f>
        <v>0</v>
      </c>
      <c r="P885" s="238" t="s">
        <v>3785</v>
      </c>
      <c r="Q885" s="1" t="s">
        <v>3600</v>
      </c>
      <c r="R885" s="239" t="s">
        <v>3786</v>
      </c>
      <c r="S885" s="238" t="s">
        <v>3787</v>
      </c>
      <c r="T885" s="238" t="s">
        <v>3788</v>
      </c>
      <c r="U885" s="238" t="s">
        <v>3789</v>
      </c>
      <c r="AB885" s="1" t="s">
        <v>2527</v>
      </c>
    </row>
    <row r="886" spans="1:28" ht="11.25" customHeight="1">
      <c r="A886" s="233">
        <v>41220</v>
      </c>
      <c r="B886" s="1" t="s">
        <v>3467</v>
      </c>
      <c r="C886" s="5" t="s">
        <v>3790</v>
      </c>
      <c r="D886" s="1" t="s">
        <v>2018</v>
      </c>
      <c r="E886" s="1" t="s">
        <v>2597</v>
      </c>
      <c r="F886" s="5">
        <v>500</v>
      </c>
      <c r="G886" s="1" t="s">
        <v>2086</v>
      </c>
      <c r="H886" s="234">
        <v>2.5</v>
      </c>
      <c r="I886" s="236">
        <f t="shared" si="57"/>
        <v>1250</v>
      </c>
      <c r="K886" s="266">
        <f>1.65*500</f>
        <v>825</v>
      </c>
      <c r="L886" s="237">
        <v>41305</v>
      </c>
      <c r="M886" s="1" t="s">
        <v>166</v>
      </c>
      <c r="N886" s="235">
        <f t="shared" si="51"/>
        <v>1250</v>
      </c>
      <c r="O886" s="235">
        <f t="shared" si="58"/>
        <v>0</v>
      </c>
      <c r="P886" s="238" t="s">
        <v>3791</v>
      </c>
      <c r="Q886" s="1" t="s">
        <v>2212</v>
      </c>
      <c r="R886" s="239" t="s">
        <v>1389</v>
      </c>
      <c r="S886" s="238" t="s">
        <v>602</v>
      </c>
      <c r="T886" s="238" t="s">
        <v>2256</v>
      </c>
      <c r="U886" s="238" t="s">
        <v>2257</v>
      </c>
      <c r="V886" s="238" t="s">
        <v>3792</v>
      </c>
      <c r="W886" s="236">
        <v>2987.5</v>
      </c>
      <c r="X886" s="233">
        <v>41247</v>
      </c>
      <c r="Y886" s="238" t="s">
        <v>2257</v>
      </c>
      <c r="AB886" s="1" t="s">
        <v>3793</v>
      </c>
    </row>
    <row r="887" spans="1:28" ht="11.25" customHeight="1">
      <c r="A887" s="233">
        <v>41220</v>
      </c>
      <c r="B887" s="1" t="s">
        <v>2260</v>
      </c>
      <c r="C887" s="5" t="s">
        <v>3794</v>
      </c>
      <c r="D887" s="5" t="s">
        <v>3795</v>
      </c>
      <c r="E887" s="1">
        <v>4620</v>
      </c>
      <c r="F887" s="5">
        <v>9</v>
      </c>
      <c r="G887" s="1" t="s">
        <v>3796</v>
      </c>
      <c r="H887" s="234">
        <v>22.5</v>
      </c>
      <c r="I887" s="236">
        <f t="shared" si="57"/>
        <v>202.5</v>
      </c>
      <c r="K887" s="266">
        <f>17.79*9</f>
        <v>160.10999999999999</v>
      </c>
      <c r="L887" s="237">
        <v>41305</v>
      </c>
      <c r="M887" s="1" t="s">
        <v>166</v>
      </c>
      <c r="N887" s="235">
        <f t="shared" si="51"/>
        <v>202.5</v>
      </c>
      <c r="O887" s="235">
        <f t="shared" si="58"/>
        <v>0</v>
      </c>
      <c r="P887" s="238" t="s">
        <v>3797</v>
      </c>
      <c r="Q887" s="1" t="s">
        <v>3798</v>
      </c>
      <c r="R887" s="239" t="s">
        <v>1389</v>
      </c>
      <c r="S887" s="238" t="s">
        <v>602</v>
      </c>
      <c r="T887" s="238" t="s">
        <v>2256</v>
      </c>
      <c r="U887" s="238" t="s">
        <v>2257</v>
      </c>
      <c r="V887" s="238" t="s">
        <v>3792</v>
      </c>
      <c r="W887" s="236">
        <v>2987.5</v>
      </c>
      <c r="X887" s="233">
        <v>41247</v>
      </c>
      <c r="Y887" s="238" t="s">
        <v>2257</v>
      </c>
      <c r="AB887" s="1" t="s">
        <v>3793</v>
      </c>
    </row>
    <row r="888" spans="1:28" ht="11.25" customHeight="1">
      <c r="A888" s="233">
        <v>41220</v>
      </c>
      <c r="B888" s="1" t="s">
        <v>2260</v>
      </c>
      <c r="C888" s="5" t="s">
        <v>3794</v>
      </c>
      <c r="D888" s="1" t="s">
        <v>3799</v>
      </c>
      <c r="E888" s="1">
        <v>11329</v>
      </c>
      <c r="F888" s="5">
        <v>5</v>
      </c>
      <c r="G888" s="1" t="s">
        <v>3800</v>
      </c>
      <c r="H888" s="234">
        <v>19</v>
      </c>
      <c r="I888" s="236">
        <f t="shared" si="57"/>
        <v>95</v>
      </c>
      <c r="K888" s="266">
        <f>13*5</f>
        <v>65</v>
      </c>
      <c r="L888" s="237">
        <v>41305</v>
      </c>
      <c r="M888" s="1" t="s">
        <v>166</v>
      </c>
      <c r="N888" s="235">
        <f t="shared" si="51"/>
        <v>95</v>
      </c>
      <c r="O888" s="235">
        <f t="shared" si="58"/>
        <v>0</v>
      </c>
      <c r="P888" s="238" t="s">
        <v>3797</v>
      </c>
      <c r="Q888" s="1" t="s">
        <v>3798</v>
      </c>
      <c r="R888" s="239" t="s">
        <v>1389</v>
      </c>
      <c r="S888" s="238" t="s">
        <v>602</v>
      </c>
      <c r="T888" s="238" t="s">
        <v>2256</v>
      </c>
      <c r="U888" s="238" t="s">
        <v>2257</v>
      </c>
      <c r="V888" s="238" t="s">
        <v>3792</v>
      </c>
      <c r="W888" s="236">
        <v>2987.5</v>
      </c>
      <c r="X888" s="233">
        <v>41247</v>
      </c>
      <c r="Y888" s="238" t="s">
        <v>2257</v>
      </c>
      <c r="AB888" s="1" t="s">
        <v>3793</v>
      </c>
    </row>
    <row r="889" spans="1:28" ht="12" customHeight="1">
      <c r="A889" s="233">
        <v>41220</v>
      </c>
      <c r="B889" s="1" t="s">
        <v>2260</v>
      </c>
      <c r="C889" s="5" t="s">
        <v>3794</v>
      </c>
      <c r="D889" s="5" t="s">
        <v>232</v>
      </c>
      <c r="E889" s="1" t="s">
        <v>2270</v>
      </c>
      <c r="F889" s="5">
        <v>25</v>
      </c>
      <c r="G889" s="1" t="s">
        <v>231</v>
      </c>
      <c r="H889" s="234">
        <v>2.8</v>
      </c>
      <c r="I889" s="236">
        <f t="shared" si="57"/>
        <v>70</v>
      </c>
      <c r="J889" s="352">
        <v>1.54</v>
      </c>
      <c r="K889" s="266">
        <f>1.7*25</f>
        <v>42.5</v>
      </c>
      <c r="L889" s="237">
        <v>41305</v>
      </c>
      <c r="M889" s="1" t="s">
        <v>166</v>
      </c>
      <c r="N889" s="235">
        <f t="shared" si="51"/>
        <v>70</v>
      </c>
      <c r="O889" s="235">
        <f t="shared" si="58"/>
        <v>0</v>
      </c>
      <c r="P889" s="238" t="s">
        <v>3797</v>
      </c>
      <c r="Q889" s="1" t="s">
        <v>3798</v>
      </c>
      <c r="R889" s="239" t="s">
        <v>1389</v>
      </c>
      <c r="S889" s="238" t="s">
        <v>602</v>
      </c>
      <c r="T889" s="238" t="s">
        <v>2256</v>
      </c>
      <c r="U889" s="238" t="s">
        <v>2257</v>
      </c>
      <c r="V889" s="238" t="s">
        <v>3792</v>
      </c>
      <c r="W889" s="236">
        <v>2987.5</v>
      </c>
      <c r="X889" s="233">
        <v>41247</v>
      </c>
      <c r="Y889" s="238" t="s">
        <v>2257</v>
      </c>
      <c r="AB889" s="1" t="s">
        <v>3793</v>
      </c>
    </row>
    <row r="890" spans="1:28" ht="11.25" customHeight="1">
      <c r="A890" s="233">
        <v>41220</v>
      </c>
      <c r="B890" s="1" t="s">
        <v>3801</v>
      </c>
      <c r="C890" s="5" t="s">
        <v>2240</v>
      </c>
      <c r="D890" s="5" t="s">
        <v>2012</v>
      </c>
      <c r="E890" s="1" t="s">
        <v>2262</v>
      </c>
      <c r="F890" s="5">
        <v>10000</v>
      </c>
      <c r="G890" s="1" t="s">
        <v>4970</v>
      </c>
      <c r="H890" s="234">
        <v>1.48</v>
      </c>
      <c r="I890" s="235">
        <f>F890*H890</f>
        <v>14800</v>
      </c>
      <c r="J890" s="360">
        <v>1.4</v>
      </c>
      <c r="K890" s="266">
        <f>1.4*10000</f>
        <v>14000</v>
      </c>
      <c r="L890" s="237">
        <v>41220</v>
      </c>
      <c r="M890" s="5" t="s">
        <v>2243</v>
      </c>
      <c r="N890" s="235">
        <f t="shared" si="51"/>
        <v>14800</v>
      </c>
      <c r="O890" s="235">
        <f t="shared" si="58"/>
        <v>0</v>
      </c>
      <c r="P890" s="238" t="s">
        <v>3803</v>
      </c>
      <c r="Q890" s="1" t="s">
        <v>3798</v>
      </c>
      <c r="R890" s="239" t="s">
        <v>3804</v>
      </c>
      <c r="S890" s="238" t="s">
        <v>3805</v>
      </c>
      <c r="T890" s="238" t="s">
        <v>2257</v>
      </c>
      <c r="U890" s="238" t="s">
        <v>2257</v>
      </c>
      <c r="V890" s="238" t="s">
        <v>3806</v>
      </c>
      <c r="W890" s="236" t="s">
        <v>3807</v>
      </c>
      <c r="X890" s="233">
        <v>41229</v>
      </c>
      <c r="Y890" s="238" t="s">
        <v>3808</v>
      </c>
      <c r="AB890" s="1" t="s">
        <v>3809</v>
      </c>
    </row>
    <row r="891" spans="1:28" ht="12" customHeight="1">
      <c r="A891" s="233">
        <v>41220</v>
      </c>
      <c r="B891" s="1" t="s">
        <v>3810</v>
      </c>
      <c r="C891" s="5" t="s">
        <v>3794</v>
      </c>
      <c r="D891" s="5" t="s">
        <v>983</v>
      </c>
      <c r="E891" s="1">
        <v>6800</v>
      </c>
      <c r="F891" s="5">
        <v>1</v>
      </c>
      <c r="G891" s="1" t="s">
        <v>3811</v>
      </c>
      <c r="H891" s="234">
        <v>450</v>
      </c>
      <c r="I891" s="235">
        <f>F891*H891</f>
        <v>450</v>
      </c>
      <c r="K891" s="266">
        <f>418*1</f>
        <v>418</v>
      </c>
      <c r="L891" s="237">
        <v>41292</v>
      </c>
      <c r="M891" s="1" t="s">
        <v>3812</v>
      </c>
      <c r="N891" s="235">
        <f t="shared" si="51"/>
        <v>450</v>
      </c>
      <c r="O891" s="235">
        <f t="shared" si="58"/>
        <v>0</v>
      </c>
      <c r="P891" s="238" t="s">
        <v>3813</v>
      </c>
      <c r="Q891" s="1" t="s">
        <v>3814</v>
      </c>
      <c r="R891" s="239" t="s">
        <v>3815</v>
      </c>
      <c r="S891" s="238" t="s">
        <v>3816</v>
      </c>
      <c r="T891" s="238" t="s">
        <v>3817</v>
      </c>
      <c r="U891" s="238" t="s">
        <v>3818</v>
      </c>
      <c r="V891" s="238" t="s">
        <v>2266</v>
      </c>
      <c r="AB891" s="1" t="s">
        <v>3809</v>
      </c>
    </row>
    <row r="892" spans="1:28" ht="11.25" customHeight="1">
      <c r="A892" s="233">
        <v>41220</v>
      </c>
      <c r="B892" s="1" t="s">
        <v>3810</v>
      </c>
      <c r="C892" s="5" t="s">
        <v>3794</v>
      </c>
      <c r="D892" s="5" t="s">
        <v>3819</v>
      </c>
      <c r="E892" s="1" t="s">
        <v>3820</v>
      </c>
      <c r="F892" s="5">
        <v>2</v>
      </c>
      <c r="G892" s="1" t="s">
        <v>3821</v>
      </c>
      <c r="H892" s="234">
        <v>378</v>
      </c>
      <c r="I892" s="235">
        <f>F892*H892</f>
        <v>756</v>
      </c>
      <c r="K892" s="266">
        <f>210*2</f>
        <v>420</v>
      </c>
      <c r="L892" s="237">
        <v>41309</v>
      </c>
      <c r="M892" s="1" t="s">
        <v>165</v>
      </c>
      <c r="N892" s="235">
        <f t="shared" si="51"/>
        <v>756</v>
      </c>
      <c r="O892" s="235">
        <f t="shared" si="58"/>
        <v>0</v>
      </c>
      <c r="P892" s="238" t="s">
        <v>3813</v>
      </c>
      <c r="Q892" s="1" t="s">
        <v>3822</v>
      </c>
      <c r="R892" s="239" t="s">
        <v>3815</v>
      </c>
      <c r="S892" s="238" t="s">
        <v>3816</v>
      </c>
      <c r="T892" s="238" t="s">
        <v>3817</v>
      </c>
      <c r="U892" s="238" t="s">
        <v>3823</v>
      </c>
      <c r="V892" s="238" t="s">
        <v>2266</v>
      </c>
      <c r="AB892" s="1" t="s">
        <v>3809</v>
      </c>
    </row>
    <row r="893" spans="1:28" ht="11.25" customHeight="1">
      <c r="A893" s="233">
        <v>41220</v>
      </c>
      <c r="B893" s="1" t="s">
        <v>3824</v>
      </c>
      <c r="C893" s="5" t="s">
        <v>3794</v>
      </c>
      <c r="D893" s="5" t="s">
        <v>86</v>
      </c>
      <c r="E893" s="1">
        <v>9032</v>
      </c>
      <c r="F893" s="5">
        <v>300</v>
      </c>
      <c r="G893" s="1" t="s">
        <v>3811</v>
      </c>
      <c r="H893" s="234">
        <v>2.2999999999999998</v>
      </c>
      <c r="I893" s="235">
        <f>F893*H893</f>
        <v>690</v>
      </c>
      <c r="K893" s="266">
        <f>1.4929*300</f>
        <v>447.86999999999995</v>
      </c>
      <c r="L893" s="237">
        <v>41220</v>
      </c>
      <c r="M893" s="1" t="s">
        <v>3825</v>
      </c>
      <c r="N893" s="235">
        <f t="shared" si="51"/>
        <v>690</v>
      </c>
      <c r="O893" s="235">
        <f t="shared" si="58"/>
        <v>0</v>
      </c>
      <c r="P893" s="238" t="s">
        <v>3826</v>
      </c>
      <c r="Q893" s="1" t="s">
        <v>3798</v>
      </c>
      <c r="R893" s="239" t="s">
        <v>3827</v>
      </c>
      <c r="S893" s="238" t="s">
        <v>3828</v>
      </c>
      <c r="T893" s="238" t="s">
        <v>3829</v>
      </c>
      <c r="U893" s="238" t="s">
        <v>2257</v>
      </c>
      <c r="V893" s="238" t="s">
        <v>3830</v>
      </c>
      <c r="W893" s="236">
        <v>690</v>
      </c>
      <c r="X893" s="233">
        <v>41220</v>
      </c>
      <c r="Y893" s="238" t="s">
        <v>3798</v>
      </c>
      <c r="AA893" s="240" t="s">
        <v>3831</v>
      </c>
      <c r="AB893" s="1" t="s">
        <v>3793</v>
      </c>
    </row>
    <row r="894" spans="1:28" ht="12" customHeight="1">
      <c r="A894" s="233">
        <v>41220</v>
      </c>
      <c r="B894" s="1" t="s">
        <v>3832</v>
      </c>
      <c r="C894" s="5" t="s">
        <v>3794</v>
      </c>
      <c r="D894" s="5" t="s">
        <v>3833</v>
      </c>
      <c r="E894" s="1">
        <v>8246</v>
      </c>
      <c r="F894" s="5">
        <v>120</v>
      </c>
      <c r="G894" s="1" t="s">
        <v>5603</v>
      </c>
      <c r="H894" s="234">
        <v>14.3</v>
      </c>
      <c r="I894" s="236">
        <f t="shared" si="57"/>
        <v>1716</v>
      </c>
      <c r="K894" s="266">
        <f>20*11.7+100*12.8</f>
        <v>1514</v>
      </c>
      <c r="L894" s="245">
        <v>41215</v>
      </c>
      <c r="M894" s="5" t="s">
        <v>3834</v>
      </c>
      <c r="N894" s="235">
        <f t="shared" si="51"/>
        <v>1716</v>
      </c>
      <c r="O894" s="235">
        <f t="shared" si="58"/>
        <v>0</v>
      </c>
      <c r="P894" s="238" t="s">
        <v>4886</v>
      </c>
      <c r="Q894" s="1" t="s">
        <v>3835</v>
      </c>
      <c r="R894" s="239" t="s">
        <v>3836</v>
      </c>
      <c r="S894" s="238" t="s">
        <v>3837</v>
      </c>
      <c r="T894" s="238" t="s">
        <v>3838</v>
      </c>
      <c r="U894" s="238" t="s">
        <v>3839</v>
      </c>
      <c r="V894" s="238" t="s">
        <v>3840</v>
      </c>
      <c r="W894" s="236">
        <v>8494</v>
      </c>
      <c r="X894" s="233">
        <v>41219</v>
      </c>
      <c r="Y894" s="238" t="s">
        <v>3841</v>
      </c>
      <c r="AB894" s="1" t="s">
        <v>3809</v>
      </c>
    </row>
    <row r="895" spans="1:28" ht="11.25" customHeight="1">
      <c r="A895" s="233">
        <v>41220</v>
      </c>
      <c r="B895" s="1" t="s">
        <v>3832</v>
      </c>
      <c r="C895" s="5" t="s">
        <v>3794</v>
      </c>
      <c r="D895" s="5" t="s">
        <v>1716</v>
      </c>
      <c r="E895" s="1">
        <v>8576</v>
      </c>
      <c r="F895" s="5">
        <v>80</v>
      </c>
      <c r="G895" s="1" t="s">
        <v>3802</v>
      </c>
      <c r="H895" s="234">
        <v>29.4</v>
      </c>
      <c r="I895" s="236">
        <f t="shared" si="57"/>
        <v>2352</v>
      </c>
      <c r="K895" s="266">
        <f>30*24+10*28.7+40*27.8</f>
        <v>2119</v>
      </c>
      <c r="L895" s="245">
        <v>41216</v>
      </c>
      <c r="M895" s="5" t="s">
        <v>3834</v>
      </c>
      <c r="N895" s="235">
        <f t="shared" si="51"/>
        <v>2352</v>
      </c>
      <c r="O895" s="235">
        <f t="shared" si="58"/>
        <v>0</v>
      </c>
      <c r="P895" s="238" t="s">
        <v>4886</v>
      </c>
      <c r="Q895" s="1" t="s">
        <v>3835</v>
      </c>
      <c r="R895" s="239" t="s">
        <v>3836</v>
      </c>
      <c r="S895" s="239" t="s">
        <v>3837</v>
      </c>
      <c r="T895" s="239" t="s">
        <v>3838</v>
      </c>
      <c r="U895" s="239" t="s">
        <v>3839</v>
      </c>
      <c r="V895" s="238" t="s">
        <v>3840</v>
      </c>
      <c r="W895" s="236">
        <v>8494</v>
      </c>
      <c r="X895" s="233">
        <v>41219</v>
      </c>
      <c r="Y895" s="238" t="s">
        <v>3841</v>
      </c>
      <c r="AB895" s="1" t="s">
        <v>3809</v>
      </c>
    </row>
    <row r="896" spans="1:28" ht="12" customHeight="1">
      <c r="A896" s="233">
        <v>41220</v>
      </c>
      <c r="B896" s="1" t="s">
        <v>3832</v>
      </c>
      <c r="C896" s="5" t="s">
        <v>3794</v>
      </c>
      <c r="D896" s="1" t="s">
        <v>1213</v>
      </c>
      <c r="E896" s="1" t="s">
        <v>2268</v>
      </c>
      <c r="F896" s="5">
        <v>1</v>
      </c>
      <c r="G896" s="1" t="s">
        <v>3800</v>
      </c>
      <c r="H896" s="234">
        <v>15</v>
      </c>
      <c r="I896" s="236">
        <f t="shared" si="57"/>
        <v>15</v>
      </c>
      <c r="K896" s="274">
        <v>13</v>
      </c>
      <c r="L896" s="245">
        <v>41217</v>
      </c>
      <c r="M896" s="5" t="s">
        <v>3834</v>
      </c>
      <c r="N896" s="235">
        <f t="shared" si="51"/>
        <v>15</v>
      </c>
      <c r="O896" s="235">
        <f t="shared" si="58"/>
        <v>0</v>
      </c>
      <c r="P896" s="238" t="s">
        <v>4886</v>
      </c>
      <c r="Q896" s="1" t="s">
        <v>3835</v>
      </c>
      <c r="R896" s="239" t="s">
        <v>3836</v>
      </c>
      <c r="S896" s="238" t="s">
        <v>3837</v>
      </c>
      <c r="T896" s="238" t="s">
        <v>3838</v>
      </c>
      <c r="U896" s="238" t="s">
        <v>3839</v>
      </c>
      <c r="V896" s="238" t="s">
        <v>3840</v>
      </c>
      <c r="W896" s="236">
        <v>8494</v>
      </c>
      <c r="X896" s="233">
        <v>41219</v>
      </c>
      <c r="Y896" s="238" t="s">
        <v>3841</v>
      </c>
      <c r="AB896" s="1" t="s">
        <v>3809</v>
      </c>
    </row>
    <row r="897" spans="1:28" ht="12" customHeight="1">
      <c r="A897" s="233">
        <v>41220</v>
      </c>
      <c r="B897" s="1" t="s">
        <v>3832</v>
      </c>
      <c r="C897" s="5" t="s">
        <v>3794</v>
      </c>
      <c r="D897" s="5" t="s">
        <v>3842</v>
      </c>
      <c r="E897" s="1" t="s">
        <v>3843</v>
      </c>
      <c r="F897" s="5">
        <v>4</v>
      </c>
      <c r="G897" s="1" t="s">
        <v>3811</v>
      </c>
      <c r="H897" s="234">
        <v>74</v>
      </c>
      <c r="I897" s="236">
        <f t="shared" si="57"/>
        <v>296</v>
      </c>
      <c r="K897" s="266">
        <f>58.3*F897</f>
        <v>233.2</v>
      </c>
      <c r="L897" s="245">
        <v>41218</v>
      </c>
      <c r="M897" s="5" t="s">
        <v>3834</v>
      </c>
      <c r="N897" s="235">
        <f t="shared" si="51"/>
        <v>296</v>
      </c>
      <c r="O897" s="235">
        <f t="shared" si="58"/>
        <v>0</v>
      </c>
      <c r="P897" s="238" t="s">
        <v>4886</v>
      </c>
      <c r="Q897" s="1" t="s">
        <v>3835</v>
      </c>
      <c r="R897" s="239" t="s">
        <v>3836</v>
      </c>
      <c r="S897" s="238" t="s">
        <v>3837</v>
      </c>
      <c r="T897" s="238" t="s">
        <v>3838</v>
      </c>
      <c r="U897" s="238" t="s">
        <v>3839</v>
      </c>
      <c r="V897" s="238" t="s">
        <v>3840</v>
      </c>
      <c r="W897" s="236">
        <v>8494</v>
      </c>
      <c r="X897" s="233">
        <v>41219</v>
      </c>
      <c r="Y897" s="238" t="s">
        <v>3841</v>
      </c>
      <c r="AB897" s="1" t="s">
        <v>3809</v>
      </c>
    </row>
    <row r="898" spans="1:28" ht="11.25" customHeight="1">
      <c r="A898" s="233">
        <v>41220</v>
      </c>
      <c r="B898" s="1" t="s">
        <v>3832</v>
      </c>
      <c r="C898" s="5" t="s">
        <v>3794</v>
      </c>
      <c r="D898" s="5" t="s">
        <v>3844</v>
      </c>
      <c r="E898" s="1" t="s">
        <v>3845</v>
      </c>
      <c r="F898" s="5">
        <v>8</v>
      </c>
      <c r="G898" s="1" t="s">
        <v>3811</v>
      </c>
      <c r="H898" s="234">
        <v>15</v>
      </c>
      <c r="I898" s="236">
        <f t="shared" si="57"/>
        <v>120</v>
      </c>
      <c r="K898" s="266">
        <f>13.6*F898</f>
        <v>108.8</v>
      </c>
      <c r="L898" s="245">
        <v>41219</v>
      </c>
      <c r="M898" s="5" t="s">
        <v>3834</v>
      </c>
      <c r="N898" s="235">
        <f t="shared" si="51"/>
        <v>120</v>
      </c>
      <c r="O898" s="235">
        <f t="shared" si="58"/>
        <v>0</v>
      </c>
      <c r="P898" s="238" t="s">
        <v>4886</v>
      </c>
      <c r="Q898" s="1" t="s">
        <v>3835</v>
      </c>
      <c r="R898" s="239" t="s">
        <v>3836</v>
      </c>
      <c r="S898" s="238" t="s">
        <v>3837</v>
      </c>
      <c r="T898" s="238" t="s">
        <v>3838</v>
      </c>
      <c r="U898" s="238" t="s">
        <v>3839</v>
      </c>
      <c r="V898" s="238" t="s">
        <v>3840</v>
      </c>
      <c r="W898" s="236">
        <v>8494</v>
      </c>
      <c r="X898" s="233">
        <v>41219</v>
      </c>
      <c r="Y898" s="238" t="s">
        <v>3841</v>
      </c>
      <c r="AB898" s="1" t="s">
        <v>3809</v>
      </c>
    </row>
    <row r="899" spans="1:28" ht="11.25" customHeight="1">
      <c r="A899" s="233">
        <v>41220</v>
      </c>
      <c r="B899" s="1" t="s">
        <v>3846</v>
      </c>
      <c r="C899" s="5" t="s">
        <v>3794</v>
      </c>
      <c r="D899" s="5" t="s">
        <v>305</v>
      </c>
      <c r="E899" s="1">
        <v>1270</v>
      </c>
      <c r="F899" s="5">
        <v>50</v>
      </c>
      <c r="G899" s="1" t="s">
        <v>3800</v>
      </c>
      <c r="H899" s="234">
        <v>6</v>
      </c>
      <c r="I899" s="235">
        <f t="shared" si="57"/>
        <v>300</v>
      </c>
      <c r="K899" s="266">
        <f>4.31*50</f>
        <v>215.49999999999997</v>
      </c>
      <c r="L899" s="237">
        <v>41241</v>
      </c>
      <c r="M899" s="1" t="s">
        <v>2243</v>
      </c>
      <c r="N899" s="235">
        <f t="shared" ref="N899:N962" si="59">I899</f>
        <v>300</v>
      </c>
      <c r="O899" s="235">
        <f t="shared" si="58"/>
        <v>0</v>
      </c>
      <c r="P899" s="238" t="s">
        <v>3847</v>
      </c>
      <c r="Q899" s="1" t="s">
        <v>3848</v>
      </c>
      <c r="R899" s="239" t="s">
        <v>3849</v>
      </c>
      <c r="S899" s="238" t="s">
        <v>3850</v>
      </c>
      <c r="T899" s="238" t="s">
        <v>3851</v>
      </c>
      <c r="U899" s="238" t="s">
        <v>3852</v>
      </c>
      <c r="V899" s="238" t="s">
        <v>3853</v>
      </c>
      <c r="W899" s="236">
        <v>1450</v>
      </c>
      <c r="X899" s="233">
        <v>41220</v>
      </c>
      <c r="Y899" s="238" t="s">
        <v>3852</v>
      </c>
      <c r="AB899" s="1" t="s">
        <v>3793</v>
      </c>
    </row>
    <row r="900" spans="1:28" ht="11.25" customHeight="1">
      <c r="A900" s="233">
        <v>41220</v>
      </c>
      <c r="B900" s="1" t="s">
        <v>3846</v>
      </c>
      <c r="C900" s="5" t="s">
        <v>3794</v>
      </c>
      <c r="D900" s="1" t="s">
        <v>3854</v>
      </c>
      <c r="E900" s="1">
        <v>10434</v>
      </c>
      <c r="F900" s="5">
        <v>50</v>
      </c>
      <c r="G900" s="1" t="s">
        <v>3800</v>
      </c>
      <c r="H900" s="234">
        <v>23</v>
      </c>
      <c r="I900" s="235">
        <f t="shared" si="57"/>
        <v>1150</v>
      </c>
      <c r="K900" s="266">
        <f>14.5*50</f>
        <v>725</v>
      </c>
      <c r="L900" s="237">
        <v>41241</v>
      </c>
      <c r="M900" s="1" t="s">
        <v>2243</v>
      </c>
      <c r="N900" s="235">
        <f t="shared" si="59"/>
        <v>1150</v>
      </c>
      <c r="O900" s="235">
        <f t="shared" si="58"/>
        <v>0</v>
      </c>
      <c r="P900" s="238" t="s">
        <v>3847</v>
      </c>
      <c r="Q900" s="1" t="s">
        <v>3848</v>
      </c>
      <c r="R900" s="239" t="s">
        <v>3849</v>
      </c>
      <c r="S900" s="238" t="s">
        <v>3850</v>
      </c>
      <c r="T900" s="238" t="s">
        <v>3851</v>
      </c>
      <c r="U900" s="238" t="s">
        <v>3852</v>
      </c>
      <c r="V900" s="238" t="s">
        <v>3853</v>
      </c>
      <c r="W900" s="236">
        <v>1450</v>
      </c>
      <c r="X900" s="233">
        <v>41220</v>
      </c>
      <c r="Y900" s="238" t="s">
        <v>3852</v>
      </c>
      <c r="AB900" s="1" t="s">
        <v>3793</v>
      </c>
    </row>
    <row r="901" spans="1:28" ht="11.25" customHeight="1">
      <c r="A901" s="233">
        <v>41221</v>
      </c>
      <c r="B901" s="1" t="s">
        <v>3855</v>
      </c>
      <c r="C901" s="5" t="s">
        <v>3794</v>
      </c>
      <c r="D901" s="1" t="s">
        <v>3854</v>
      </c>
      <c r="E901" s="1">
        <v>10434</v>
      </c>
      <c r="F901" s="5">
        <v>160</v>
      </c>
      <c r="G901" s="1" t="s">
        <v>3800</v>
      </c>
      <c r="H901" s="234">
        <v>23</v>
      </c>
      <c r="I901" s="235">
        <f t="shared" si="57"/>
        <v>3680</v>
      </c>
      <c r="K901" s="266">
        <f>14.2*F901</f>
        <v>2272</v>
      </c>
      <c r="L901" s="237">
        <v>41310</v>
      </c>
      <c r="M901" s="1" t="s">
        <v>4997</v>
      </c>
      <c r="N901" s="235">
        <f t="shared" si="59"/>
        <v>3680</v>
      </c>
      <c r="O901" s="235">
        <f t="shared" si="58"/>
        <v>0</v>
      </c>
      <c r="P901" s="238" t="s">
        <v>3856</v>
      </c>
      <c r="Q901" s="1" t="s">
        <v>3857</v>
      </c>
      <c r="R901" s="239" t="s">
        <v>3858</v>
      </c>
      <c r="S901" s="238" t="s">
        <v>3859</v>
      </c>
      <c r="T901" s="238" t="s">
        <v>3860</v>
      </c>
      <c r="U901" s="238" t="s">
        <v>2257</v>
      </c>
      <c r="V901" s="238" t="s">
        <v>3861</v>
      </c>
      <c r="W901" s="236" t="s">
        <v>3862</v>
      </c>
      <c r="X901" s="233">
        <v>41234</v>
      </c>
      <c r="Y901" s="238" t="s">
        <v>3863</v>
      </c>
      <c r="AB901" s="1" t="s">
        <v>3793</v>
      </c>
    </row>
    <row r="902" spans="1:28" ht="11.25" customHeight="1">
      <c r="A902" s="233">
        <v>41221</v>
      </c>
      <c r="B902" s="1" t="s">
        <v>3855</v>
      </c>
      <c r="C902" s="5" t="s">
        <v>3794</v>
      </c>
      <c r="D902" s="5" t="s">
        <v>2244</v>
      </c>
      <c r="E902" s="1" t="s">
        <v>2245</v>
      </c>
      <c r="F902" s="5">
        <v>200</v>
      </c>
      <c r="G902" s="1" t="s">
        <v>231</v>
      </c>
      <c r="H902" s="234">
        <v>9.1999999999999993</v>
      </c>
      <c r="I902" s="235">
        <f t="shared" si="57"/>
        <v>1839.9999999999998</v>
      </c>
      <c r="K902" s="266">
        <f>4.78*F902</f>
        <v>956</v>
      </c>
      <c r="L902" s="237">
        <v>41310</v>
      </c>
      <c r="M902" s="1" t="s">
        <v>4997</v>
      </c>
      <c r="N902" s="235">
        <f t="shared" si="59"/>
        <v>1839.9999999999998</v>
      </c>
      <c r="O902" s="235">
        <f t="shared" si="58"/>
        <v>0</v>
      </c>
      <c r="P902" s="238" t="s">
        <v>3856</v>
      </c>
      <c r="Q902" s="1" t="s">
        <v>3857</v>
      </c>
      <c r="R902" s="239" t="s">
        <v>3858</v>
      </c>
      <c r="S902" s="238" t="s">
        <v>3859</v>
      </c>
      <c r="T902" s="238" t="s">
        <v>3860</v>
      </c>
      <c r="U902" s="238" t="s">
        <v>2257</v>
      </c>
      <c r="V902" s="238" t="s">
        <v>3861</v>
      </c>
      <c r="W902" s="236" t="s">
        <v>3862</v>
      </c>
      <c r="X902" s="233">
        <v>41234</v>
      </c>
      <c r="Y902" s="238" t="s">
        <v>3863</v>
      </c>
      <c r="AB902" s="1" t="s">
        <v>3793</v>
      </c>
    </row>
    <row r="903" spans="1:28" ht="12" customHeight="1">
      <c r="A903" s="233">
        <v>41221</v>
      </c>
      <c r="B903" s="1" t="s">
        <v>3855</v>
      </c>
      <c r="C903" s="5" t="s">
        <v>3794</v>
      </c>
      <c r="D903" s="5" t="s">
        <v>353</v>
      </c>
      <c r="E903" s="1" t="s">
        <v>2242</v>
      </c>
      <c r="F903" s="5">
        <v>200</v>
      </c>
      <c r="G903" s="1" t="s">
        <v>3811</v>
      </c>
      <c r="H903" s="234">
        <v>35</v>
      </c>
      <c r="I903" s="235">
        <f t="shared" si="57"/>
        <v>7000</v>
      </c>
      <c r="K903" s="266">
        <f>16.5*F903</f>
        <v>3300</v>
      </c>
      <c r="L903" s="237">
        <v>41310</v>
      </c>
      <c r="M903" s="1" t="s">
        <v>4997</v>
      </c>
      <c r="N903" s="235">
        <f t="shared" si="59"/>
        <v>7000</v>
      </c>
      <c r="O903" s="235">
        <f t="shared" si="58"/>
        <v>0</v>
      </c>
      <c r="P903" s="238" t="s">
        <v>3856</v>
      </c>
      <c r="Q903" s="1" t="s">
        <v>3857</v>
      </c>
      <c r="R903" s="239" t="s">
        <v>3858</v>
      </c>
      <c r="S903" s="238" t="s">
        <v>3859</v>
      </c>
      <c r="T903" s="238" t="s">
        <v>3860</v>
      </c>
      <c r="U903" s="238" t="s">
        <v>2257</v>
      </c>
      <c r="V903" s="238" t="s">
        <v>3861</v>
      </c>
      <c r="W903" s="236" t="s">
        <v>3862</v>
      </c>
      <c r="X903" s="233">
        <v>41234</v>
      </c>
      <c r="Y903" s="238" t="s">
        <v>3863</v>
      </c>
      <c r="AB903" s="1" t="s">
        <v>3793</v>
      </c>
    </row>
    <row r="904" spans="1:28" ht="12" customHeight="1">
      <c r="A904" s="233">
        <v>41221</v>
      </c>
      <c r="B904" s="1" t="s">
        <v>3855</v>
      </c>
      <c r="C904" s="5" t="s">
        <v>3794</v>
      </c>
      <c r="D904" s="5" t="s">
        <v>3864</v>
      </c>
      <c r="E904" s="1">
        <v>6885</v>
      </c>
      <c r="F904" s="5">
        <v>200</v>
      </c>
      <c r="G904" s="1" t="s">
        <v>3811</v>
      </c>
      <c r="H904" s="234">
        <v>6.5</v>
      </c>
      <c r="I904" s="235">
        <f t="shared" si="57"/>
        <v>1300</v>
      </c>
      <c r="K904" s="266">
        <f>80*4.2+120*4.4</f>
        <v>864</v>
      </c>
      <c r="L904" s="237">
        <v>41310</v>
      </c>
      <c r="M904" s="1" t="s">
        <v>4997</v>
      </c>
      <c r="N904" s="235">
        <f t="shared" si="59"/>
        <v>1300</v>
      </c>
      <c r="O904" s="235">
        <f t="shared" si="58"/>
        <v>0</v>
      </c>
      <c r="P904" s="238" t="s">
        <v>3856</v>
      </c>
      <c r="Q904" s="1" t="s">
        <v>3857</v>
      </c>
      <c r="R904" s="239" t="s">
        <v>3858</v>
      </c>
      <c r="S904" s="238" t="s">
        <v>3859</v>
      </c>
      <c r="T904" s="238" t="s">
        <v>3860</v>
      </c>
      <c r="U904" s="238" t="s">
        <v>2257</v>
      </c>
      <c r="V904" s="238" t="s">
        <v>3861</v>
      </c>
      <c r="W904" s="236" t="s">
        <v>3862</v>
      </c>
      <c r="X904" s="233">
        <v>41234</v>
      </c>
      <c r="Y904" s="238" t="s">
        <v>3863</v>
      </c>
      <c r="AB904" s="1" t="s">
        <v>3793</v>
      </c>
    </row>
    <row r="905" spans="1:28" ht="12" customHeight="1">
      <c r="A905" s="233">
        <v>41221</v>
      </c>
      <c r="B905" s="1" t="s">
        <v>3855</v>
      </c>
      <c r="C905" s="5" t="s">
        <v>3794</v>
      </c>
      <c r="D905" s="5" t="s">
        <v>3865</v>
      </c>
      <c r="E905" s="1">
        <v>52000183617</v>
      </c>
      <c r="F905" s="5">
        <v>12</v>
      </c>
      <c r="G905" s="1" t="s">
        <v>3811</v>
      </c>
      <c r="H905" s="234">
        <v>1680</v>
      </c>
      <c r="I905" s="235">
        <f t="shared" si="57"/>
        <v>20160</v>
      </c>
      <c r="K905" s="266">
        <f>938*12</f>
        <v>11256</v>
      </c>
      <c r="L905" s="237">
        <v>41310</v>
      </c>
      <c r="M905" s="1" t="s">
        <v>4997</v>
      </c>
      <c r="N905" s="235">
        <f t="shared" si="59"/>
        <v>20160</v>
      </c>
      <c r="O905" s="235">
        <f t="shared" si="58"/>
        <v>0</v>
      </c>
      <c r="P905" s="238" t="s">
        <v>3856</v>
      </c>
      <c r="Q905" s="1" t="s">
        <v>3857</v>
      </c>
      <c r="R905" s="239" t="s">
        <v>3858</v>
      </c>
      <c r="S905" s="238" t="s">
        <v>3859</v>
      </c>
      <c r="T905" s="238" t="s">
        <v>3860</v>
      </c>
      <c r="U905" s="238" t="s">
        <v>2257</v>
      </c>
      <c r="V905" s="238" t="s">
        <v>3861</v>
      </c>
      <c r="W905" s="236" t="s">
        <v>3862</v>
      </c>
      <c r="X905" s="233">
        <v>41234</v>
      </c>
      <c r="Y905" s="238" t="s">
        <v>3863</v>
      </c>
      <c r="AB905" s="1" t="s">
        <v>3793</v>
      </c>
    </row>
    <row r="906" spans="1:28" ht="12" customHeight="1">
      <c r="A906" s="233">
        <v>41221</v>
      </c>
      <c r="B906" s="1" t="s">
        <v>3855</v>
      </c>
      <c r="C906" s="5" t="s">
        <v>3794</v>
      </c>
      <c r="D906" s="5" t="s">
        <v>86</v>
      </c>
      <c r="E906" s="1">
        <v>9032</v>
      </c>
      <c r="F906" s="5">
        <v>300</v>
      </c>
      <c r="G906" s="1" t="s">
        <v>3811</v>
      </c>
      <c r="H906" s="234">
        <v>2.7</v>
      </c>
      <c r="I906" s="235">
        <f t="shared" si="57"/>
        <v>810</v>
      </c>
      <c r="K906" s="266">
        <f>1.4929*300</f>
        <v>447.86999999999995</v>
      </c>
      <c r="L906" s="237">
        <v>41310</v>
      </c>
      <c r="M906" s="1" t="s">
        <v>4997</v>
      </c>
      <c r="N906" s="235">
        <f t="shared" si="59"/>
        <v>810</v>
      </c>
      <c r="O906" s="235">
        <f t="shared" si="58"/>
        <v>0</v>
      </c>
      <c r="P906" s="238" t="s">
        <v>3856</v>
      </c>
      <c r="Q906" s="1" t="s">
        <v>3857</v>
      </c>
      <c r="R906" s="239" t="s">
        <v>3858</v>
      </c>
      <c r="S906" s="238" t="s">
        <v>3859</v>
      </c>
      <c r="T906" s="238" t="s">
        <v>3860</v>
      </c>
      <c r="U906" s="238" t="s">
        <v>2257</v>
      </c>
      <c r="V906" s="238" t="s">
        <v>1317</v>
      </c>
      <c r="W906" s="236">
        <v>1500</v>
      </c>
      <c r="X906" s="233">
        <v>41236</v>
      </c>
      <c r="Y906" s="238" t="s">
        <v>3866</v>
      </c>
      <c r="AB906" s="1" t="s">
        <v>3793</v>
      </c>
    </row>
    <row r="907" spans="1:28" ht="11.25" customHeight="1">
      <c r="A907" s="233">
        <v>41221</v>
      </c>
      <c r="B907" s="1" t="s">
        <v>3855</v>
      </c>
      <c r="C907" s="5" t="s">
        <v>3794</v>
      </c>
      <c r="D907" s="1" t="s">
        <v>1711</v>
      </c>
      <c r="E907" s="1">
        <v>8210</v>
      </c>
      <c r="F907" s="5">
        <v>100</v>
      </c>
      <c r="G907" s="1" t="s">
        <v>3811</v>
      </c>
      <c r="H907" s="234">
        <v>6.9</v>
      </c>
      <c r="I907" s="235">
        <f t="shared" si="57"/>
        <v>690</v>
      </c>
      <c r="K907" s="266">
        <f>3.63*100</f>
        <v>363</v>
      </c>
      <c r="L907" s="237">
        <v>41310</v>
      </c>
      <c r="M907" s="1" t="s">
        <v>4997</v>
      </c>
      <c r="N907" s="235">
        <f t="shared" si="59"/>
        <v>690</v>
      </c>
      <c r="O907" s="235">
        <f t="shared" si="58"/>
        <v>0</v>
      </c>
      <c r="P907" s="238" t="s">
        <v>3856</v>
      </c>
      <c r="Q907" s="1" t="s">
        <v>3857</v>
      </c>
      <c r="R907" s="239" t="s">
        <v>3858</v>
      </c>
      <c r="S907" s="238" t="s">
        <v>3859</v>
      </c>
      <c r="T907" s="238" t="s">
        <v>3860</v>
      </c>
      <c r="U907" s="238" t="s">
        <v>2257</v>
      </c>
      <c r="V907" s="238" t="s">
        <v>1317</v>
      </c>
      <c r="W907" s="236">
        <v>1500</v>
      </c>
      <c r="X907" s="233">
        <v>41236</v>
      </c>
      <c r="Y907" s="238" t="s">
        <v>3866</v>
      </c>
      <c r="AB907" s="1" t="s">
        <v>3793</v>
      </c>
    </row>
    <row r="908" spans="1:28" ht="12" customHeight="1">
      <c r="A908" s="233">
        <v>41221</v>
      </c>
      <c r="B908" s="1" t="s">
        <v>3867</v>
      </c>
      <c r="C908" s="5" t="s">
        <v>2240</v>
      </c>
      <c r="D908" s="5" t="s">
        <v>3868</v>
      </c>
      <c r="E908" s="1">
        <v>1110</v>
      </c>
      <c r="F908" s="5">
        <v>100</v>
      </c>
      <c r="G908" s="1" t="s">
        <v>3800</v>
      </c>
      <c r="H908" s="234">
        <v>1.1000000000000001</v>
      </c>
      <c r="I908" s="235">
        <f t="shared" ref="I908:I914" si="60">F908*H908</f>
        <v>110.00000000000001</v>
      </c>
      <c r="K908" s="266">
        <f>0.77*100</f>
        <v>77</v>
      </c>
      <c r="L908" s="237">
        <v>41221</v>
      </c>
      <c r="M908" s="1" t="s">
        <v>3825</v>
      </c>
      <c r="N908" s="235">
        <f t="shared" si="59"/>
        <v>110.00000000000001</v>
      </c>
      <c r="O908" s="235">
        <f t="shared" si="58"/>
        <v>0</v>
      </c>
      <c r="P908" s="238" t="s">
        <v>3869</v>
      </c>
      <c r="Q908" s="1" t="s">
        <v>3798</v>
      </c>
      <c r="V908" s="238" t="s">
        <v>2266</v>
      </c>
      <c r="AB908" s="1" t="s">
        <v>3793</v>
      </c>
    </row>
    <row r="909" spans="1:28" ht="12" customHeight="1">
      <c r="A909" s="233">
        <v>41221</v>
      </c>
      <c r="B909" s="1" t="s">
        <v>3870</v>
      </c>
      <c r="C909" s="5" t="s">
        <v>2240</v>
      </c>
      <c r="D909" s="1" t="s">
        <v>1210</v>
      </c>
      <c r="E909" s="1">
        <v>3200</v>
      </c>
      <c r="F909" s="5">
        <v>100</v>
      </c>
      <c r="G909" s="5" t="s">
        <v>3811</v>
      </c>
      <c r="H909" s="234">
        <v>26.81</v>
      </c>
      <c r="I909" s="235">
        <f t="shared" si="60"/>
        <v>2681</v>
      </c>
      <c r="K909" s="266">
        <f>23.94*100</f>
        <v>2394</v>
      </c>
      <c r="L909" s="237">
        <v>41221</v>
      </c>
      <c r="M909" s="5" t="s">
        <v>2243</v>
      </c>
      <c r="N909" s="235">
        <f t="shared" si="59"/>
        <v>2681</v>
      </c>
      <c r="O909" s="235">
        <f t="shared" si="58"/>
        <v>0</v>
      </c>
      <c r="P909" s="238" t="s">
        <v>3871</v>
      </c>
      <c r="Q909" s="5" t="s">
        <v>3798</v>
      </c>
      <c r="R909" s="239" t="s">
        <v>2257</v>
      </c>
      <c r="S909" s="238" t="s">
        <v>2257</v>
      </c>
      <c r="T909" s="238" t="s">
        <v>2257</v>
      </c>
      <c r="U909" s="238" t="s">
        <v>2257</v>
      </c>
      <c r="V909" s="238" t="s">
        <v>3872</v>
      </c>
      <c r="W909" s="236">
        <v>3200</v>
      </c>
      <c r="X909" s="233">
        <v>41226</v>
      </c>
      <c r="Y909" s="238" t="s">
        <v>3873</v>
      </c>
      <c r="AB909" s="1" t="s">
        <v>3809</v>
      </c>
    </row>
    <row r="910" spans="1:28" ht="11.25" customHeight="1">
      <c r="A910" s="233">
        <v>41221</v>
      </c>
      <c r="B910" s="1" t="s">
        <v>3870</v>
      </c>
      <c r="C910" s="5" t="s">
        <v>2240</v>
      </c>
      <c r="D910" s="5" t="s">
        <v>346</v>
      </c>
      <c r="E910" s="1">
        <v>3700</v>
      </c>
      <c r="F910" s="5">
        <v>100</v>
      </c>
      <c r="G910" s="1" t="s">
        <v>229</v>
      </c>
      <c r="H910" s="234">
        <v>3.46</v>
      </c>
      <c r="I910" s="235">
        <f t="shared" si="60"/>
        <v>346</v>
      </c>
      <c r="J910" s="352">
        <v>3.09</v>
      </c>
      <c r="K910" s="266">
        <f>3.09*100</f>
        <v>309</v>
      </c>
      <c r="L910" s="237">
        <v>41221</v>
      </c>
      <c r="M910" s="5" t="s">
        <v>2243</v>
      </c>
      <c r="N910" s="235">
        <f t="shared" si="59"/>
        <v>346</v>
      </c>
      <c r="O910" s="235">
        <f t="shared" si="58"/>
        <v>0</v>
      </c>
      <c r="P910" s="238" t="s">
        <v>3871</v>
      </c>
      <c r="Q910" s="5" t="s">
        <v>3798</v>
      </c>
      <c r="R910" s="239" t="s">
        <v>2257</v>
      </c>
      <c r="S910" s="238" t="s">
        <v>2257</v>
      </c>
      <c r="T910" s="238" t="s">
        <v>2257</v>
      </c>
      <c r="U910" s="238" t="s">
        <v>2257</v>
      </c>
      <c r="V910" s="238" t="s">
        <v>3872</v>
      </c>
      <c r="W910" s="236">
        <v>3200</v>
      </c>
      <c r="X910" s="233">
        <v>41226</v>
      </c>
      <c r="Y910" s="238" t="s">
        <v>3873</v>
      </c>
      <c r="AB910" s="1" t="s">
        <v>3809</v>
      </c>
    </row>
    <row r="911" spans="1:28" ht="11.25" customHeight="1">
      <c r="A911" s="233">
        <v>41221</v>
      </c>
      <c r="B911" s="1" t="s">
        <v>3870</v>
      </c>
      <c r="C911" s="5" t="s">
        <v>2240</v>
      </c>
      <c r="D911" s="5" t="s">
        <v>2244</v>
      </c>
      <c r="E911" s="1" t="s">
        <v>2270</v>
      </c>
      <c r="F911" s="5">
        <v>100</v>
      </c>
      <c r="G911" s="1" t="s">
        <v>3802</v>
      </c>
      <c r="H911" s="234">
        <v>1.73</v>
      </c>
      <c r="I911" s="235">
        <f t="shared" si="60"/>
        <v>173</v>
      </c>
      <c r="J911" s="352">
        <v>1.54</v>
      </c>
      <c r="K911" s="266">
        <f>1.54*100</f>
        <v>154</v>
      </c>
      <c r="L911" s="237">
        <v>41221</v>
      </c>
      <c r="M911" s="5" t="s">
        <v>2243</v>
      </c>
      <c r="N911" s="235">
        <f t="shared" si="59"/>
        <v>173</v>
      </c>
      <c r="O911" s="235">
        <f t="shared" si="58"/>
        <v>0</v>
      </c>
      <c r="P911" s="238" t="s">
        <v>3871</v>
      </c>
      <c r="Q911" s="5" t="s">
        <v>3798</v>
      </c>
      <c r="R911" s="239" t="s">
        <v>2257</v>
      </c>
      <c r="S911" s="238" t="s">
        <v>2257</v>
      </c>
      <c r="T911" s="238" t="s">
        <v>2257</v>
      </c>
      <c r="U911" s="238" t="s">
        <v>2257</v>
      </c>
      <c r="V911" s="238" t="s">
        <v>3872</v>
      </c>
      <c r="W911" s="236">
        <v>3200</v>
      </c>
      <c r="X911" s="233">
        <v>41226</v>
      </c>
      <c r="Y911" s="238" t="s">
        <v>3873</v>
      </c>
      <c r="AB911" s="1" t="s">
        <v>3809</v>
      </c>
    </row>
    <row r="912" spans="1:28" ht="13.5" customHeight="1">
      <c r="A912" s="233">
        <v>41221</v>
      </c>
      <c r="B912" s="1" t="s">
        <v>3810</v>
      </c>
      <c r="C912" s="5" t="s">
        <v>2240</v>
      </c>
      <c r="D912" s="1" t="s">
        <v>1711</v>
      </c>
      <c r="E912" s="1">
        <v>8210</v>
      </c>
      <c r="F912" s="5">
        <v>300</v>
      </c>
      <c r="G912" s="1" t="s">
        <v>3811</v>
      </c>
      <c r="H912" s="234">
        <v>4.18</v>
      </c>
      <c r="I912" s="235">
        <f t="shared" si="60"/>
        <v>1254</v>
      </c>
      <c r="K912" s="266">
        <f>3.63*300</f>
        <v>1089</v>
      </c>
      <c r="L912" s="237">
        <v>41309</v>
      </c>
      <c r="M912" s="1" t="s">
        <v>165</v>
      </c>
      <c r="N912" s="235">
        <f t="shared" si="59"/>
        <v>1254</v>
      </c>
      <c r="O912" s="235">
        <f t="shared" si="58"/>
        <v>0</v>
      </c>
      <c r="P912" s="238" t="s">
        <v>3874</v>
      </c>
      <c r="Q912" s="1" t="s">
        <v>3822</v>
      </c>
      <c r="R912" s="239" t="s">
        <v>3815</v>
      </c>
      <c r="S912" s="238" t="s">
        <v>3816</v>
      </c>
      <c r="T912" s="238" t="s">
        <v>3817</v>
      </c>
      <c r="U912" s="238" t="s">
        <v>3875</v>
      </c>
      <c r="V912" s="238" t="s">
        <v>2266</v>
      </c>
      <c r="AB912" s="1" t="s">
        <v>3809</v>
      </c>
    </row>
    <row r="913" spans="1:28" ht="11.25" customHeight="1">
      <c r="A913" s="233">
        <v>41221</v>
      </c>
      <c r="B913" s="1" t="s">
        <v>3810</v>
      </c>
      <c r="C913" s="5" t="s">
        <v>2240</v>
      </c>
      <c r="D913" s="5" t="s">
        <v>2012</v>
      </c>
      <c r="E913" s="1" t="s">
        <v>2262</v>
      </c>
      <c r="F913" s="5">
        <v>1000</v>
      </c>
      <c r="G913" s="1" t="s">
        <v>4970</v>
      </c>
      <c r="H913" s="234">
        <v>1.59</v>
      </c>
      <c r="I913" s="235">
        <f t="shared" si="60"/>
        <v>1590</v>
      </c>
      <c r="J913" s="360">
        <v>1.4</v>
      </c>
      <c r="K913" s="266">
        <f>1.4*F913</f>
        <v>1400</v>
      </c>
      <c r="L913" s="237">
        <v>41309</v>
      </c>
      <c r="M913" s="1" t="s">
        <v>165</v>
      </c>
      <c r="N913" s="235">
        <f t="shared" si="59"/>
        <v>1590</v>
      </c>
      <c r="O913" s="235">
        <f t="shared" si="58"/>
        <v>0</v>
      </c>
      <c r="P913" s="238" t="s">
        <v>3874</v>
      </c>
      <c r="Q913" s="1" t="s">
        <v>3822</v>
      </c>
      <c r="R913" s="239" t="s">
        <v>3815</v>
      </c>
      <c r="S913" s="238" t="s">
        <v>3816</v>
      </c>
      <c r="T913" s="238" t="s">
        <v>3817</v>
      </c>
      <c r="U913" s="238" t="s">
        <v>3875</v>
      </c>
      <c r="V913" s="238" t="s">
        <v>2266</v>
      </c>
      <c r="AB913" s="1" t="s">
        <v>3809</v>
      </c>
    </row>
    <row r="914" spans="1:28" ht="12" customHeight="1">
      <c r="A914" s="233">
        <v>41221</v>
      </c>
      <c r="B914" s="1" t="s">
        <v>3810</v>
      </c>
      <c r="C914" s="5" t="s">
        <v>2240</v>
      </c>
      <c r="D914" s="5" t="s">
        <v>268</v>
      </c>
      <c r="E914" s="1" t="s">
        <v>3876</v>
      </c>
      <c r="F914" s="5">
        <v>50</v>
      </c>
      <c r="G914" s="1" t="s">
        <v>3802</v>
      </c>
      <c r="H914" s="234">
        <v>1.45</v>
      </c>
      <c r="I914" s="235">
        <f t="shared" si="60"/>
        <v>72.5</v>
      </c>
      <c r="K914" s="266">
        <f>1.17*50</f>
        <v>58.5</v>
      </c>
      <c r="L914" s="237">
        <v>41309</v>
      </c>
      <c r="M914" s="1" t="s">
        <v>165</v>
      </c>
      <c r="N914" s="235">
        <f t="shared" si="59"/>
        <v>72.5</v>
      </c>
      <c r="O914" s="235">
        <f t="shared" si="58"/>
        <v>0</v>
      </c>
      <c r="P914" s="238" t="s">
        <v>3874</v>
      </c>
      <c r="Q914" s="1" t="s">
        <v>3822</v>
      </c>
      <c r="R914" s="239" t="s">
        <v>3815</v>
      </c>
      <c r="S914" s="238" t="s">
        <v>3816</v>
      </c>
      <c r="T914" s="238" t="s">
        <v>3817</v>
      </c>
      <c r="U914" s="238" t="s">
        <v>3875</v>
      </c>
      <c r="V914" s="238" t="s">
        <v>2266</v>
      </c>
      <c r="AB914" s="1" t="s">
        <v>3809</v>
      </c>
    </row>
    <row r="915" spans="1:28" ht="11.25" customHeight="1">
      <c r="A915" s="233">
        <v>41222</v>
      </c>
      <c r="B915" s="1" t="s">
        <v>3877</v>
      </c>
      <c r="C915" s="5" t="s">
        <v>3794</v>
      </c>
      <c r="D915" s="5" t="s">
        <v>3878</v>
      </c>
      <c r="E915" s="1">
        <v>10197</v>
      </c>
      <c r="F915" s="5">
        <v>11</v>
      </c>
      <c r="G915" s="1" t="s">
        <v>3800</v>
      </c>
      <c r="H915" s="234">
        <v>60</v>
      </c>
      <c r="I915" s="235">
        <f t="shared" ref="I915:I921" si="61">F915*H915</f>
        <v>660</v>
      </c>
      <c r="K915" s="266">
        <f>39.078*11</f>
        <v>429.85800000000006</v>
      </c>
      <c r="L915" s="237">
        <v>41366</v>
      </c>
      <c r="M915" s="1" t="s">
        <v>6024</v>
      </c>
      <c r="N915" s="235">
        <v>660</v>
      </c>
      <c r="O915" s="235">
        <f t="shared" si="58"/>
        <v>0</v>
      </c>
      <c r="P915" s="238" t="s">
        <v>3879</v>
      </c>
      <c r="Q915" s="1" t="s">
        <v>3848</v>
      </c>
      <c r="R915" s="239" t="s">
        <v>3880</v>
      </c>
      <c r="S915" s="238" t="s">
        <v>3881</v>
      </c>
      <c r="T915" s="238" t="s">
        <v>3882</v>
      </c>
      <c r="U915" s="238" t="s">
        <v>3883</v>
      </c>
      <c r="V915" s="238" t="s">
        <v>3884</v>
      </c>
      <c r="W915" s="236">
        <v>711.6</v>
      </c>
      <c r="X915" s="233">
        <v>41267</v>
      </c>
      <c r="Y915" s="238" t="s">
        <v>3885</v>
      </c>
      <c r="AB915" s="1" t="s">
        <v>3793</v>
      </c>
    </row>
    <row r="916" spans="1:28" ht="11.25" customHeight="1">
      <c r="A916" s="233">
        <v>41222</v>
      </c>
      <c r="B916" s="1" t="s">
        <v>3877</v>
      </c>
      <c r="C916" s="5" t="s">
        <v>3794</v>
      </c>
      <c r="D916" s="5" t="s">
        <v>3868</v>
      </c>
      <c r="E916" s="1">
        <v>1110</v>
      </c>
      <c r="F916" s="5">
        <v>13</v>
      </c>
      <c r="G916" s="1" t="s">
        <v>3800</v>
      </c>
      <c r="H916" s="234">
        <v>1.2</v>
      </c>
      <c r="I916" s="235">
        <f t="shared" si="61"/>
        <v>15.6</v>
      </c>
      <c r="K916" s="266">
        <f>0.77*13</f>
        <v>10.01</v>
      </c>
      <c r="L916" s="237">
        <v>41366</v>
      </c>
      <c r="M916" s="1" t="s">
        <v>6024</v>
      </c>
      <c r="N916" s="235">
        <v>15.6</v>
      </c>
      <c r="O916" s="235">
        <f t="shared" si="58"/>
        <v>0</v>
      </c>
      <c r="P916" s="238" t="s">
        <v>3879</v>
      </c>
      <c r="Q916" s="1" t="s">
        <v>3848</v>
      </c>
      <c r="R916" s="239" t="s">
        <v>3880</v>
      </c>
      <c r="S916" s="238" t="s">
        <v>3881</v>
      </c>
      <c r="T916" s="238" t="s">
        <v>3882</v>
      </c>
      <c r="U916" s="238" t="s">
        <v>3883</v>
      </c>
      <c r="V916" s="238" t="s">
        <v>3884</v>
      </c>
      <c r="W916" s="236">
        <v>711.6</v>
      </c>
      <c r="X916" s="233">
        <v>41267</v>
      </c>
      <c r="Y916" s="238" t="s">
        <v>3885</v>
      </c>
      <c r="AB916" s="1" t="s">
        <v>3793</v>
      </c>
    </row>
    <row r="917" spans="1:28" ht="12" customHeight="1">
      <c r="A917" s="233">
        <v>41222</v>
      </c>
      <c r="B917" s="1" t="s">
        <v>3877</v>
      </c>
      <c r="C917" s="5" t="s">
        <v>3794</v>
      </c>
      <c r="D917" s="5" t="s">
        <v>86</v>
      </c>
      <c r="E917" s="1">
        <v>9032</v>
      </c>
      <c r="F917" s="5">
        <v>15</v>
      </c>
      <c r="G917" s="1" t="s">
        <v>3811</v>
      </c>
      <c r="H917" s="234">
        <v>2.4</v>
      </c>
      <c r="I917" s="235">
        <f t="shared" si="61"/>
        <v>36</v>
      </c>
      <c r="K917" s="266">
        <f>1.4929*15</f>
        <v>22.3935</v>
      </c>
      <c r="L917" s="237">
        <v>41366</v>
      </c>
      <c r="M917" s="1" t="s">
        <v>6024</v>
      </c>
      <c r="N917" s="235">
        <v>36</v>
      </c>
      <c r="O917" s="235">
        <f t="shared" si="58"/>
        <v>0</v>
      </c>
      <c r="P917" s="238" t="s">
        <v>3879</v>
      </c>
      <c r="Q917" s="1" t="s">
        <v>3848</v>
      </c>
      <c r="R917" s="239" t="s">
        <v>3880</v>
      </c>
      <c r="S917" s="238" t="s">
        <v>3881</v>
      </c>
      <c r="T917" s="238" t="s">
        <v>3882</v>
      </c>
      <c r="U917" s="238" t="s">
        <v>3883</v>
      </c>
      <c r="V917" s="238" t="s">
        <v>3884</v>
      </c>
      <c r="W917" s="236">
        <v>711.6</v>
      </c>
      <c r="X917" s="233">
        <v>41267</v>
      </c>
      <c r="Y917" s="238" t="s">
        <v>3885</v>
      </c>
      <c r="AB917" s="1" t="s">
        <v>3793</v>
      </c>
    </row>
    <row r="918" spans="1:28" ht="12" customHeight="1">
      <c r="A918" s="233">
        <v>41222</v>
      </c>
      <c r="B918" s="1" t="s">
        <v>3886</v>
      </c>
      <c r="C918" s="5" t="s">
        <v>3794</v>
      </c>
      <c r="D918" s="5" t="s">
        <v>3887</v>
      </c>
      <c r="E918" s="1" t="s">
        <v>3888</v>
      </c>
      <c r="F918" s="5">
        <v>10</v>
      </c>
      <c r="G918" s="225" t="s">
        <v>3889</v>
      </c>
      <c r="H918" s="234">
        <v>35</v>
      </c>
      <c r="I918" s="235">
        <f t="shared" si="61"/>
        <v>350</v>
      </c>
      <c r="K918" s="266">
        <f>26*10</f>
        <v>260</v>
      </c>
      <c r="L918" s="245">
        <v>41226</v>
      </c>
      <c r="M918" s="5" t="s">
        <v>2243</v>
      </c>
      <c r="N918" s="235">
        <f t="shared" si="59"/>
        <v>350</v>
      </c>
      <c r="O918" s="235">
        <f t="shared" ref="O918:O936" si="62">I918-N918</f>
        <v>0</v>
      </c>
      <c r="P918" s="238" t="s">
        <v>3890</v>
      </c>
      <c r="Q918" s="1" t="s">
        <v>3798</v>
      </c>
      <c r="R918" s="239" t="s">
        <v>3891</v>
      </c>
      <c r="S918" s="238" t="s">
        <v>3892</v>
      </c>
      <c r="T918" s="238" t="s">
        <v>2257</v>
      </c>
      <c r="U918" s="238" t="s">
        <v>2257</v>
      </c>
      <c r="V918" s="238" t="s">
        <v>3893</v>
      </c>
      <c r="W918" s="236">
        <v>3831</v>
      </c>
      <c r="X918" s="233">
        <v>41227</v>
      </c>
      <c r="Y918" s="238" t="s">
        <v>3894</v>
      </c>
      <c r="AA918" s="240" t="s">
        <v>3895</v>
      </c>
      <c r="AB918" s="1" t="s">
        <v>3809</v>
      </c>
    </row>
    <row r="919" spans="1:28" ht="12" customHeight="1">
      <c r="A919" s="233">
        <v>41222</v>
      </c>
      <c r="B919" s="1" t="s">
        <v>3886</v>
      </c>
      <c r="C919" s="5" t="s">
        <v>3794</v>
      </c>
      <c r="D919" s="1" t="s">
        <v>1210</v>
      </c>
      <c r="E919" s="1">
        <v>3200</v>
      </c>
      <c r="F919" s="5">
        <v>100</v>
      </c>
      <c r="G919" s="1" t="s">
        <v>3811</v>
      </c>
      <c r="H919" s="234">
        <v>27.7</v>
      </c>
      <c r="I919" s="235">
        <f t="shared" si="61"/>
        <v>2770</v>
      </c>
      <c r="K919" s="266">
        <f>23.94*100</f>
        <v>2394</v>
      </c>
      <c r="L919" s="245">
        <v>41226</v>
      </c>
      <c r="M919" s="5" t="s">
        <v>2243</v>
      </c>
      <c r="N919" s="235">
        <f t="shared" si="59"/>
        <v>2770</v>
      </c>
      <c r="O919" s="235">
        <f t="shared" si="62"/>
        <v>0</v>
      </c>
      <c r="P919" s="238" t="s">
        <v>3890</v>
      </c>
      <c r="Q919" s="1" t="s">
        <v>3798</v>
      </c>
      <c r="R919" s="239" t="s">
        <v>3891</v>
      </c>
      <c r="S919" s="238" t="s">
        <v>3892</v>
      </c>
      <c r="T919" s="238" t="s">
        <v>2257</v>
      </c>
      <c r="U919" s="238" t="s">
        <v>2257</v>
      </c>
      <c r="V919" s="238" t="s">
        <v>3893</v>
      </c>
      <c r="W919" s="236">
        <v>3831</v>
      </c>
      <c r="X919" s="233">
        <v>41227</v>
      </c>
      <c r="Y919" s="238" t="s">
        <v>3894</v>
      </c>
      <c r="AA919" s="240" t="s">
        <v>3895</v>
      </c>
      <c r="AB919" s="1" t="s">
        <v>3809</v>
      </c>
    </row>
    <row r="920" spans="1:28" ht="11.25" customHeight="1">
      <c r="A920" s="233">
        <v>41222</v>
      </c>
      <c r="B920" s="1" t="s">
        <v>3886</v>
      </c>
      <c r="C920" s="5" t="s">
        <v>3794</v>
      </c>
      <c r="D920" s="5" t="s">
        <v>346</v>
      </c>
      <c r="E920" s="1">
        <v>3700</v>
      </c>
      <c r="F920" s="5">
        <v>100</v>
      </c>
      <c r="G920" s="1" t="s">
        <v>229</v>
      </c>
      <c r="H920" s="234">
        <v>3.49</v>
      </c>
      <c r="I920" s="235">
        <f t="shared" si="61"/>
        <v>349</v>
      </c>
      <c r="J920" s="352">
        <v>3.09</v>
      </c>
      <c r="K920" s="266">
        <f>3.09*100</f>
        <v>309</v>
      </c>
      <c r="L920" s="245">
        <v>41226</v>
      </c>
      <c r="M920" s="5" t="s">
        <v>2243</v>
      </c>
      <c r="N920" s="235">
        <f t="shared" si="59"/>
        <v>349</v>
      </c>
      <c r="O920" s="235">
        <f t="shared" si="62"/>
        <v>0</v>
      </c>
      <c r="P920" s="238" t="s">
        <v>3890</v>
      </c>
      <c r="Q920" s="1" t="s">
        <v>3798</v>
      </c>
      <c r="R920" s="239" t="s">
        <v>3891</v>
      </c>
      <c r="S920" s="238" t="s">
        <v>3892</v>
      </c>
      <c r="T920" s="238" t="s">
        <v>2257</v>
      </c>
      <c r="U920" s="238" t="s">
        <v>2257</v>
      </c>
      <c r="V920" s="238" t="s">
        <v>3893</v>
      </c>
      <c r="W920" s="236">
        <v>3831</v>
      </c>
      <c r="X920" s="233">
        <v>41227</v>
      </c>
      <c r="Y920" s="238" t="s">
        <v>3894</v>
      </c>
      <c r="AA920" s="240" t="s">
        <v>3895</v>
      </c>
      <c r="AB920" s="1" t="s">
        <v>3809</v>
      </c>
    </row>
    <row r="921" spans="1:28" ht="11.25" customHeight="1">
      <c r="A921" s="233">
        <v>41222</v>
      </c>
      <c r="B921" s="1" t="s">
        <v>3886</v>
      </c>
      <c r="C921" s="5" t="s">
        <v>3794</v>
      </c>
      <c r="D921" s="5" t="s">
        <v>2244</v>
      </c>
      <c r="E921" s="1" t="s">
        <v>2270</v>
      </c>
      <c r="F921" s="5">
        <v>200</v>
      </c>
      <c r="G921" s="1" t="s">
        <v>3802</v>
      </c>
      <c r="H921" s="234">
        <v>1.81</v>
      </c>
      <c r="I921" s="235">
        <f t="shared" si="61"/>
        <v>362</v>
      </c>
      <c r="J921" s="352">
        <v>1.54</v>
      </c>
      <c r="K921" s="266">
        <f>1.54*200</f>
        <v>308</v>
      </c>
      <c r="L921" s="245">
        <v>41226</v>
      </c>
      <c r="M921" s="5" t="s">
        <v>2243</v>
      </c>
      <c r="N921" s="235">
        <f t="shared" si="59"/>
        <v>362</v>
      </c>
      <c r="O921" s="235">
        <f t="shared" si="62"/>
        <v>0</v>
      </c>
      <c r="P921" s="238" t="s">
        <v>3890</v>
      </c>
      <c r="Q921" s="1" t="s">
        <v>3798</v>
      </c>
      <c r="R921" s="239" t="s">
        <v>3891</v>
      </c>
      <c r="S921" s="238" t="s">
        <v>3892</v>
      </c>
      <c r="T921" s="238" t="s">
        <v>2257</v>
      </c>
      <c r="U921" s="238" t="s">
        <v>2257</v>
      </c>
      <c r="V921" s="238" t="s">
        <v>3893</v>
      </c>
      <c r="W921" s="236">
        <v>3831</v>
      </c>
      <c r="X921" s="233">
        <v>41227</v>
      </c>
      <c r="Y921" s="238" t="s">
        <v>3894</v>
      </c>
      <c r="AA921" s="240" t="s">
        <v>3895</v>
      </c>
      <c r="AB921" s="1" t="s">
        <v>3809</v>
      </c>
    </row>
    <row r="922" spans="1:28" ht="11.25" customHeight="1">
      <c r="A922" s="233">
        <v>41222</v>
      </c>
      <c r="B922" s="1" t="s">
        <v>3896</v>
      </c>
      <c r="C922" s="5" t="s">
        <v>2240</v>
      </c>
      <c r="D922" s="5" t="s">
        <v>353</v>
      </c>
      <c r="E922" s="1" t="s">
        <v>2242</v>
      </c>
      <c r="F922" s="5">
        <v>8</v>
      </c>
      <c r="G922" s="1" t="s">
        <v>3811</v>
      </c>
      <c r="H922" s="234">
        <v>30</v>
      </c>
      <c r="I922" s="235">
        <f t="shared" ref="I922:I930" si="63">F922*H922</f>
        <v>240</v>
      </c>
      <c r="K922" s="266">
        <f>16.5*8</f>
        <v>132</v>
      </c>
      <c r="L922" s="237">
        <v>41222</v>
      </c>
      <c r="M922" s="236" t="s">
        <v>300</v>
      </c>
      <c r="N922" s="235">
        <f t="shared" si="59"/>
        <v>240</v>
      </c>
      <c r="O922" s="235">
        <f t="shared" si="62"/>
        <v>0</v>
      </c>
      <c r="P922" s="238" t="s">
        <v>3897</v>
      </c>
      <c r="Q922" s="1" t="s">
        <v>3798</v>
      </c>
      <c r="V922" s="238" t="s">
        <v>2266</v>
      </c>
      <c r="AB922" s="1" t="s">
        <v>382</v>
      </c>
    </row>
    <row r="923" spans="1:28" ht="12" customHeight="1">
      <c r="A923" s="233">
        <v>41222</v>
      </c>
      <c r="B923" s="1" t="s">
        <v>3896</v>
      </c>
      <c r="C923" s="5" t="s">
        <v>2240</v>
      </c>
      <c r="D923" s="5" t="s">
        <v>2244</v>
      </c>
      <c r="E923" s="1" t="s">
        <v>2245</v>
      </c>
      <c r="F923" s="5">
        <v>8</v>
      </c>
      <c r="G923" s="1" t="s">
        <v>231</v>
      </c>
      <c r="H923" s="234">
        <v>10</v>
      </c>
      <c r="I923" s="235">
        <f t="shared" si="63"/>
        <v>80</v>
      </c>
      <c r="K923" s="266">
        <f>4.78*8</f>
        <v>38.24</v>
      </c>
      <c r="L923" s="237">
        <v>41222</v>
      </c>
      <c r="M923" s="236" t="s">
        <v>300</v>
      </c>
      <c r="N923" s="235">
        <f t="shared" si="59"/>
        <v>80</v>
      </c>
      <c r="O923" s="235">
        <f t="shared" si="62"/>
        <v>0</v>
      </c>
      <c r="P923" s="238" t="s">
        <v>3897</v>
      </c>
      <c r="Q923" s="1" t="s">
        <v>3798</v>
      </c>
      <c r="V923" s="238" t="s">
        <v>2266</v>
      </c>
      <c r="AB923" s="1" t="s">
        <v>382</v>
      </c>
    </row>
    <row r="924" spans="1:28" ht="11.25" customHeight="1">
      <c r="A924" s="233">
        <v>41222</v>
      </c>
      <c r="B924" s="1" t="s">
        <v>3896</v>
      </c>
      <c r="C924" s="5" t="s">
        <v>2240</v>
      </c>
      <c r="D924" s="5" t="s">
        <v>263</v>
      </c>
      <c r="E924" s="1">
        <v>501</v>
      </c>
      <c r="F924" s="5">
        <v>8</v>
      </c>
      <c r="G924" s="1" t="s">
        <v>2086</v>
      </c>
      <c r="H924" s="234">
        <v>5</v>
      </c>
      <c r="I924" s="235">
        <f t="shared" si="63"/>
        <v>40</v>
      </c>
      <c r="J924" s="352">
        <v>1.39</v>
      </c>
      <c r="K924" s="266">
        <f>1.39*8</f>
        <v>11.12</v>
      </c>
      <c r="L924" s="237">
        <v>41222</v>
      </c>
      <c r="M924" s="236" t="s">
        <v>300</v>
      </c>
      <c r="N924" s="235">
        <f t="shared" si="59"/>
        <v>40</v>
      </c>
      <c r="O924" s="235">
        <f t="shared" si="62"/>
        <v>0</v>
      </c>
      <c r="P924" s="238" t="s">
        <v>3898</v>
      </c>
      <c r="Q924" s="1" t="s">
        <v>2212</v>
      </c>
      <c r="V924" s="238" t="s">
        <v>2488</v>
      </c>
      <c r="AB924" s="1" t="s">
        <v>382</v>
      </c>
    </row>
    <row r="925" spans="1:28" ht="11.25" customHeight="1">
      <c r="A925" s="233">
        <v>41222</v>
      </c>
      <c r="B925" s="1" t="s">
        <v>3899</v>
      </c>
      <c r="C925" s="5" t="s">
        <v>2080</v>
      </c>
      <c r="D925" s="1" t="s">
        <v>2016</v>
      </c>
      <c r="E925" s="1" t="s">
        <v>3900</v>
      </c>
      <c r="F925" s="5">
        <v>10</v>
      </c>
      <c r="G925" s="1" t="s">
        <v>2490</v>
      </c>
      <c r="H925" s="234">
        <v>3.5</v>
      </c>
      <c r="I925" s="235">
        <f t="shared" si="63"/>
        <v>35</v>
      </c>
      <c r="K925" s="266">
        <f>2.47*10</f>
        <v>24.700000000000003</v>
      </c>
      <c r="L925" s="237">
        <v>41222</v>
      </c>
      <c r="M925" s="236" t="s">
        <v>300</v>
      </c>
      <c r="N925" s="235">
        <f t="shared" si="59"/>
        <v>35</v>
      </c>
      <c r="O925" s="235">
        <f t="shared" si="62"/>
        <v>0</v>
      </c>
      <c r="P925" s="238" t="s">
        <v>3898</v>
      </c>
      <c r="Q925" s="1" t="s">
        <v>2212</v>
      </c>
      <c r="V925" s="238" t="s">
        <v>2488</v>
      </c>
      <c r="Z925" s="255" t="s">
        <v>2549</v>
      </c>
      <c r="AB925" s="1" t="s">
        <v>382</v>
      </c>
    </row>
    <row r="926" spans="1:28" ht="11.25" customHeight="1">
      <c r="A926" s="233">
        <v>41222</v>
      </c>
      <c r="B926" s="1" t="s">
        <v>3901</v>
      </c>
      <c r="C926" s="5" t="s">
        <v>2080</v>
      </c>
      <c r="D926" s="1" t="s">
        <v>1711</v>
      </c>
      <c r="E926" s="1">
        <v>8210</v>
      </c>
      <c r="F926" s="5">
        <v>50</v>
      </c>
      <c r="G926" s="1" t="s">
        <v>2086</v>
      </c>
      <c r="H926" s="234">
        <v>6</v>
      </c>
      <c r="I926" s="235">
        <f t="shared" si="63"/>
        <v>300</v>
      </c>
      <c r="K926" s="266">
        <f>3.63*50</f>
        <v>181.5</v>
      </c>
      <c r="L926" s="237">
        <v>41241</v>
      </c>
      <c r="M926" s="236" t="s">
        <v>2077</v>
      </c>
      <c r="N926" s="235">
        <f t="shared" si="59"/>
        <v>300</v>
      </c>
      <c r="O926" s="235">
        <f t="shared" si="62"/>
        <v>0</v>
      </c>
      <c r="P926" s="238" t="s">
        <v>3902</v>
      </c>
      <c r="Q926" s="1" t="s">
        <v>3782</v>
      </c>
      <c r="R926" s="239" t="s">
        <v>3903</v>
      </c>
      <c r="S926" s="238" t="s">
        <v>3904</v>
      </c>
      <c r="T926" s="238" t="s">
        <v>3905</v>
      </c>
      <c r="U926" s="238" t="s">
        <v>3906</v>
      </c>
      <c r="V926" s="238" t="s">
        <v>6117</v>
      </c>
      <c r="W926" s="236">
        <v>900</v>
      </c>
      <c r="X926" s="233">
        <v>41374</v>
      </c>
      <c r="Y926" s="238" t="s">
        <v>6118</v>
      </c>
      <c r="AB926" s="1" t="s">
        <v>2079</v>
      </c>
    </row>
    <row r="927" spans="1:28" ht="11.25" customHeight="1">
      <c r="A927" s="233">
        <v>41225</v>
      </c>
      <c r="B927" s="1" t="s">
        <v>2649</v>
      </c>
      <c r="C927" s="5" t="s">
        <v>2080</v>
      </c>
      <c r="D927" s="1" t="s">
        <v>240</v>
      </c>
      <c r="E927" s="1">
        <v>6200</v>
      </c>
      <c r="F927" s="5">
        <v>3</v>
      </c>
      <c r="G927" s="1" t="s">
        <v>2086</v>
      </c>
      <c r="H927" s="234">
        <v>0</v>
      </c>
      <c r="I927" s="235">
        <f t="shared" si="63"/>
        <v>0</v>
      </c>
      <c r="K927" s="266" t="e">
        <f>#REF!*F927</f>
        <v>#REF!</v>
      </c>
      <c r="L927" s="237">
        <v>41220</v>
      </c>
      <c r="M927" s="5" t="s">
        <v>2077</v>
      </c>
      <c r="N927" s="235">
        <f t="shared" si="59"/>
        <v>0</v>
      </c>
      <c r="O927" s="235">
        <f t="shared" si="62"/>
        <v>0</v>
      </c>
      <c r="P927" s="238" t="s">
        <v>2082</v>
      </c>
      <c r="Q927" s="1" t="s">
        <v>2212</v>
      </c>
      <c r="R927" s="239" t="s">
        <v>3148</v>
      </c>
      <c r="S927" s="238" t="s">
        <v>3149</v>
      </c>
      <c r="T927" s="239" t="s">
        <v>2082</v>
      </c>
      <c r="U927" s="239" t="s">
        <v>2082</v>
      </c>
      <c r="V927" s="238" t="s">
        <v>3907</v>
      </c>
      <c r="W927" s="236" t="s">
        <v>3908</v>
      </c>
      <c r="X927" s="233">
        <v>41229</v>
      </c>
      <c r="Y927" s="238" t="s">
        <v>3909</v>
      </c>
      <c r="AB927" s="1" t="s">
        <v>2527</v>
      </c>
    </row>
    <row r="928" spans="1:28" ht="11.25" customHeight="1">
      <c r="A928" s="233">
        <v>41225</v>
      </c>
      <c r="B928" s="1" t="s">
        <v>2649</v>
      </c>
      <c r="C928" s="5" t="s">
        <v>2080</v>
      </c>
      <c r="D928" s="5" t="s">
        <v>353</v>
      </c>
      <c r="E928" s="1" t="s">
        <v>2492</v>
      </c>
      <c r="F928" s="5">
        <v>4</v>
      </c>
      <c r="G928" s="1" t="s">
        <v>2086</v>
      </c>
      <c r="H928" s="234">
        <v>0</v>
      </c>
      <c r="I928" s="235">
        <f t="shared" si="63"/>
        <v>0</v>
      </c>
      <c r="K928" s="266">
        <v>0</v>
      </c>
      <c r="L928" s="237">
        <v>41220</v>
      </c>
      <c r="M928" s="5" t="s">
        <v>2077</v>
      </c>
      <c r="N928" s="235">
        <f t="shared" si="59"/>
        <v>0</v>
      </c>
      <c r="O928" s="235">
        <f t="shared" si="62"/>
        <v>0</v>
      </c>
      <c r="P928" s="238" t="s">
        <v>2082</v>
      </c>
      <c r="Q928" s="1" t="s">
        <v>2212</v>
      </c>
      <c r="R928" s="239" t="s">
        <v>3148</v>
      </c>
      <c r="S928" s="238" t="s">
        <v>3149</v>
      </c>
      <c r="T928" s="239" t="s">
        <v>2082</v>
      </c>
      <c r="U928" s="239" t="s">
        <v>2082</v>
      </c>
      <c r="V928" s="238" t="s">
        <v>3907</v>
      </c>
      <c r="W928" s="236" t="s">
        <v>3908</v>
      </c>
      <c r="X928" s="233">
        <v>41229</v>
      </c>
      <c r="Y928" s="238" t="s">
        <v>3909</v>
      </c>
      <c r="AB928" s="1" t="s">
        <v>2527</v>
      </c>
    </row>
    <row r="929" spans="1:28" ht="11.25" customHeight="1">
      <c r="A929" s="233">
        <v>41225</v>
      </c>
      <c r="B929" s="1" t="s">
        <v>2649</v>
      </c>
      <c r="C929" s="5" t="s">
        <v>2080</v>
      </c>
      <c r="D929" s="1" t="s">
        <v>1218</v>
      </c>
      <c r="E929" s="1">
        <v>6004</v>
      </c>
      <c r="F929" s="5">
        <v>2</v>
      </c>
      <c r="G929" s="1" t="s">
        <v>2086</v>
      </c>
      <c r="H929" s="234">
        <v>0</v>
      </c>
      <c r="I929" s="235">
        <f t="shared" si="63"/>
        <v>0</v>
      </c>
      <c r="K929" s="266">
        <v>0</v>
      </c>
      <c r="L929" s="237">
        <v>41220</v>
      </c>
      <c r="M929" s="5" t="s">
        <v>2077</v>
      </c>
      <c r="N929" s="235">
        <f t="shared" si="59"/>
        <v>0</v>
      </c>
      <c r="O929" s="235">
        <f t="shared" si="62"/>
        <v>0</v>
      </c>
      <c r="P929" s="238" t="s">
        <v>2082</v>
      </c>
      <c r="Q929" s="1" t="s">
        <v>2212</v>
      </c>
      <c r="R929" s="239" t="s">
        <v>3148</v>
      </c>
      <c r="S929" s="238" t="s">
        <v>3149</v>
      </c>
      <c r="T929" s="239" t="s">
        <v>2082</v>
      </c>
      <c r="U929" s="239" t="s">
        <v>2082</v>
      </c>
      <c r="V929" s="238" t="s">
        <v>3907</v>
      </c>
      <c r="W929" s="236" t="s">
        <v>3908</v>
      </c>
      <c r="X929" s="233">
        <v>41229</v>
      </c>
      <c r="Y929" s="238" t="s">
        <v>3909</v>
      </c>
      <c r="AB929" s="1" t="s">
        <v>2527</v>
      </c>
    </row>
    <row r="930" spans="1:28" ht="11.25" customHeight="1">
      <c r="A930" s="233">
        <v>41225</v>
      </c>
      <c r="B930" s="1" t="s">
        <v>2649</v>
      </c>
      <c r="C930" s="5" t="s">
        <v>2080</v>
      </c>
      <c r="D930" s="5" t="s">
        <v>268</v>
      </c>
      <c r="E930" s="1" t="s">
        <v>2120</v>
      </c>
      <c r="F930" s="5">
        <v>500</v>
      </c>
      <c r="G930" s="1" t="s">
        <v>2490</v>
      </c>
      <c r="H930" s="234">
        <v>1.32</v>
      </c>
      <c r="I930" s="235">
        <f t="shared" si="63"/>
        <v>660</v>
      </c>
      <c r="K930" s="266">
        <f>1.17*500</f>
        <v>585</v>
      </c>
      <c r="L930" s="237">
        <v>41221</v>
      </c>
      <c r="M930" s="5" t="s">
        <v>2077</v>
      </c>
      <c r="N930" s="235">
        <f t="shared" si="59"/>
        <v>660</v>
      </c>
      <c r="O930" s="235">
        <f t="shared" si="62"/>
        <v>0</v>
      </c>
      <c r="P930" s="238" t="s">
        <v>3910</v>
      </c>
      <c r="Q930" s="1" t="s">
        <v>2212</v>
      </c>
      <c r="R930" s="239" t="s">
        <v>3148</v>
      </c>
      <c r="S930" s="238" t="s">
        <v>3149</v>
      </c>
      <c r="T930" s="239" t="s">
        <v>2082</v>
      </c>
      <c r="U930" s="239" t="s">
        <v>2082</v>
      </c>
      <c r="V930" s="238" t="s">
        <v>3907</v>
      </c>
      <c r="W930" s="236" t="s">
        <v>3908</v>
      </c>
      <c r="X930" s="233">
        <v>41229</v>
      </c>
      <c r="Y930" s="238" t="s">
        <v>3909</v>
      </c>
      <c r="AB930" s="1" t="s">
        <v>2527</v>
      </c>
    </row>
    <row r="931" spans="1:28" ht="11.25" customHeight="1">
      <c r="A931" s="233">
        <v>41226</v>
      </c>
      <c r="B931" s="1" t="s">
        <v>2565</v>
      </c>
      <c r="C931" s="5" t="s">
        <v>3790</v>
      </c>
      <c r="D931" s="5" t="s">
        <v>1874</v>
      </c>
      <c r="E931" s="1" t="s">
        <v>2107</v>
      </c>
      <c r="F931" s="5">
        <v>50</v>
      </c>
      <c r="G931" s="1" t="s">
        <v>231</v>
      </c>
      <c r="H931" s="234">
        <v>5.2</v>
      </c>
      <c r="I931" s="235">
        <f t="shared" ref="I931:I937" si="64">F931*H931</f>
        <v>260</v>
      </c>
      <c r="K931" s="266">
        <f>4.78*50</f>
        <v>239</v>
      </c>
      <c r="L931" s="237">
        <v>41309</v>
      </c>
      <c r="M931" s="1" t="s">
        <v>165</v>
      </c>
      <c r="N931" s="235">
        <f t="shared" si="59"/>
        <v>260</v>
      </c>
      <c r="O931" s="235">
        <f t="shared" si="62"/>
        <v>0</v>
      </c>
      <c r="P931" s="238">
        <v>9015385</v>
      </c>
      <c r="Q931" s="1" t="s">
        <v>3693</v>
      </c>
      <c r="R931" s="239" t="s">
        <v>2567</v>
      </c>
      <c r="S931" s="238" t="s">
        <v>2568</v>
      </c>
      <c r="T931" s="238" t="s">
        <v>3911</v>
      </c>
      <c r="U931" s="238" t="s">
        <v>3912</v>
      </c>
      <c r="V931" s="238" t="s">
        <v>2488</v>
      </c>
      <c r="AB931" s="1" t="s">
        <v>2527</v>
      </c>
    </row>
    <row r="932" spans="1:28" ht="11.25" customHeight="1">
      <c r="A932" s="233">
        <v>41226</v>
      </c>
      <c r="B932" s="1" t="s">
        <v>2565</v>
      </c>
      <c r="C932" s="5" t="s">
        <v>3790</v>
      </c>
      <c r="D932" s="5" t="s">
        <v>353</v>
      </c>
      <c r="E932" s="1" t="s">
        <v>2492</v>
      </c>
      <c r="F932" s="5">
        <v>8</v>
      </c>
      <c r="G932" s="1" t="s">
        <v>2086</v>
      </c>
      <c r="H932" s="234">
        <v>20.75</v>
      </c>
      <c r="I932" s="235">
        <f t="shared" si="64"/>
        <v>166</v>
      </c>
      <c r="K932" s="266">
        <f>16.5*8</f>
        <v>132</v>
      </c>
      <c r="L932" s="237">
        <v>41309</v>
      </c>
      <c r="M932" s="1" t="s">
        <v>165</v>
      </c>
      <c r="N932" s="235">
        <f t="shared" si="59"/>
        <v>166</v>
      </c>
      <c r="O932" s="235">
        <f t="shared" si="62"/>
        <v>0</v>
      </c>
      <c r="P932" s="238" t="s">
        <v>3913</v>
      </c>
      <c r="Q932" s="1" t="s">
        <v>3693</v>
      </c>
      <c r="R932" s="239" t="s">
        <v>2567</v>
      </c>
      <c r="S932" s="238" t="s">
        <v>2568</v>
      </c>
      <c r="T932" s="238" t="s">
        <v>3911</v>
      </c>
      <c r="U932" s="238" t="s">
        <v>3912</v>
      </c>
      <c r="V932" s="238" t="s">
        <v>2488</v>
      </c>
      <c r="AB932" s="1" t="s">
        <v>2527</v>
      </c>
    </row>
    <row r="933" spans="1:28" ht="11.25" customHeight="1">
      <c r="A933" s="233">
        <v>41226</v>
      </c>
      <c r="B933" s="1" t="s">
        <v>2565</v>
      </c>
      <c r="C933" s="5" t="s">
        <v>3790</v>
      </c>
      <c r="D933" s="5" t="s">
        <v>2012</v>
      </c>
      <c r="E933" s="1" t="s">
        <v>2489</v>
      </c>
      <c r="F933" s="5">
        <v>800</v>
      </c>
      <c r="G933" s="1" t="s">
        <v>4970</v>
      </c>
      <c r="H933" s="234">
        <v>1.59</v>
      </c>
      <c r="I933" s="235">
        <f t="shared" si="64"/>
        <v>1272</v>
      </c>
      <c r="J933" s="360">
        <v>1.46</v>
      </c>
      <c r="K933" s="266">
        <f>1.46*800</f>
        <v>1168</v>
      </c>
      <c r="L933" s="237">
        <v>41313</v>
      </c>
      <c r="M933" s="1" t="s">
        <v>165</v>
      </c>
      <c r="N933" s="235">
        <f t="shared" si="59"/>
        <v>1272</v>
      </c>
      <c r="O933" s="235">
        <f t="shared" si="62"/>
        <v>0</v>
      </c>
      <c r="P933" s="238">
        <v>9015385</v>
      </c>
      <c r="Q933" s="1" t="s">
        <v>3693</v>
      </c>
      <c r="R933" s="239" t="s">
        <v>2567</v>
      </c>
      <c r="S933" s="238" t="s">
        <v>2568</v>
      </c>
      <c r="T933" s="238" t="s">
        <v>3911</v>
      </c>
      <c r="U933" s="238" t="s">
        <v>3912</v>
      </c>
      <c r="V933" s="238" t="s">
        <v>2488</v>
      </c>
      <c r="AB933" s="1" t="s">
        <v>2527</v>
      </c>
    </row>
    <row r="934" spans="1:28" ht="11.25" customHeight="1">
      <c r="A934" s="233">
        <v>41226</v>
      </c>
      <c r="B934" s="1" t="s">
        <v>2692</v>
      </c>
      <c r="C934" s="5" t="s">
        <v>3914</v>
      </c>
      <c r="D934" s="5" t="s">
        <v>1932</v>
      </c>
      <c r="E934" s="1" t="s">
        <v>3915</v>
      </c>
      <c r="F934" s="5">
        <v>22</v>
      </c>
      <c r="G934" s="1" t="s">
        <v>1231</v>
      </c>
      <c r="H934" s="234">
        <v>130</v>
      </c>
      <c r="I934" s="235">
        <f t="shared" si="64"/>
        <v>2860</v>
      </c>
      <c r="K934" s="266">
        <f>103.6*22</f>
        <v>2279.1999999999998</v>
      </c>
      <c r="L934" s="237">
        <v>41221</v>
      </c>
      <c r="M934" s="1" t="s">
        <v>2077</v>
      </c>
      <c r="N934" s="235">
        <f t="shared" si="59"/>
        <v>2860</v>
      </c>
      <c r="O934" s="235">
        <f t="shared" si="62"/>
        <v>0</v>
      </c>
      <c r="P934" s="238" t="s">
        <v>3916</v>
      </c>
      <c r="Q934" s="1" t="s">
        <v>3664</v>
      </c>
      <c r="R934" s="239" t="s">
        <v>2688</v>
      </c>
      <c r="S934" s="238" t="s">
        <v>2689</v>
      </c>
      <c r="T934" s="238" t="s">
        <v>2557</v>
      </c>
      <c r="U934" s="238" t="s">
        <v>3917</v>
      </c>
      <c r="V934" s="238" t="s">
        <v>3918</v>
      </c>
      <c r="W934" s="236">
        <v>2881.75</v>
      </c>
      <c r="X934" s="233">
        <v>41226</v>
      </c>
      <c r="Y934" s="238" t="s">
        <v>3919</v>
      </c>
      <c r="AB934" s="1" t="s">
        <v>2527</v>
      </c>
    </row>
    <row r="935" spans="1:28" ht="12" customHeight="1">
      <c r="A935" s="233">
        <v>41226</v>
      </c>
      <c r="B935" s="1" t="s">
        <v>2692</v>
      </c>
      <c r="C935" s="5" t="s">
        <v>3790</v>
      </c>
      <c r="D935" s="5" t="s">
        <v>32</v>
      </c>
      <c r="E935" s="1">
        <v>11394</v>
      </c>
      <c r="F935" s="5">
        <v>1</v>
      </c>
      <c r="G935" s="1" t="s">
        <v>2398</v>
      </c>
      <c r="H935" s="234">
        <v>21.75</v>
      </c>
      <c r="I935" s="235">
        <f t="shared" si="64"/>
        <v>21.75</v>
      </c>
      <c r="K935" s="266">
        <f>18.78</f>
        <v>18.78</v>
      </c>
      <c r="N935" s="235">
        <v>0</v>
      </c>
      <c r="O935" s="235">
        <f t="shared" si="62"/>
        <v>21.75</v>
      </c>
      <c r="P935" s="238" t="s">
        <v>3916</v>
      </c>
      <c r="Q935" s="1" t="s">
        <v>3664</v>
      </c>
      <c r="R935" s="239" t="s">
        <v>2688</v>
      </c>
      <c r="S935" s="238" t="s">
        <v>2689</v>
      </c>
      <c r="T935" s="238" t="s">
        <v>2557</v>
      </c>
      <c r="U935" s="238" t="s">
        <v>3917</v>
      </c>
      <c r="V935" s="238" t="s">
        <v>3918</v>
      </c>
      <c r="W935" s="236">
        <v>2881.75</v>
      </c>
      <c r="X935" s="233">
        <v>41226</v>
      </c>
      <c r="Y935" s="238" t="s">
        <v>3919</v>
      </c>
      <c r="AB935" s="1" t="s">
        <v>2527</v>
      </c>
    </row>
    <row r="936" spans="1:28" ht="11.25" customHeight="1">
      <c r="A936" s="233">
        <v>41226</v>
      </c>
      <c r="B936" s="1" t="s">
        <v>3515</v>
      </c>
      <c r="C936" s="5" t="s">
        <v>3920</v>
      </c>
      <c r="D936" s="5" t="s">
        <v>1922</v>
      </c>
      <c r="E936" s="1">
        <v>301508</v>
      </c>
      <c r="F936" s="5">
        <v>449</v>
      </c>
      <c r="G936" s="1" t="s">
        <v>2823</v>
      </c>
      <c r="H936" s="234">
        <v>140</v>
      </c>
      <c r="I936" s="235">
        <f t="shared" si="64"/>
        <v>62860</v>
      </c>
      <c r="K936" s="266">
        <f>7*91.5+88.66*246+88.7*178+89.66*16</f>
        <v>39674.019999999997</v>
      </c>
      <c r="M936" s="1" t="s">
        <v>166</v>
      </c>
      <c r="N936" s="235">
        <v>50970.6</v>
      </c>
      <c r="O936" s="235">
        <f t="shared" si="62"/>
        <v>11889.400000000001</v>
      </c>
      <c r="P936" s="238" t="s">
        <v>3921</v>
      </c>
      <c r="Q936" s="1" t="s">
        <v>2505</v>
      </c>
      <c r="R936" s="239" t="s">
        <v>3922</v>
      </c>
      <c r="S936" s="238" t="s">
        <v>3923</v>
      </c>
      <c r="T936" s="238" t="s">
        <v>3924</v>
      </c>
      <c r="U936" s="238" t="s">
        <v>2082</v>
      </c>
      <c r="V936" s="238" t="s">
        <v>3925</v>
      </c>
      <c r="W936" s="236">
        <v>68170</v>
      </c>
      <c r="X936" s="233">
        <v>41257</v>
      </c>
      <c r="Y936" s="238" t="s">
        <v>1555</v>
      </c>
      <c r="AB936" s="1" t="s">
        <v>2079</v>
      </c>
    </row>
    <row r="937" spans="1:28" ht="12" customHeight="1">
      <c r="A937" s="233">
        <v>41226</v>
      </c>
      <c r="B937" s="1" t="s">
        <v>3759</v>
      </c>
      <c r="C937" s="5" t="s">
        <v>3790</v>
      </c>
      <c r="D937" s="5" t="s">
        <v>1908</v>
      </c>
      <c r="E937" s="1">
        <v>8246</v>
      </c>
      <c r="F937" s="5">
        <v>240</v>
      </c>
      <c r="G937" s="1" t="s">
        <v>5603</v>
      </c>
      <c r="H937" s="234">
        <v>12.74</v>
      </c>
      <c r="I937" s="236">
        <f t="shared" si="64"/>
        <v>3057.6</v>
      </c>
      <c r="K937" s="266">
        <f>12.15*240</f>
        <v>2916</v>
      </c>
      <c r="L937" s="237">
        <v>41226</v>
      </c>
      <c r="M937" s="1" t="s">
        <v>2077</v>
      </c>
      <c r="N937" s="235">
        <f t="shared" si="59"/>
        <v>3057.6</v>
      </c>
      <c r="O937" s="235">
        <f t="shared" ref="O937:O999" si="65">I937-N937</f>
        <v>0</v>
      </c>
      <c r="P937" s="238" t="s">
        <v>3926</v>
      </c>
      <c r="Q937" s="1" t="s">
        <v>3664</v>
      </c>
      <c r="R937" s="239" t="s">
        <v>3761</v>
      </c>
      <c r="S937" s="238" t="s">
        <v>3762</v>
      </c>
      <c r="T937" s="238" t="s">
        <v>2557</v>
      </c>
      <c r="U937" s="238" t="s">
        <v>3927</v>
      </c>
      <c r="V937" s="238" t="s">
        <v>3764</v>
      </c>
      <c r="W937" s="236" t="s">
        <v>3765</v>
      </c>
      <c r="X937" s="233">
        <v>41234</v>
      </c>
      <c r="Y937" s="238" t="s">
        <v>3766</v>
      </c>
      <c r="AB937" s="1" t="s">
        <v>2527</v>
      </c>
    </row>
    <row r="938" spans="1:28" ht="12" customHeight="1">
      <c r="A938" s="233">
        <v>41227</v>
      </c>
      <c r="B938" s="1" t="s">
        <v>3928</v>
      </c>
      <c r="C938" s="5" t="s">
        <v>3790</v>
      </c>
      <c r="D938" s="5" t="s">
        <v>2013</v>
      </c>
      <c r="E938" s="1" t="s">
        <v>3137</v>
      </c>
      <c r="F938" s="5">
        <v>100</v>
      </c>
      <c r="G938" s="1" t="s">
        <v>3129</v>
      </c>
      <c r="H938" s="234">
        <v>34.18</v>
      </c>
      <c r="I938" s="235">
        <f>F938*H938</f>
        <v>3418</v>
      </c>
      <c r="K938" s="266">
        <f>33.111*100</f>
        <v>3311.1</v>
      </c>
      <c r="L938" s="237">
        <v>41226</v>
      </c>
      <c r="M938" s="1" t="s">
        <v>2077</v>
      </c>
      <c r="N938" s="235">
        <f t="shared" si="59"/>
        <v>3418</v>
      </c>
      <c r="O938" s="235">
        <f t="shared" si="65"/>
        <v>0</v>
      </c>
      <c r="P938" s="238" t="s">
        <v>3929</v>
      </c>
      <c r="Q938" s="1" t="s">
        <v>3930</v>
      </c>
      <c r="R938" s="239" t="s">
        <v>3931</v>
      </c>
      <c r="S938" s="238" t="s">
        <v>3932</v>
      </c>
      <c r="T938" s="238" t="s">
        <v>3933</v>
      </c>
      <c r="U938" s="238" t="s">
        <v>3934</v>
      </c>
      <c r="V938" s="238" t="s">
        <v>3935</v>
      </c>
      <c r="W938" s="236">
        <v>3418</v>
      </c>
      <c r="X938" s="233">
        <v>41242</v>
      </c>
      <c r="Y938" s="238" t="s">
        <v>3936</v>
      </c>
      <c r="AB938" s="1" t="s">
        <v>2527</v>
      </c>
    </row>
    <row r="939" spans="1:28" ht="11.25" customHeight="1">
      <c r="A939" s="233">
        <v>41227</v>
      </c>
      <c r="B939" s="1" t="s">
        <v>3344</v>
      </c>
      <c r="C939" s="5" t="s">
        <v>2080</v>
      </c>
      <c r="D939" s="5" t="s">
        <v>2013</v>
      </c>
      <c r="E939" s="1" t="s">
        <v>3137</v>
      </c>
      <c r="F939" s="5">
        <v>-100</v>
      </c>
      <c r="G939" s="1" t="s">
        <v>236</v>
      </c>
      <c r="H939" s="234">
        <v>38.26</v>
      </c>
      <c r="I939" s="236">
        <f>H939*F939</f>
        <v>-3826</v>
      </c>
      <c r="K939" s="266">
        <f>33.111*F939</f>
        <v>-3311.1</v>
      </c>
      <c r="L939" s="237">
        <v>41163</v>
      </c>
      <c r="M939" s="1" t="s">
        <v>2327</v>
      </c>
      <c r="N939" s="235">
        <f t="shared" si="59"/>
        <v>-3826</v>
      </c>
      <c r="O939" s="235">
        <f t="shared" si="65"/>
        <v>0</v>
      </c>
      <c r="P939" s="238" t="s">
        <v>2082</v>
      </c>
      <c r="Q939" s="1" t="s">
        <v>3345</v>
      </c>
      <c r="R939" s="10" t="s">
        <v>3346</v>
      </c>
      <c r="S939" s="10">
        <v>13896055976</v>
      </c>
      <c r="T939" s="238" t="s">
        <v>3347</v>
      </c>
      <c r="U939" s="238" t="s">
        <v>3348</v>
      </c>
      <c r="V939" s="238" t="s">
        <v>2488</v>
      </c>
      <c r="AA939" s="240" t="s">
        <v>2542</v>
      </c>
      <c r="AB939" s="1" t="s">
        <v>2527</v>
      </c>
    </row>
    <row r="940" spans="1:28" ht="11.25" customHeight="1">
      <c r="A940" s="233">
        <v>41227</v>
      </c>
      <c r="B940" s="1" t="s">
        <v>2812</v>
      </c>
      <c r="C940" s="5" t="s">
        <v>2080</v>
      </c>
      <c r="D940" s="1" t="s">
        <v>2018</v>
      </c>
      <c r="E940" s="1" t="s">
        <v>2597</v>
      </c>
      <c r="F940" s="5">
        <v>500</v>
      </c>
      <c r="G940" s="1" t="s">
        <v>2086</v>
      </c>
      <c r="H940" s="234">
        <v>1.75</v>
      </c>
      <c r="I940" s="235">
        <f t="shared" ref="I940:I945" si="66">F940*H940</f>
        <v>875</v>
      </c>
      <c r="K940" s="266">
        <f>1.65*500</f>
        <v>825</v>
      </c>
      <c r="L940" s="237">
        <v>41226</v>
      </c>
      <c r="M940" s="1" t="s">
        <v>2077</v>
      </c>
      <c r="N940" s="235">
        <f t="shared" si="59"/>
        <v>875</v>
      </c>
      <c r="O940" s="235">
        <f t="shared" si="65"/>
        <v>0</v>
      </c>
      <c r="P940" s="238" t="s">
        <v>3937</v>
      </c>
      <c r="Q940" s="1" t="s">
        <v>3596</v>
      </c>
      <c r="R940" s="239" t="s">
        <v>2814</v>
      </c>
      <c r="S940" s="238" t="s">
        <v>3938</v>
      </c>
      <c r="T940" s="238" t="s">
        <v>2815</v>
      </c>
      <c r="U940" s="238" t="s">
        <v>3939</v>
      </c>
      <c r="V940" s="238" t="s">
        <v>5533</v>
      </c>
      <c r="W940" s="236">
        <v>2435</v>
      </c>
      <c r="X940" s="233">
        <v>41347</v>
      </c>
      <c r="Y940" s="238" t="s">
        <v>5534</v>
      </c>
      <c r="AB940" s="1" t="s">
        <v>2527</v>
      </c>
    </row>
    <row r="941" spans="1:28" ht="11.25" customHeight="1">
      <c r="A941" s="233">
        <v>41227</v>
      </c>
      <c r="B941" s="1" t="s">
        <v>2649</v>
      </c>
      <c r="C941" s="5" t="s">
        <v>2080</v>
      </c>
      <c r="D941" s="1" t="s">
        <v>240</v>
      </c>
      <c r="E941" s="1">
        <v>6200</v>
      </c>
      <c r="F941" s="5">
        <v>50</v>
      </c>
      <c r="G941" s="1" t="s">
        <v>2086</v>
      </c>
      <c r="H941" s="234">
        <v>46</v>
      </c>
      <c r="I941" s="235">
        <f t="shared" si="66"/>
        <v>2300</v>
      </c>
      <c r="J941" s="352">
        <v>42.7</v>
      </c>
      <c r="K941" s="266" t="e">
        <f>#REF!*F941</f>
        <v>#REF!</v>
      </c>
      <c r="L941" s="237">
        <v>41227</v>
      </c>
      <c r="M941" s="1" t="s">
        <v>2077</v>
      </c>
      <c r="N941" s="235">
        <f t="shared" si="59"/>
        <v>2300</v>
      </c>
      <c r="O941" s="235">
        <f t="shared" si="65"/>
        <v>0</v>
      </c>
      <c r="P941" s="238" t="s">
        <v>3940</v>
      </c>
      <c r="Q941" s="1" t="s">
        <v>2212</v>
      </c>
      <c r="R941" s="239" t="s">
        <v>3148</v>
      </c>
      <c r="S941" s="238" t="s">
        <v>3149</v>
      </c>
      <c r="T941" s="239" t="s">
        <v>2082</v>
      </c>
      <c r="U941" s="239" t="s">
        <v>2082</v>
      </c>
      <c r="V941" s="238" t="s">
        <v>3907</v>
      </c>
      <c r="W941" s="236" t="s">
        <v>3908</v>
      </c>
      <c r="X941" s="233">
        <v>41229</v>
      </c>
      <c r="Y941" s="238" t="s">
        <v>3909</v>
      </c>
      <c r="AB941" s="1" t="s">
        <v>2527</v>
      </c>
    </row>
    <row r="942" spans="1:28" ht="11.25" customHeight="1">
      <c r="A942" s="233">
        <v>41227</v>
      </c>
      <c r="B942" s="1" t="s">
        <v>2649</v>
      </c>
      <c r="C942" s="5" t="s">
        <v>2080</v>
      </c>
      <c r="D942" s="5" t="s">
        <v>353</v>
      </c>
      <c r="E942" s="1" t="s">
        <v>2492</v>
      </c>
      <c r="F942" s="5">
        <v>200</v>
      </c>
      <c r="G942" s="1" t="s">
        <v>2086</v>
      </c>
      <c r="H942" s="234">
        <v>18</v>
      </c>
      <c r="I942" s="235">
        <f t="shared" si="66"/>
        <v>3600</v>
      </c>
      <c r="K942" s="266">
        <f>16.5*200</f>
        <v>3300</v>
      </c>
      <c r="L942" s="237">
        <v>41227</v>
      </c>
      <c r="M942" s="1" t="s">
        <v>2077</v>
      </c>
      <c r="N942" s="235">
        <f t="shared" si="59"/>
        <v>3600</v>
      </c>
      <c r="O942" s="235">
        <f t="shared" si="65"/>
        <v>0</v>
      </c>
      <c r="P942" s="238" t="s">
        <v>3940</v>
      </c>
      <c r="Q942" s="1" t="s">
        <v>2212</v>
      </c>
      <c r="R942" s="239" t="s">
        <v>3148</v>
      </c>
      <c r="S942" s="238" t="s">
        <v>3149</v>
      </c>
      <c r="T942" s="239" t="s">
        <v>2082</v>
      </c>
      <c r="U942" s="239" t="s">
        <v>2082</v>
      </c>
      <c r="V942" s="238" t="s">
        <v>3907</v>
      </c>
      <c r="W942" s="236" t="s">
        <v>3908</v>
      </c>
      <c r="X942" s="233">
        <v>41229</v>
      </c>
      <c r="Y942" s="238" t="s">
        <v>3909</v>
      </c>
      <c r="AB942" s="1" t="s">
        <v>2527</v>
      </c>
    </row>
    <row r="943" spans="1:28" ht="11.25" customHeight="1">
      <c r="A943" s="233">
        <v>41227</v>
      </c>
      <c r="B943" s="1" t="s">
        <v>2649</v>
      </c>
      <c r="C943" s="5" t="s">
        <v>2080</v>
      </c>
      <c r="D943" s="5" t="s">
        <v>1874</v>
      </c>
      <c r="E943" s="1" t="s">
        <v>2107</v>
      </c>
      <c r="F943" s="5">
        <v>100</v>
      </c>
      <c r="G943" s="1" t="s">
        <v>231</v>
      </c>
      <c r="H943" s="234">
        <v>5.0999999999999996</v>
      </c>
      <c r="I943" s="235">
        <f t="shared" si="66"/>
        <v>509.99999999999994</v>
      </c>
      <c r="K943" s="266">
        <f>4.78*100</f>
        <v>478</v>
      </c>
      <c r="L943" s="237">
        <v>41227</v>
      </c>
      <c r="M943" s="1" t="s">
        <v>2077</v>
      </c>
      <c r="N943" s="235">
        <f t="shared" si="59"/>
        <v>509.99999999999994</v>
      </c>
      <c r="O943" s="235">
        <f t="shared" si="65"/>
        <v>0</v>
      </c>
      <c r="P943" s="238" t="s">
        <v>3940</v>
      </c>
      <c r="Q943" s="1" t="s">
        <v>2212</v>
      </c>
      <c r="R943" s="239" t="s">
        <v>3148</v>
      </c>
      <c r="S943" s="238" t="s">
        <v>3149</v>
      </c>
      <c r="T943" s="239" t="s">
        <v>2082</v>
      </c>
      <c r="U943" s="239" t="s">
        <v>2082</v>
      </c>
      <c r="V943" s="238" t="s">
        <v>3907</v>
      </c>
      <c r="W943" s="236" t="s">
        <v>3908</v>
      </c>
      <c r="X943" s="233">
        <v>41229</v>
      </c>
      <c r="Y943" s="238" t="s">
        <v>3909</v>
      </c>
      <c r="AB943" s="1" t="s">
        <v>2527</v>
      </c>
    </row>
    <row r="944" spans="1:28" ht="11.25" customHeight="1">
      <c r="A944" s="233">
        <v>41227</v>
      </c>
      <c r="B944" s="1" t="s">
        <v>2649</v>
      </c>
      <c r="C944" s="5" t="s">
        <v>2080</v>
      </c>
      <c r="D944" s="5" t="s">
        <v>2039</v>
      </c>
      <c r="E944" s="1" t="s">
        <v>3941</v>
      </c>
      <c r="F944" s="5">
        <v>10</v>
      </c>
      <c r="G944" s="1" t="s">
        <v>2398</v>
      </c>
      <c r="H944" s="234">
        <v>43</v>
      </c>
      <c r="I944" s="235">
        <f t="shared" si="66"/>
        <v>430</v>
      </c>
      <c r="K944" s="266">
        <f>30*9+52*1</f>
        <v>322</v>
      </c>
      <c r="L944" s="237">
        <v>41227</v>
      </c>
      <c r="M944" s="1" t="s">
        <v>2077</v>
      </c>
      <c r="N944" s="235">
        <f t="shared" si="59"/>
        <v>430</v>
      </c>
      <c r="O944" s="235">
        <f t="shared" si="65"/>
        <v>0</v>
      </c>
      <c r="P944" s="238" t="s">
        <v>3940</v>
      </c>
      <c r="Q944" s="1" t="s">
        <v>2212</v>
      </c>
      <c r="R944" s="239" t="s">
        <v>3148</v>
      </c>
      <c r="S944" s="238" t="s">
        <v>3149</v>
      </c>
      <c r="T944" s="239" t="s">
        <v>2082</v>
      </c>
      <c r="U944" s="239" t="s">
        <v>2082</v>
      </c>
      <c r="V944" s="238" t="s">
        <v>3907</v>
      </c>
      <c r="W944" s="236" t="s">
        <v>3908</v>
      </c>
      <c r="X944" s="233">
        <v>41229</v>
      </c>
      <c r="Y944" s="238" t="s">
        <v>3909</v>
      </c>
      <c r="Z944" s="255" t="s">
        <v>3942</v>
      </c>
      <c r="AB944" s="1" t="s">
        <v>2527</v>
      </c>
    </row>
    <row r="945" spans="1:28" ht="11.25" customHeight="1">
      <c r="A945" s="233">
        <v>41227</v>
      </c>
      <c r="B945" s="1" t="s">
        <v>3668</v>
      </c>
      <c r="C945" s="5" t="s">
        <v>3790</v>
      </c>
      <c r="D945" s="1" t="s">
        <v>692</v>
      </c>
      <c r="E945" s="1" t="s">
        <v>2544</v>
      </c>
      <c r="F945" s="5">
        <v>100</v>
      </c>
      <c r="G945" s="1" t="s">
        <v>239</v>
      </c>
      <c r="H945" s="234">
        <v>2.5</v>
      </c>
      <c r="I945" s="235">
        <f t="shared" si="66"/>
        <v>250</v>
      </c>
      <c r="K945" s="266">
        <f>1.54*100</f>
        <v>154</v>
      </c>
      <c r="L945" s="237">
        <v>41339</v>
      </c>
      <c r="M945" s="1" t="s">
        <v>166</v>
      </c>
      <c r="N945" s="235">
        <f t="shared" si="59"/>
        <v>250</v>
      </c>
      <c r="O945" s="235">
        <f t="shared" si="65"/>
        <v>0</v>
      </c>
      <c r="P945" s="238" t="s">
        <v>3943</v>
      </c>
      <c r="Q945" s="1" t="s">
        <v>3782</v>
      </c>
      <c r="R945" s="239" t="s">
        <v>3670</v>
      </c>
      <c r="S945" s="238" t="s">
        <v>3671</v>
      </c>
      <c r="T945" s="238" t="s">
        <v>3672</v>
      </c>
      <c r="U945" s="238" t="s">
        <v>3944</v>
      </c>
      <c r="V945" s="238" t="s">
        <v>3945</v>
      </c>
      <c r="W945" s="236">
        <v>3985</v>
      </c>
      <c r="X945" s="233">
        <v>41267</v>
      </c>
      <c r="Y945" s="238" t="s">
        <v>5291</v>
      </c>
      <c r="AB945" s="1" t="s">
        <v>2079</v>
      </c>
    </row>
    <row r="946" spans="1:28" ht="11.25" customHeight="1">
      <c r="A946" s="233">
        <v>41227</v>
      </c>
      <c r="B946" s="1" t="s">
        <v>2565</v>
      </c>
      <c r="C946" s="5" t="s">
        <v>3790</v>
      </c>
      <c r="D946" s="5" t="s">
        <v>983</v>
      </c>
      <c r="E946" s="1">
        <v>6800</v>
      </c>
      <c r="F946" s="5">
        <v>6</v>
      </c>
      <c r="G946" s="1" t="s">
        <v>2086</v>
      </c>
      <c r="H946" s="234">
        <v>442</v>
      </c>
      <c r="I946" s="235">
        <f t="shared" ref="I946:I954" si="67">F946*H946</f>
        <v>2652</v>
      </c>
      <c r="K946" s="266">
        <f>418*6</f>
        <v>2508</v>
      </c>
      <c r="L946" s="237">
        <v>41313</v>
      </c>
      <c r="M946" s="1" t="s">
        <v>165</v>
      </c>
      <c r="N946" s="235">
        <f t="shared" si="59"/>
        <v>2652</v>
      </c>
      <c r="O946" s="235">
        <f t="shared" si="65"/>
        <v>0</v>
      </c>
      <c r="P946" s="238">
        <v>9015385</v>
      </c>
      <c r="Q946" s="1" t="s">
        <v>3946</v>
      </c>
      <c r="R946" s="239" t="s">
        <v>2567</v>
      </c>
      <c r="S946" s="238" t="s">
        <v>2568</v>
      </c>
      <c r="T946" s="238" t="s">
        <v>3911</v>
      </c>
      <c r="U946" s="238" t="s">
        <v>3947</v>
      </c>
      <c r="V946" s="238" t="s">
        <v>2488</v>
      </c>
      <c r="AB946" s="1" t="s">
        <v>2527</v>
      </c>
    </row>
    <row r="947" spans="1:28" ht="11.25" customHeight="1">
      <c r="A947" s="233">
        <v>41228</v>
      </c>
      <c r="B947" s="1" t="s">
        <v>3948</v>
      </c>
      <c r="C947" s="5" t="s">
        <v>3790</v>
      </c>
      <c r="D947" s="5" t="s">
        <v>1867</v>
      </c>
      <c r="E947" s="1">
        <v>6006</v>
      </c>
      <c r="F947" s="5">
        <v>500</v>
      </c>
      <c r="G947" s="1" t="s">
        <v>2086</v>
      </c>
      <c r="H947" s="234">
        <v>50.5</v>
      </c>
      <c r="I947" s="235">
        <f t="shared" si="67"/>
        <v>25250</v>
      </c>
      <c r="K947" s="266">
        <f>49.78*204+296*48</f>
        <v>24363.120000000003</v>
      </c>
      <c r="L947" s="237">
        <v>41229</v>
      </c>
      <c r="M947" s="1" t="s">
        <v>2077</v>
      </c>
      <c r="N947" s="235">
        <f t="shared" si="59"/>
        <v>25250</v>
      </c>
      <c r="O947" s="235">
        <f t="shared" si="65"/>
        <v>0</v>
      </c>
      <c r="P947" s="238" t="s">
        <v>2082</v>
      </c>
      <c r="Q947" s="1" t="s">
        <v>2505</v>
      </c>
      <c r="R947" s="239" t="s">
        <v>2082</v>
      </c>
      <c r="S947" s="238">
        <v>13368068212</v>
      </c>
      <c r="T947" s="238" t="s">
        <v>2082</v>
      </c>
      <c r="U947" s="238" t="s">
        <v>2082</v>
      </c>
      <c r="V947" s="238" t="s">
        <v>3949</v>
      </c>
      <c r="W947" s="236" t="s">
        <v>3950</v>
      </c>
      <c r="X947" s="233">
        <v>41229</v>
      </c>
      <c r="Y947" s="238" t="s">
        <v>3951</v>
      </c>
      <c r="AB947" s="1" t="s">
        <v>2527</v>
      </c>
    </row>
    <row r="948" spans="1:28" ht="11.25" customHeight="1">
      <c r="A948" s="233">
        <v>41228</v>
      </c>
      <c r="B948" s="1" t="s">
        <v>3412</v>
      </c>
      <c r="C948" s="5" t="s">
        <v>3790</v>
      </c>
      <c r="D948" s="5" t="s">
        <v>2009</v>
      </c>
      <c r="E948" s="1" t="s">
        <v>2081</v>
      </c>
      <c r="F948" s="5">
        <v>3</v>
      </c>
      <c r="G948" s="232" t="s">
        <v>3952</v>
      </c>
      <c r="H948" s="234">
        <v>45</v>
      </c>
      <c r="I948" s="235">
        <f t="shared" si="67"/>
        <v>135</v>
      </c>
      <c r="J948" s="352">
        <v>30.15</v>
      </c>
      <c r="K948" s="266">
        <f>30.15*3</f>
        <v>90.449999999999989</v>
      </c>
      <c r="L948" s="237">
        <v>41228</v>
      </c>
      <c r="M948" s="1" t="s">
        <v>2327</v>
      </c>
      <c r="N948" s="235">
        <f t="shared" si="59"/>
        <v>135</v>
      </c>
      <c r="O948" s="235">
        <f t="shared" si="65"/>
        <v>0</v>
      </c>
      <c r="P948" s="238" t="s">
        <v>3953</v>
      </c>
      <c r="Q948" s="1" t="s">
        <v>2593</v>
      </c>
      <c r="R948" s="239" t="s">
        <v>2934</v>
      </c>
      <c r="S948" s="238" t="s">
        <v>3954</v>
      </c>
      <c r="T948" s="238" t="s">
        <v>3955</v>
      </c>
      <c r="U948" s="238" t="s">
        <v>3956</v>
      </c>
      <c r="V948" s="246" t="s">
        <v>3418</v>
      </c>
      <c r="W948" s="236">
        <v>2365</v>
      </c>
      <c r="X948" s="233">
        <v>41234</v>
      </c>
      <c r="Y948" s="238" t="s">
        <v>3419</v>
      </c>
      <c r="AB948" s="1" t="s">
        <v>2079</v>
      </c>
    </row>
    <row r="949" spans="1:28" ht="11.25" customHeight="1">
      <c r="A949" s="233">
        <v>41228</v>
      </c>
      <c r="B949" s="1" t="s">
        <v>3957</v>
      </c>
      <c r="C949" s="5" t="s">
        <v>3790</v>
      </c>
      <c r="D949" s="5" t="s">
        <v>2014</v>
      </c>
      <c r="E949" s="1">
        <v>7502</v>
      </c>
      <c r="F949" s="5">
        <v>3</v>
      </c>
      <c r="G949" s="1" t="s">
        <v>2086</v>
      </c>
      <c r="H949" s="234">
        <v>158.30000000000001</v>
      </c>
      <c r="I949" s="235">
        <f t="shared" si="67"/>
        <v>474.90000000000003</v>
      </c>
      <c r="J949" s="352">
        <v>105</v>
      </c>
      <c r="K949" s="241">
        <f>105*3</f>
        <v>315</v>
      </c>
      <c r="L949" s="237">
        <v>41228</v>
      </c>
      <c r="M949" s="1" t="s">
        <v>2390</v>
      </c>
      <c r="N949" s="235">
        <f t="shared" si="59"/>
        <v>474.90000000000003</v>
      </c>
      <c r="O949" s="235">
        <f t="shared" si="65"/>
        <v>0</v>
      </c>
      <c r="P949" s="238" t="s">
        <v>3958</v>
      </c>
      <c r="Q949" s="1" t="s">
        <v>2212</v>
      </c>
      <c r="R949" s="239" t="s">
        <v>3959</v>
      </c>
      <c r="S949" s="238" t="s">
        <v>3960</v>
      </c>
      <c r="T949" s="238" t="s">
        <v>3961</v>
      </c>
      <c r="U949" s="239" t="s">
        <v>2082</v>
      </c>
      <c r="V949" s="238" t="s">
        <v>2488</v>
      </c>
      <c r="AB949" s="1" t="s">
        <v>2079</v>
      </c>
    </row>
    <row r="950" spans="1:28" ht="11.25" customHeight="1">
      <c r="A950" s="233">
        <v>41228</v>
      </c>
      <c r="B950" s="1" t="s">
        <v>3957</v>
      </c>
      <c r="C950" s="5" t="s">
        <v>3790</v>
      </c>
      <c r="D950" s="5" t="s">
        <v>353</v>
      </c>
      <c r="E950" s="1" t="s">
        <v>2492</v>
      </c>
      <c r="F950" s="5">
        <v>12</v>
      </c>
      <c r="G950" s="1" t="s">
        <v>2086</v>
      </c>
      <c r="H950" s="234">
        <v>23.75</v>
      </c>
      <c r="I950" s="235">
        <f t="shared" si="67"/>
        <v>285</v>
      </c>
      <c r="K950" s="241">
        <f>17*12</f>
        <v>204</v>
      </c>
      <c r="L950" s="237">
        <v>41228</v>
      </c>
      <c r="M950" s="1" t="s">
        <v>2390</v>
      </c>
      <c r="N950" s="235">
        <f t="shared" si="59"/>
        <v>285</v>
      </c>
      <c r="O950" s="235">
        <f t="shared" si="65"/>
        <v>0</v>
      </c>
      <c r="P950" s="238" t="s">
        <v>3958</v>
      </c>
      <c r="Q950" s="1" t="s">
        <v>2212</v>
      </c>
      <c r="R950" s="239" t="s">
        <v>3959</v>
      </c>
      <c r="S950" s="238" t="s">
        <v>3960</v>
      </c>
      <c r="T950" s="238" t="s">
        <v>3961</v>
      </c>
      <c r="U950" s="239" t="s">
        <v>2082</v>
      </c>
      <c r="V950" s="238" t="s">
        <v>2488</v>
      </c>
      <c r="AB950" s="1" t="s">
        <v>2079</v>
      </c>
    </row>
    <row r="951" spans="1:28" ht="15.75" customHeight="1">
      <c r="A951" s="233">
        <v>41228</v>
      </c>
      <c r="B951" s="1" t="s">
        <v>3957</v>
      </c>
      <c r="C951" s="5" t="s">
        <v>3790</v>
      </c>
      <c r="D951" s="5" t="s">
        <v>1874</v>
      </c>
      <c r="E951" s="1" t="s">
        <v>2107</v>
      </c>
      <c r="F951" s="5">
        <v>18</v>
      </c>
      <c r="G951" s="1" t="s">
        <v>231</v>
      </c>
      <c r="H951" s="234">
        <v>7.6</v>
      </c>
      <c r="I951" s="235">
        <f t="shared" si="67"/>
        <v>136.79999999999998</v>
      </c>
      <c r="K951" s="241">
        <f>4.78*18</f>
        <v>86.04</v>
      </c>
      <c r="L951" s="237">
        <v>41228</v>
      </c>
      <c r="M951" s="1" t="s">
        <v>2390</v>
      </c>
      <c r="N951" s="235">
        <f t="shared" si="59"/>
        <v>136.79999999999998</v>
      </c>
      <c r="O951" s="235">
        <f t="shared" si="65"/>
        <v>0</v>
      </c>
      <c r="P951" s="238" t="s">
        <v>3958</v>
      </c>
      <c r="Q951" s="1" t="s">
        <v>2212</v>
      </c>
      <c r="R951" s="239" t="s">
        <v>3959</v>
      </c>
      <c r="S951" s="238" t="s">
        <v>3960</v>
      </c>
      <c r="T951" s="238" t="s">
        <v>3961</v>
      </c>
      <c r="U951" s="239" t="s">
        <v>2082</v>
      </c>
      <c r="V951" s="238" t="s">
        <v>2488</v>
      </c>
      <c r="AB951" s="1" t="s">
        <v>2079</v>
      </c>
    </row>
    <row r="952" spans="1:28" ht="11.25" customHeight="1">
      <c r="A952" s="233">
        <v>41228</v>
      </c>
      <c r="B952" s="1" t="s">
        <v>3957</v>
      </c>
      <c r="C952" s="5" t="s">
        <v>3790</v>
      </c>
      <c r="D952" s="5" t="s">
        <v>263</v>
      </c>
      <c r="E952" s="1">
        <v>501</v>
      </c>
      <c r="F952" s="5">
        <v>6</v>
      </c>
      <c r="G952" s="1" t="s">
        <v>2086</v>
      </c>
      <c r="H952" s="234">
        <v>2</v>
      </c>
      <c r="I952" s="235">
        <f t="shared" si="67"/>
        <v>12</v>
      </c>
      <c r="J952" s="352">
        <v>1.39</v>
      </c>
      <c r="K952" s="241">
        <f>4.78*6</f>
        <v>28.68</v>
      </c>
      <c r="L952" s="237">
        <v>41228</v>
      </c>
      <c r="M952" s="1" t="s">
        <v>2390</v>
      </c>
      <c r="N952" s="235">
        <f t="shared" si="59"/>
        <v>12</v>
      </c>
      <c r="O952" s="235">
        <f t="shared" si="65"/>
        <v>0</v>
      </c>
      <c r="P952" s="238" t="s">
        <v>3958</v>
      </c>
      <c r="Q952" s="1" t="s">
        <v>2212</v>
      </c>
      <c r="R952" s="239" t="s">
        <v>3959</v>
      </c>
      <c r="S952" s="238" t="s">
        <v>3960</v>
      </c>
      <c r="T952" s="238" t="s">
        <v>3961</v>
      </c>
      <c r="U952" s="239" t="s">
        <v>2082</v>
      </c>
      <c r="V952" s="238" t="s">
        <v>2488</v>
      </c>
      <c r="AB952" s="1" t="s">
        <v>2079</v>
      </c>
    </row>
    <row r="953" spans="1:28" ht="11.25" customHeight="1">
      <c r="A953" s="233">
        <v>41228</v>
      </c>
      <c r="B953" s="1" t="s">
        <v>3957</v>
      </c>
      <c r="C953" s="5" t="s">
        <v>3790</v>
      </c>
      <c r="D953" s="5" t="s">
        <v>305</v>
      </c>
      <c r="E953" s="1">
        <v>1270</v>
      </c>
      <c r="F953" s="5">
        <v>6</v>
      </c>
      <c r="G953" s="1" t="s">
        <v>2398</v>
      </c>
      <c r="H953" s="234">
        <v>5.7</v>
      </c>
      <c r="I953" s="235">
        <f t="shared" si="67"/>
        <v>34.200000000000003</v>
      </c>
      <c r="K953" s="254">
        <f>4.1*6</f>
        <v>24.599999999999998</v>
      </c>
      <c r="L953" s="237">
        <v>41228</v>
      </c>
      <c r="M953" s="1" t="s">
        <v>2390</v>
      </c>
      <c r="N953" s="235">
        <f t="shared" si="59"/>
        <v>34.200000000000003</v>
      </c>
      <c r="O953" s="235">
        <f t="shared" si="65"/>
        <v>0</v>
      </c>
      <c r="P953" s="238" t="s">
        <v>3958</v>
      </c>
      <c r="Q953" s="1" t="s">
        <v>2212</v>
      </c>
      <c r="R953" s="239" t="s">
        <v>3959</v>
      </c>
      <c r="S953" s="238" t="s">
        <v>3960</v>
      </c>
      <c r="T953" s="238" t="s">
        <v>3961</v>
      </c>
      <c r="U953" s="239" t="s">
        <v>2082</v>
      </c>
      <c r="V953" s="238" t="s">
        <v>2488</v>
      </c>
      <c r="Z953" s="255" t="s">
        <v>2549</v>
      </c>
      <c r="AB953" s="1" t="s">
        <v>2079</v>
      </c>
    </row>
    <row r="954" spans="1:28" ht="11.25" customHeight="1">
      <c r="A954" s="233">
        <v>41228</v>
      </c>
      <c r="B954" s="1" t="s">
        <v>3957</v>
      </c>
      <c r="C954" s="5" t="s">
        <v>2821</v>
      </c>
      <c r="D954" s="95" t="s">
        <v>5008</v>
      </c>
      <c r="E954" s="1" t="s">
        <v>3585</v>
      </c>
      <c r="F954" s="5">
        <v>3</v>
      </c>
      <c r="G954" s="1" t="s">
        <v>2823</v>
      </c>
      <c r="H954" s="234">
        <v>14.25</v>
      </c>
      <c r="I954" s="235">
        <f t="shared" si="67"/>
        <v>42.75</v>
      </c>
      <c r="K954" s="241">
        <f>10*3</f>
        <v>30</v>
      </c>
      <c r="L954" s="237">
        <v>41228</v>
      </c>
      <c r="M954" s="1" t="s">
        <v>2390</v>
      </c>
      <c r="N954" s="235">
        <f t="shared" si="59"/>
        <v>42.75</v>
      </c>
      <c r="O954" s="235">
        <f t="shared" si="65"/>
        <v>0</v>
      </c>
      <c r="P954" s="238" t="s">
        <v>3958</v>
      </c>
      <c r="Q954" s="1" t="s">
        <v>2212</v>
      </c>
      <c r="R954" s="239" t="s">
        <v>3959</v>
      </c>
      <c r="S954" s="238" t="s">
        <v>3960</v>
      </c>
      <c r="T954" s="238" t="s">
        <v>3961</v>
      </c>
      <c r="U954" s="239" t="s">
        <v>2082</v>
      </c>
      <c r="V954" s="238" t="s">
        <v>2488</v>
      </c>
      <c r="AB954" s="1" t="s">
        <v>2079</v>
      </c>
    </row>
    <row r="955" spans="1:28" ht="12" customHeight="1">
      <c r="A955" s="233">
        <v>41229</v>
      </c>
      <c r="B955" s="1" t="s">
        <v>3962</v>
      </c>
      <c r="C955" s="5" t="s">
        <v>3790</v>
      </c>
      <c r="D955" s="5" t="s">
        <v>854</v>
      </c>
      <c r="E955" s="1">
        <v>9031</v>
      </c>
      <c r="F955" s="5">
        <v>500</v>
      </c>
      <c r="G955" s="232" t="s">
        <v>3108</v>
      </c>
      <c r="H955" s="234">
        <v>2.4</v>
      </c>
      <c r="I955" s="235">
        <f t="shared" ref="I955:I970" si="68">F955*H955</f>
        <v>1200</v>
      </c>
      <c r="K955" s="241">
        <f>1.4929*500</f>
        <v>746.44999999999993</v>
      </c>
      <c r="L955" s="237">
        <v>41229</v>
      </c>
      <c r="M955" s="1" t="s">
        <v>2327</v>
      </c>
      <c r="N955" s="235">
        <f t="shared" si="59"/>
        <v>1200</v>
      </c>
      <c r="O955" s="235">
        <f t="shared" si="65"/>
        <v>0</v>
      </c>
      <c r="P955" s="238" t="s">
        <v>3963</v>
      </c>
      <c r="Q955" s="1" t="s">
        <v>2562</v>
      </c>
      <c r="R955" s="239" t="s">
        <v>2587</v>
      </c>
      <c r="S955" s="238" t="s">
        <v>2588</v>
      </c>
      <c r="T955" s="238" t="s">
        <v>3964</v>
      </c>
      <c r="U955" s="238" t="s">
        <v>3965</v>
      </c>
      <c r="V955" s="238" t="s">
        <v>3966</v>
      </c>
      <c r="W955" s="236">
        <v>1200</v>
      </c>
      <c r="X955" s="233">
        <v>41226</v>
      </c>
      <c r="Y955" s="238" t="s">
        <v>3965</v>
      </c>
      <c r="AA955" s="240" t="s">
        <v>2668</v>
      </c>
      <c r="AB955" s="1" t="s">
        <v>2079</v>
      </c>
    </row>
    <row r="956" spans="1:28" ht="11.25" customHeight="1">
      <c r="A956" s="233">
        <v>41229</v>
      </c>
      <c r="B956" s="1" t="s">
        <v>3967</v>
      </c>
      <c r="C956" s="5" t="s">
        <v>3790</v>
      </c>
      <c r="D956" s="1" t="s">
        <v>1210</v>
      </c>
      <c r="E956" s="1">
        <v>3200</v>
      </c>
      <c r="F956" s="5">
        <v>10</v>
      </c>
      <c r="G956" s="1" t="s">
        <v>2086</v>
      </c>
      <c r="H956" s="234">
        <v>33</v>
      </c>
      <c r="I956" s="235">
        <f t="shared" si="68"/>
        <v>330</v>
      </c>
      <c r="K956" s="241">
        <f>26*10</f>
        <v>260</v>
      </c>
      <c r="L956" s="237">
        <v>41229</v>
      </c>
      <c r="M956" s="1" t="s">
        <v>2327</v>
      </c>
      <c r="N956" s="235">
        <f t="shared" si="59"/>
        <v>330</v>
      </c>
      <c r="O956" s="235">
        <f t="shared" si="65"/>
        <v>0</v>
      </c>
      <c r="P956" s="238" t="s">
        <v>3968</v>
      </c>
      <c r="Q956" s="1" t="s">
        <v>3693</v>
      </c>
      <c r="R956" s="239" t="s">
        <v>3969</v>
      </c>
      <c r="S956" s="238" t="s">
        <v>3970</v>
      </c>
      <c r="T956" s="238" t="s">
        <v>3971</v>
      </c>
      <c r="U956" s="238" t="s">
        <v>3972</v>
      </c>
      <c r="V956" s="238" t="s">
        <v>3973</v>
      </c>
      <c r="W956" s="236">
        <v>565</v>
      </c>
      <c r="X956" s="233">
        <v>41229</v>
      </c>
      <c r="Y956" s="238" t="s">
        <v>2212</v>
      </c>
      <c r="AA956" s="240" t="s">
        <v>2668</v>
      </c>
      <c r="AB956" s="1" t="s">
        <v>2079</v>
      </c>
    </row>
    <row r="957" spans="1:28" ht="11.25" customHeight="1">
      <c r="A957" s="233">
        <v>41229</v>
      </c>
      <c r="B957" s="1" t="s">
        <v>3967</v>
      </c>
      <c r="C957" s="5" t="s">
        <v>3790</v>
      </c>
      <c r="D957" s="5" t="s">
        <v>1874</v>
      </c>
      <c r="E957" s="1" t="s">
        <v>2615</v>
      </c>
      <c r="F957" s="5">
        <v>40</v>
      </c>
      <c r="G957" s="1" t="s">
        <v>2490</v>
      </c>
      <c r="H957" s="234">
        <v>2</v>
      </c>
      <c r="I957" s="235">
        <f t="shared" si="68"/>
        <v>80</v>
      </c>
      <c r="J957" s="352">
        <v>1.54</v>
      </c>
      <c r="K957" s="241">
        <f>1.54*F957</f>
        <v>61.6</v>
      </c>
      <c r="L957" s="237">
        <v>41229</v>
      </c>
      <c r="M957" s="1" t="s">
        <v>2327</v>
      </c>
      <c r="N957" s="235">
        <f t="shared" si="59"/>
        <v>80</v>
      </c>
      <c r="O957" s="235">
        <f t="shared" si="65"/>
        <v>0</v>
      </c>
      <c r="P957" s="238" t="s">
        <v>3968</v>
      </c>
      <c r="Q957" s="1" t="s">
        <v>3693</v>
      </c>
      <c r="R957" s="239" t="s">
        <v>3969</v>
      </c>
      <c r="S957" s="238" t="s">
        <v>3970</v>
      </c>
      <c r="T957" s="238" t="s">
        <v>1267</v>
      </c>
      <c r="U957" s="238" t="s">
        <v>3972</v>
      </c>
      <c r="V957" s="238" t="s">
        <v>3973</v>
      </c>
      <c r="W957" s="236">
        <v>565</v>
      </c>
      <c r="X957" s="233">
        <v>41229</v>
      </c>
      <c r="Y957" s="238" t="s">
        <v>2212</v>
      </c>
      <c r="AA957" s="240" t="s">
        <v>2668</v>
      </c>
      <c r="AB957" s="1" t="s">
        <v>2079</v>
      </c>
    </row>
    <row r="958" spans="1:28" ht="11.25" customHeight="1">
      <c r="A958" s="233">
        <v>41229</v>
      </c>
      <c r="B958" s="1" t="s">
        <v>3967</v>
      </c>
      <c r="C958" s="5" t="s">
        <v>3790</v>
      </c>
      <c r="D958" s="5" t="s">
        <v>346</v>
      </c>
      <c r="E958" s="1">
        <v>3700</v>
      </c>
      <c r="F958" s="5">
        <v>10</v>
      </c>
      <c r="G958" s="1" t="s">
        <v>229</v>
      </c>
      <c r="H958" s="234">
        <v>10</v>
      </c>
      <c r="I958" s="235">
        <f t="shared" si="68"/>
        <v>100</v>
      </c>
      <c r="J958" s="352">
        <v>3.09</v>
      </c>
      <c r="K958" s="241">
        <f>3.09*10</f>
        <v>30.9</v>
      </c>
      <c r="L958" s="237">
        <v>41229</v>
      </c>
      <c r="M958" s="1" t="s">
        <v>2327</v>
      </c>
      <c r="N958" s="235">
        <f t="shared" si="59"/>
        <v>100</v>
      </c>
      <c r="O958" s="235">
        <f t="shared" si="65"/>
        <v>0</v>
      </c>
      <c r="P958" s="238" t="s">
        <v>3968</v>
      </c>
      <c r="Q958" s="1" t="s">
        <v>3693</v>
      </c>
      <c r="R958" s="239" t="s">
        <v>3969</v>
      </c>
      <c r="S958" s="238" t="s">
        <v>3970</v>
      </c>
      <c r="T958" s="238" t="s">
        <v>1268</v>
      </c>
      <c r="U958" s="238" t="s">
        <v>3972</v>
      </c>
      <c r="V958" s="238" t="s">
        <v>3973</v>
      </c>
      <c r="W958" s="236">
        <v>565</v>
      </c>
      <c r="X958" s="233">
        <v>41229</v>
      </c>
      <c r="Y958" s="238" t="s">
        <v>2212</v>
      </c>
      <c r="AA958" s="240" t="s">
        <v>2668</v>
      </c>
      <c r="AB958" s="1" t="s">
        <v>2079</v>
      </c>
    </row>
    <row r="959" spans="1:28" ht="11.25" customHeight="1">
      <c r="A959" s="233">
        <v>41229</v>
      </c>
      <c r="B959" s="1" t="s">
        <v>3967</v>
      </c>
      <c r="C959" s="5" t="s">
        <v>3790</v>
      </c>
      <c r="D959" s="1" t="s">
        <v>681</v>
      </c>
      <c r="E959" s="1" t="s">
        <v>2807</v>
      </c>
      <c r="F959" s="5">
        <v>10</v>
      </c>
      <c r="G959" s="1" t="s">
        <v>2398</v>
      </c>
      <c r="H959" s="234">
        <v>5.5</v>
      </c>
      <c r="I959" s="235">
        <f t="shared" si="68"/>
        <v>55</v>
      </c>
      <c r="J959" s="352">
        <v>3.214</v>
      </c>
      <c r="K959" s="241">
        <f>3.214*F959</f>
        <v>32.14</v>
      </c>
      <c r="L959" s="237">
        <v>41229</v>
      </c>
      <c r="M959" s="1" t="s">
        <v>2327</v>
      </c>
      <c r="N959" s="235">
        <f t="shared" si="59"/>
        <v>55</v>
      </c>
      <c r="O959" s="235">
        <f t="shared" si="65"/>
        <v>0</v>
      </c>
      <c r="P959" s="238" t="s">
        <v>3968</v>
      </c>
      <c r="Q959" s="1" t="s">
        <v>3693</v>
      </c>
      <c r="R959" s="239" t="s">
        <v>3969</v>
      </c>
      <c r="S959" s="238" t="s">
        <v>3970</v>
      </c>
      <c r="T959" s="238" t="s">
        <v>1269</v>
      </c>
      <c r="U959" s="238" t="s">
        <v>3972</v>
      </c>
      <c r="V959" s="238" t="s">
        <v>3973</v>
      </c>
      <c r="W959" s="236">
        <v>565</v>
      </c>
      <c r="X959" s="233">
        <v>41229</v>
      </c>
      <c r="Y959" s="238" t="s">
        <v>2212</v>
      </c>
      <c r="AA959" s="240" t="s">
        <v>2668</v>
      </c>
      <c r="AB959" s="1" t="s">
        <v>2079</v>
      </c>
    </row>
    <row r="960" spans="1:28" ht="11.25" customHeight="1">
      <c r="A960" s="233">
        <v>41229</v>
      </c>
      <c r="B960" s="1" t="s">
        <v>3974</v>
      </c>
      <c r="C960" s="5" t="s">
        <v>3790</v>
      </c>
      <c r="D960" s="5" t="s">
        <v>86</v>
      </c>
      <c r="E960" s="1">
        <v>9032</v>
      </c>
      <c r="F960" s="5">
        <v>10</v>
      </c>
      <c r="G960" s="1" t="s">
        <v>2086</v>
      </c>
      <c r="H960" s="234">
        <v>2.5</v>
      </c>
      <c r="I960" s="235">
        <f t="shared" si="68"/>
        <v>25</v>
      </c>
      <c r="K960" s="241">
        <f>1.4929*F960</f>
        <v>14.928999999999998</v>
      </c>
      <c r="L960" s="237">
        <v>41229</v>
      </c>
      <c r="M960" s="1" t="s">
        <v>2390</v>
      </c>
      <c r="N960" s="235">
        <f t="shared" si="59"/>
        <v>25</v>
      </c>
      <c r="O960" s="235">
        <f t="shared" si="65"/>
        <v>0</v>
      </c>
      <c r="P960" s="238" t="s">
        <v>3975</v>
      </c>
      <c r="Q960" s="1" t="s">
        <v>2212</v>
      </c>
      <c r="R960" s="239" t="s">
        <v>3976</v>
      </c>
      <c r="S960" s="238" t="s">
        <v>3977</v>
      </c>
      <c r="T960" s="238" t="s">
        <v>3978</v>
      </c>
      <c r="U960" s="239" t="s">
        <v>2082</v>
      </c>
      <c r="V960" s="238" t="s">
        <v>3979</v>
      </c>
      <c r="W960" s="236">
        <v>388</v>
      </c>
      <c r="X960" s="233">
        <v>41228</v>
      </c>
      <c r="Y960" s="239" t="s">
        <v>2082</v>
      </c>
      <c r="AA960" s="240" t="s">
        <v>2668</v>
      </c>
      <c r="AB960" s="1" t="s">
        <v>2079</v>
      </c>
    </row>
    <row r="961" spans="1:28" ht="11.25" customHeight="1">
      <c r="A961" s="233">
        <v>41229</v>
      </c>
      <c r="B961" s="1" t="s">
        <v>3974</v>
      </c>
      <c r="C961" s="5" t="s">
        <v>3790</v>
      </c>
      <c r="D961" s="5" t="s">
        <v>305</v>
      </c>
      <c r="E961" s="1">
        <v>1270</v>
      </c>
      <c r="F961" s="5">
        <v>2</v>
      </c>
      <c r="G961" s="1" t="s">
        <v>2398</v>
      </c>
      <c r="H961" s="234">
        <v>6.5</v>
      </c>
      <c r="I961" s="235">
        <f t="shared" si="68"/>
        <v>13</v>
      </c>
      <c r="K961" s="254">
        <f>4.1*2</f>
        <v>8.1999999999999993</v>
      </c>
      <c r="L961" s="237">
        <v>41229</v>
      </c>
      <c r="M961" s="1" t="s">
        <v>2390</v>
      </c>
      <c r="N961" s="235">
        <f t="shared" si="59"/>
        <v>13</v>
      </c>
      <c r="O961" s="235">
        <f t="shared" si="65"/>
        <v>0</v>
      </c>
      <c r="P961" s="238" t="s">
        <v>3975</v>
      </c>
      <c r="Q961" s="1" t="s">
        <v>2212</v>
      </c>
      <c r="R961" s="239" t="s">
        <v>3976</v>
      </c>
      <c r="S961" s="238" t="s">
        <v>3977</v>
      </c>
      <c r="T961" s="238" t="s">
        <v>3978</v>
      </c>
      <c r="U961" s="239" t="s">
        <v>2082</v>
      </c>
      <c r="V961" s="238" t="s">
        <v>3979</v>
      </c>
      <c r="W961" s="236">
        <v>388</v>
      </c>
      <c r="X961" s="233">
        <v>41228</v>
      </c>
      <c r="Y961" s="239" t="s">
        <v>2082</v>
      </c>
      <c r="Z961" s="255" t="s">
        <v>2549</v>
      </c>
      <c r="AA961" s="240" t="s">
        <v>2668</v>
      </c>
      <c r="AB961" s="1" t="s">
        <v>2079</v>
      </c>
    </row>
    <row r="962" spans="1:28" ht="11.25" customHeight="1">
      <c r="A962" s="233">
        <v>41229</v>
      </c>
      <c r="B962" s="1" t="s">
        <v>3974</v>
      </c>
      <c r="C962" s="5" t="s">
        <v>3790</v>
      </c>
      <c r="D962" s="5" t="s">
        <v>263</v>
      </c>
      <c r="E962" s="1">
        <v>501</v>
      </c>
      <c r="F962" s="5">
        <v>4</v>
      </c>
      <c r="G962" s="1" t="s">
        <v>2086</v>
      </c>
      <c r="H962" s="234">
        <v>2</v>
      </c>
      <c r="I962" s="235">
        <f t="shared" si="68"/>
        <v>8</v>
      </c>
      <c r="K962" s="254">
        <f>1.39*4</f>
        <v>5.56</v>
      </c>
      <c r="L962" s="237">
        <v>41229</v>
      </c>
      <c r="M962" s="1" t="s">
        <v>2390</v>
      </c>
      <c r="N962" s="235">
        <f t="shared" si="59"/>
        <v>8</v>
      </c>
      <c r="O962" s="235">
        <f t="shared" si="65"/>
        <v>0</v>
      </c>
      <c r="P962" s="238" t="s">
        <v>3975</v>
      </c>
      <c r="Q962" s="1" t="s">
        <v>2212</v>
      </c>
      <c r="R962" s="239" t="s">
        <v>3976</v>
      </c>
      <c r="S962" s="238" t="s">
        <v>3977</v>
      </c>
      <c r="T962" s="238" t="s">
        <v>3978</v>
      </c>
      <c r="U962" s="239" t="s">
        <v>2082</v>
      </c>
      <c r="V962" s="238" t="s">
        <v>3979</v>
      </c>
      <c r="W962" s="236">
        <v>388</v>
      </c>
      <c r="X962" s="233">
        <v>41228</v>
      </c>
      <c r="Y962" s="239" t="s">
        <v>2082</v>
      </c>
      <c r="Z962" s="255" t="s">
        <v>2549</v>
      </c>
      <c r="AA962" s="240" t="s">
        <v>2668</v>
      </c>
      <c r="AB962" s="1" t="s">
        <v>2079</v>
      </c>
    </row>
    <row r="963" spans="1:28" ht="11.25" customHeight="1">
      <c r="A963" s="233">
        <v>41229</v>
      </c>
      <c r="B963" s="1" t="s">
        <v>3974</v>
      </c>
      <c r="C963" s="5" t="s">
        <v>3790</v>
      </c>
      <c r="D963" s="1" t="s">
        <v>240</v>
      </c>
      <c r="E963" s="1">
        <v>6200</v>
      </c>
      <c r="F963" s="5">
        <v>2</v>
      </c>
      <c r="G963" s="1" t="s">
        <v>2086</v>
      </c>
      <c r="H963" s="234">
        <v>86</v>
      </c>
      <c r="I963" s="235">
        <f t="shared" si="68"/>
        <v>172</v>
      </c>
      <c r="J963" s="352">
        <v>42.7</v>
      </c>
      <c r="K963" s="241" t="e">
        <f>#REF!*F963</f>
        <v>#REF!</v>
      </c>
      <c r="L963" s="237">
        <v>41229</v>
      </c>
      <c r="M963" s="1" t="s">
        <v>2390</v>
      </c>
      <c r="N963" s="235">
        <f t="shared" ref="N963:N1026" si="69">I963</f>
        <v>172</v>
      </c>
      <c r="O963" s="235">
        <f t="shared" si="65"/>
        <v>0</v>
      </c>
      <c r="P963" s="238" t="s">
        <v>3975</v>
      </c>
      <c r="Q963" s="1" t="s">
        <v>2212</v>
      </c>
      <c r="R963" s="239" t="s">
        <v>3976</v>
      </c>
      <c r="S963" s="238" t="s">
        <v>3977</v>
      </c>
      <c r="T963" s="238" t="s">
        <v>3978</v>
      </c>
      <c r="U963" s="239" t="s">
        <v>2082</v>
      </c>
      <c r="V963" s="238" t="s">
        <v>3979</v>
      </c>
      <c r="W963" s="236">
        <v>388</v>
      </c>
      <c r="X963" s="233">
        <v>41228</v>
      </c>
      <c r="Y963" s="239" t="s">
        <v>2082</v>
      </c>
      <c r="AA963" s="240" t="s">
        <v>2668</v>
      </c>
      <c r="AB963" s="1" t="s">
        <v>2079</v>
      </c>
    </row>
    <row r="964" spans="1:28" ht="11.25" customHeight="1">
      <c r="A964" s="233">
        <v>41229</v>
      </c>
      <c r="B964" s="1" t="s">
        <v>3974</v>
      </c>
      <c r="C964" s="5" t="s">
        <v>3790</v>
      </c>
      <c r="D964" s="5" t="s">
        <v>353</v>
      </c>
      <c r="E964" s="1" t="s">
        <v>2492</v>
      </c>
      <c r="F964" s="5">
        <v>4</v>
      </c>
      <c r="G964" s="1" t="s">
        <v>2086</v>
      </c>
      <c r="H964" s="234">
        <v>25</v>
      </c>
      <c r="I964" s="235">
        <f t="shared" si="68"/>
        <v>100</v>
      </c>
      <c r="K964" s="241">
        <f>17*2+16.5*2</f>
        <v>67</v>
      </c>
      <c r="L964" s="237">
        <v>41229</v>
      </c>
      <c r="M964" s="1" t="s">
        <v>2390</v>
      </c>
      <c r="N964" s="235">
        <f t="shared" si="69"/>
        <v>100</v>
      </c>
      <c r="O964" s="235">
        <f t="shared" si="65"/>
        <v>0</v>
      </c>
      <c r="P964" s="238" t="s">
        <v>3975</v>
      </c>
      <c r="Q964" s="1" t="s">
        <v>2212</v>
      </c>
      <c r="R964" s="239" t="s">
        <v>3976</v>
      </c>
      <c r="S964" s="238" t="s">
        <v>3977</v>
      </c>
      <c r="T964" s="238" t="s">
        <v>3978</v>
      </c>
      <c r="U964" s="239" t="s">
        <v>2082</v>
      </c>
      <c r="V964" s="238" t="s">
        <v>3979</v>
      </c>
      <c r="W964" s="236">
        <v>388</v>
      </c>
      <c r="X964" s="233">
        <v>41228</v>
      </c>
      <c r="Y964" s="239" t="s">
        <v>2082</v>
      </c>
      <c r="AA964" s="240" t="s">
        <v>2668</v>
      </c>
      <c r="AB964" s="1" t="s">
        <v>2079</v>
      </c>
    </row>
    <row r="965" spans="1:28" ht="11.25" customHeight="1">
      <c r="A965" s="233">
        <v>41229</v>
      </c>
      <c r="B965" s="1" t="s">
        <v>3974</v>
      </c>
      <c r="C965" s="5" t="s">
        <v>3790</v>
      </c>
      <c r="D965" s="5" t="s">
        <v>1874</v>
      </c>
      <c r="E965" s="1" t="s">
        <v>2107</v>
      </c>
      <c r="F965" s="5">
        <v>4</v>
      </c>
      <c r="G965" s="1" t="s">
        <v>231</v>
      </c>
      <c r="H965" s="234">
        <v>10</v>
      </c>
      <c r="I965" s="235">
        <f t="shared" si="68"/>
        <v>40</v>
      </c>
      <c r="K965" s="241">
        <f>4.78*4</f>
        <v>19.12</v>
      </c>
      <c r="L965" s="237">
        <v>41229</v>
      </c>
      <c r="M965" s="1" t="s">
        <v>2390</v>
      </c>
      <c r="N965" s="235">
        <f t="shared" si="69"/>
        <v>40</v>
      </c>
      <c r="O965" s="235">
        <f t="shared" si="65"/>
        <v>0</v>
      </c>
      <c r="P965" s="238" t="s">
        <v>3975</v>
      </c>
      <c r="Q965" s="1" t="s">
        <v>2212</v>
      </c>
      <c r="R965" s="239" t="s">
        <v>3976</v>
      </c>
      <c r="S965" s="238" t="s">
        <v>3977</v>
      </c>
      <c r="T965" s="238" t="s">
        <v>3978</v>
      </c>
      <c r="U965" s="239" t="s">
        <v>2082</v>
      </c>
      <c r="V965" s="238" t="s">
        <v>3979</v>
      </c>
      <c r="W965" s="236">
        <v>388</v>
      </c>
      <c r="X965" s="233">
        <v>41228</v>
      </c>
      <c r="Y965" s="239" t="s">
        <v>2082</v>
      </c>
      <c r="AA965" s="240" t="s">
        <v>2668</v>
      </c>
      <c r="AB965" s="1" t="s">
        <v>2079</v>
      </c>
    </row>
    <row r="966" spans="1:28" ht="11.25" customHeight="1">
      <c r="A966" s="233">
        <v>41229</v>
      </c>
      <c r="B966" s="1" t="s">
        <v>3974</v>
      </c>
      <c r="C966" s="5" t="s">
        <v>2821</v>
      </c>
      <c r="D966" s="95" t="s">
        <v>5008</v>
      </c>
      <c r="E966" s="1" t="s">
        <v>3585</v>
      </c>
      <c r="F966" s="5">
        <v>2</v>
      </c>
      <c r="G966" s="1" t="s">
        <v>2823</v>
      </c>
      <c r="H966" s="234">
        <v>15</v>
      </c>
      <c r="I966" s="235">
        <f t="shared" si="68"/>
        <v>30</v>
      </c>
      <c r="K966" s="241">
        <f>10*F966</f>
        <v>20</v>
      </c>
      <c r="L966" s="237">
        <v>41229</v>
      </c>
      <c r="M966" s="1" t="s">
        <v>2390</v>
      </c>
      <c r="N966" s="235">
        <f t="shared" si="69"/>
        <v>30</v>
      </c>
      <c r="O966" s="235">
        <f t="shared" si="65"/>
        <v>0</v>
      </c>
      <c r="P966" s="238" t="s">
        <v>3975</v>
      </c>
      <c r="Q966" s="1" t="s">
        <v>2212</v>
      </c>
      <c r="R966" s="239" t="s">
        <v>3976</v>
      </c>
      <c r="S966" s="238" t="s">
        <v>3977</v>
      </c>
      <c r="T966" s="238" t="s">
        <v>3978</v>
      </c>
      <c r="U966" s="239" t="s">
        <v>2082</v>
      </c>
      <c r="V966" s="238" t="s">
        <v>3979</v>
      </c>
      <c r="W966" s="236">
        <v>388</v>
      </c>
      <c r="X966" s="233">
        <v>41228</v>
      </c>
      <c r="Y966" s="239" t="s">
        <v>2082</v>
      </c>
      <c r="AA966" s="240" t="s">
        <v>2668</v>
      </c>
      <c r="AB966" s="1" t="s">
        <v>2079</v>
      </c>
    </row>
    <row r="967" spans="1:28" ht="11.25" customHeight="1">
      <c r="A967" s="233">
        <v>41229</v>
      </c>
      <c r="B967" s="1" t="s">
        <v>3980</v>
      </c>
      <c r="C967" s="5" t="s">
        <v>3790</v>
      </c>
      <c r="D967" s="1" t="s">
        <v>1219</v>
      </c>
      <c r="E967" s="1" t="s">
        <v>2957</v>
      </c>
      <c r="F967" s="5">
        <v>10</v>
      </c>
      <c r="G967" s="1" t="s">
        <v>2086</v>
      </c>
      <c r="H967" s="234">
        <v>6</v>
      </c>
      <c r="I967" s="235">
        <f t="shared" si="68"/>
        <v>60</v>
      </c>
      <c r="K967" s="254">
        <f>3.56*10</f>
        <v>35.6</v>
      </c>
      <c r="L967" s="237">
        <v>41233</v>
      </c>
      <c r="M967" s="1" t="s">
        <v>2077</v>
      </c>
      <c r="N967" s="235">
        <f t="shared" si="69"/>
        <v>60</v>
      </c>
      <c r="O967" s="235">
        <f t="shared" si="65"/>
        <v>0</v>
      </c>
      <c r="P967" s="238" t="s">
        <v>3981</v>
      </c>
      <c r="Q967" s="1" t="s">
        <v>3982</v>
      </c>
      <c r="R967" s="239" t="s">
        <v>3983</v>
      </c>
      <c r="S967" s="238" t="s">
        <v>3984</v>
      </c>
      <c r="T967" s="238" t="s">
        <v>3985</v>
      </c>
      <c r="U967" s="238" t="s">
        <v>3986</v>
      </c>
      <c r="V967" s="238" t="s">
        <v>3987</v>
      </c>
      <c r="W967" s="236">
        <v>765</v>
      </c>
      <c r="X967" s="233">
        <v>41229</v>
      </c>
      <c r="Y967" s="238" t="s">
        <v>3986</v>
      </c>
      <c r="Z967" s="255" t="s">
        <v>2549</v>
      </c>
      <c r="AA967" s="240" t="s">
        <v>2668</v>
      </c>
      <c r="AB967" s="1" t="s">
        <v>2079</v>
      </c>
    </row>
    <row r="968" spans="1:28" ht="11.25" customHeight="1">
      <c r="A968" s="233">
        <v>41229</v>
      </c>
      <c r="B968" s="1" t="s">
        <v>3980</v>
      </c>
      <c r="C968" s="5" t="s">
        <v>3790</v>
      </c>
      <c r="D968" s="5" t="s">
        <v>854</v>
      </c>
      <c r="E968" s="1">
        <v>9031</v>
      </c>
      <c r="F968" s="5">
        <v>100</v>
      </c>
      <c r="G968" s="232" t="s">
        <v>3108</v>
      </c>
      <c r="H968" s="234">
        <v>2.8</v>
      </c>
      <c r="I968" s="235">
        <f t="shared" si="68"/>
        <v>280</v>
      </c>
      <c r="K968" s="241">
        <f>1.4929*100</f>
        <v>149.29</v>
      </c>
      <c r="L968" s="237">
        <v>41233</v>
      </c>
      <c r="M968" s="1" t="s">
        <v>2077</v>
      </c>
      <c r="N968" s="235">
        <f t="shared" si="69"/>
        <v>280</v>
      </c>
      <c r="O968" s="235">
        <f t="shared" si="65"/>
        <v>0</v>
      </c>
      <c r="P968" s="238" t="s">
        <v>3981</v>
      </c>
      <c r="Q968" s="1" t="s">
        <v>3982</v>
      </c>
      <c r="R968" s="239" t="s">
        <v>3983</v>
      </c>
      <c r="S968" s="238" t="s">
        <v>3984</v>
      </c>
      <c r="T968" s="238" t="s">
        <v>3985</v>
      </c>
      <c r="U968" s="238" t="s">
        <v>3986</v>
      </c>
      <c r="V968" s="238" t="s">
        <v>3987</v>
      </c>
      <c r="W968" s="236">
        <v>765</v>
      </c>
      <c r="X968" s="233">
        <v>41229</v>
      </c>
      <c r="Y968" s="238" t="s">
        <v>3986</v>
      </c>
      <c r="AA968" s="240" t="s">
        <v>2668</v>
      </c>
      <c r="AB968" s="1" t="s">
        <v>2079</v>
      </c>
    </row>
    <row r="969" spans="1:28" ht="11.25" customHeight="1">
      <c r="A969" s="233">
        <v>41229</v>
      </c>
      <c r="B969" s="1" t="s">
        <v>3980</v>
      </c>
      <c r="C969" s="5" t="s">
        <v>2821</v>
      </c>
      <c r="D969" s="95" t="s">
        <v>5008</v>
      </c>
      <c r="E969" s="1" t="s">
        <v>3585</v>
      </c>
      <c r="F969" s="5">
        <v>10</v>
      </c>
      <c r="G969" s="1" t="s">
        <v>2823</v>
      </c>
      <c r="H969" s="234">
        <v>15</v>
      </c>
      <c r="I969" s="235">
        <f t="shared" si="68"/>
        <v>150</v>
      </c>
      <c r="K969" s="241">
        <f>10*F969</f>
        <v>100</v>
      </c>
      <c r="L969" s="237">
        <v>41233</v>
      </c>
      <c r="M969" s="1" t="s">
        <v>2077</v>
      </c>
      <c r="N969" s="235">
        <f t="shared" si="69"/>
        <v>150</v>
      </c>
      <c r="O969" s="235">
        <f t="shared" si="65"/>
        <v>0</v>
      </c>
      <c r="P969" s="238" t="s">
        <v>3981</v>
      </c>
      <c r="Q969" s="1" t="s">
        <v>3982</v>
      </c>
      <c r="R969" s="239" t="s">
        <v>3983</v>
      </c>
      <c r="S969" s="238" t="s">
        <v>3984</v>
      </c>
      <c r="T969" s="238" t="s">
        <v>3985</v>
      </c>
      <c r="U969" s="238" t="s">
        <v>3986</v>
      </c>
      <c r="V969" s="238" t="s">
        <v>3987</v>
      </c>
      <c r="W969" s="236">
        <v>765</v>
      </c>
      <c r="X969" s="233">
        <v>41229</v>
      </c>
      <c r="Y969" s="238" t="s">
        <v>3986</v>
      </c>
      <c r="AA969" s="240" t="s">
        <v>2668</v>
      </c>
      <c r="AB969" s="1" t="s">
        <v>2079</v>
      </c>
    </row>
    <row r="970" spans="1:28" ht="11.25" customHeight="1">
      <c r="A970" s="233">
        <v>41229</v>
      </c>
      <c r="B970" s="1" t="s">
        <v>3980</v>
      </c>
      <c r="C970" s="5" t="s">
        <v>3790</v>
      </c>
      <c r="D970" s="1" t="s">
        <v>681</v>
      </c>
      <c r="E970" s="1" t="s">
        <v>2807</v>
      </c>
      <c r="F970" s="5">
        <v>50</v>
      </c>
      <c r="G970" s="1" t="s">
        <v>2398</v>
      </c>
      <c r="H970" s="234">
        <v>5.5</v>
      </c>
      <c r="I970" s="235">
        <f t="shared" si="68"/>
        <v>275</v>
      </c>
      <c r="J970" s="352">
        <v>3.214</v>
      </c>
      <c r="K970" s="241">
        <f>3.214*F970</f>
        <v>160.69999999999999</v>
      </c>
      <c r="L970" s="237">
        <v>41233</v>
      </c>
      <c r="M970" s="1" t="s">
        <v>2077</v>
      </c>
      <c r="N970" s="235">
        <f t="shared" si="69"/>
        <v>275</v>
      </c>
      <c r="O970" s="235">
        <f t="shared" si="65"/>
        <v>0</v>
      </c>
      <c r="P970" s="238" t="s">
        <v>3981</v>
      </c>
      <c r="Q970" s="1" t="s">
        <v>3982</v>
      </c>
      <c r="R970" s="239" t="s">
        <v>3983</v>
      </c>
      <c r="S970" s="238" t="s">
        <v>3984</v>
      </c>
      <c r="T970" s="238" t="s">
        <v>3985</v>
      </c>
      <c r="U970" s="238" t="s">
        <v>3986</v>
      </c>
      <c r="V970" s="238" t="s">
        <v>3987</v>
      </c>
      <c r="W970" s="236">
        <v>765</v>
      </c>
      <c r="X970" s="233">
        <v>41229</v>
      </c>
      <c r="Y970" s="238" t="s">
        <v>3986</v>
      </c>
      <c r="AA970" s="240" t="s">
        <v>2668</v>
      </c>
      <c r="AB970" s="1" t="s">
        <v>2079</v>
      </c>
    </row>
    <row r="971" spans="1:28" ht="11.25" customHeight="1">
      <c r="A971" s="233">
        <v>41228</v>
      </c>
      <c r="B971" s="1" t="s">
        <v>3136</v>
      </c>
      <c r="C971" s="5" t="s">
        <v>2080</v>
      </c>
      <c r="D971" s="5" t="s">
        <v>2013</v>
      </c>
      <c r="E971" s="1" t="s">
        <v>3137</v>
      </c>
      <c r="F971" s="5">
        <v>2</v>
      </c>
      <c r="G971" s="1" t="s">
        <v>3129</v>
      </c>
      <c r="H971" s="234">
        <v>45</v>
      </c>
      <c r="I971" s="236">
        <f>H971*F971</f>
        <v>90</v>
      </c>
      <c r="K971" s="241">
        <f>33.111*2</f>
        <v>66.221999999999994</v>
      </c>
      <c r="L971" s="237">
        <v>41227</v>
      </c>
      <c r="M971" s="1" t="s">
        <v>2390</v>
      </c>
      <c r="N971" s="235">
        <f t="shared" si="69"/>
        <v>90</v>
      </c>
      <c r="O971" s="235">
        <f t="shared" si="65"/>
        <v>0</v>
      </c>
      <c r="P971" s="238" t="s">
        <v>3988</v>
      </c>
      <c r="Q971" s="225" t="s">
        <v>3120</v>
      </c>
      <c r="R971" s="239" t="s">
        <v>3138</v>
      </c>
      <c r="S971" s="238" t="s">
        <v>3139</v>
      </c>
      <c r="T971" s="238" t="s">
        <v>2685</v>
      </c>
      <c r="U971" s="238" t="s">
        <v>5466</v>
      </c>
      <c r="V971" s="238" t="s">
        <v>2488</v>
      </c>
      <c r="AB971" s="225" t="s">
        <v>3116</v>
      </c>
    </row>
    <row r="972" spans="1:28" ht="11.25" customHeight="1">
      <c r="A972" s="233">
        <v>41228</v>
      </c>
      <c r="B972" s="1" t="s">
        <v>3136</v>
      </c>
      <c r="C972" s="5" t="s">
        <v>2080</v>
      </c>
      <c r="D972" s="5" t="s">
        <v>1874</v>
      </c>
      <c r="E972" s="1" t="s">
        <v>2615</v>
      </c>
      <c r="F972" s="5">
        <v>100</v>
      </c>
      <c r="G972" s="1" t="s">
        <v>2490</v>
      </c>
      <c r="H972" s="234">
        <v>2.5</v>
      </c>
      <c r="I972" s="236">
        <f>H972*F972</f>
        <v>250</v>
      </c>
      <c r="J972" s="352">
        <v>1.54</v>
      </c>
      <c r="K972" s="241">
        <f>1.54*F972</f>
        <v>154</v>
      </c>
      <c r="L972" s="237">
        <v>41227</v>
      </c>
      <c r="M972" s="1" t="s">
        <v>2390</v>
      </c>
      <c r="N972" s="235">
        <f t="shared" si="69"/>
        <v>250</v>
      </c>
      <c r="O972" s="235">
        <f t="shared" si="65"/>
        <v>0</v>
      </c>
      <c r="P972" s="238" t="s">
        <v>3988</v>
      </c>
      <c r="Q972" s="225" t="s">
        <v>3120</v>
      </c>
      <c r="R972" s="239" t="s">
        <v>3138</v>
      </c>
      <c r="S972" s="238" t="s">
        <v>3139</v>
      </c>
      <c r="T972" s="238" t="s">
        <v>2685</v>
      </c>
      <c r="U972" s="238" t="s">
        <v>5466</v>
      </c>
      <c r="V972" s="238" t="s">
        <v>2488</v>
      </c>
      <c r="AB972" s="225" t="s">
        <v>3116</v>
      </c>
    </row>
    <row r="973" spans="1:28" ht="11.25" customHeight="1">
      <c r="A973" s="233">
        <v>41229</v>
      </c>
      <c r="B973" s="1" t="s">
        <v>3989</v>
      </c>
      <c r="C973" s="5" t="s">
        <v>2080</v>
      </c>
      <c r="D973" s="5" t="s">
        <v>1893</v>
      </c>
      <c r="E973" s="1">
        <v>9032</v>
      </c>
      <c r="F973" s="5">
        <v>200</v>
      </c>
      <c r="G973" s="1" t="s">
        <v>2086</v>
      </c>
      <c r="H973" s="234">
        <v>3</v>
      </c>
      <c r="I973" s="236">
        <f>H973*F973</f>
        <v>600</v>
      </c>
      <c r="K973" s="241">
        <f>1.4929*F973</f>
        <v>298.58</v>
      </c>
      <c r="L973" s="237">
        <v>41229</v>
      </c>
      <c r="M973" s="1" t="s">
        <v>2077</v>
      </c>
      <c r="N973" s="235">
        <f t="shared" si="69"/>
        <v>600</v>
      </c>
      <c r="O973" s="235">
        <f t="shared" si="65"/>
        <v>0</v>
      </c>
      <c r="P973" s="238" t="s">
        <v>3990</v>
      </c>
      <c r="Q973" s="225" t="s">
        <v>3647</v>
      </c>
      <c r="R973" s="239" t="s">
        <v>3991</v>
      </c>
      <c r="S973" s="238" t="s">
        <v>3992</v>
      </c>
      <c r="T973" s="238" t="s">
        <v>3993</v>
      </c>
      <c r="U973" s="238" t="s">
        <v>3994</v>
      </c>
      <c r="V973" s="238" t="s">
        <v>2488</v>
      </c>
      <c r="AB973" s="1" t="s">
        <v>2079</v>
      </c>
    </row>
    <row r="974" spans="1:28" ht="12" customHeight="1">
      <c r="A974" s="233">
        <v>41229</v>
      </c>
      <c r="B974" s="1" t="s">
        <v>3989</v>
      </c>
      <c r="C974" s="5" t="s">
        <v>2080</v>
      </c>
      <c r="D974" s="1" t="s">
        <v>681</v>
      </c>
      <c r="E974" s="1" t="s">
        <v>2807</v>
      </c>
      <c r="F974" s="5">
        <v>100</v>
      </c>
      <c r="G974" s="1" t="s">
        <v>2398</v>
      </c>
      <c r="H974" s="234">
        <v>5</v>
      </c>
      <c r="I974" s="236">
        <f>H974*F974</f>
        <v>500</v>
      </c>
      <c r="J974" s="352">
        <v>3.214</v>
      </c>
      <c r="K974" s="241">
        <f>3.214*F974</f>
        <v>321.39999999999998</v>
      </c>
      <c r="L974" s="237">
        <v>41229</v>
      </c>
      <c r="M974" s="1" t="s">
        <v>2077</v>
      </c>
      <c r="N974" s="235">
        <f t="shared" si="69"/>
        <v>500</v>
      </c>
      <c r="O974" s="235">
        <f t="shared" si="65"/>
        <v>0</v>
      </c>
      <c r="P974" s="238" t="s">
        <v>3990</v>
      </c>
      <c r="Q974" s="1" t="s">
        <v>3647</v>
      </c>
      <c r="R974" s="239" t="s">
        <v>3991</v>
      </c>
      <c r="S974" s="238" t="s">
        <v>3992</v>
      </c>
      <c r="T974" s="238" t="s">
        <v>3993</v>
      </c>
      <c r="U974" s="238" t="s">
        <v>3994</v>
      </c>
      <c r="V974" s="238" t="s">
        <v>2488</v>
      </c>
      <c r="AB974" s="1" t="s">
        <v>2079</v>
      </c>
    </row>
    <row r="975" spans="1:28" ht="12" customHeight="1">
      <c r="A975" s="233">
        <v>41229</v>
      </c>
      <c r="B975" s="1" t="s">
        <v>3784</v>
      </c>
      <c r="C975" s="5" t="s">
        <v>2080</v>
      </c>
      <c r="D975" s="5" t="s">
        <v>1893</v>
      </c>
      <c r="E975" s="1">
        <v>9032</v>
      </c>
      <c r="F975" s="5">
        <v>100</v>
      </c>
      <c r="G975" s="1" t="s">
        <v>2086</v>
      </c>
      <c r="H975" s="234">
        <v>1.9</v>
      </c>
      <c r="I975" s="235">
        <v>190</v>
      </c>
      <c r="K975" s="241">
        <f>1.4929*F975</f>
        <v>149.29</v>
      </c>
      <c r="L975" s="237">
        <v>41229</v>
      </c>
      <c r="M975" s="1" t="s">
        <v>2327</v>
      </c>
      <c r="N975" s="235">
        <f t="shared" si="69"/>
        <v>190</v>
      </c>
      <c r="O975" s="235">
        <f t="shared" si="65"/>
        <v>0</v>
      </c>
      <c r="P975" s="238" t="s">
        <v>3995</v>
      </c>
      <c r="Q975" s="1" t="s">
        <v>3345</v>
      </c>
      <c r="R975" s="239" t="s">
        <v>3786</v>
      </c>
      <c r="S975" s="238" t="s">
        <v>3787</v>
      </c>
      <c r="T975" s="238" t="s">
        <v>3788</v>
      </c>
      <c r="U975" s="238" t="s">
        <v>3996</v>
      </c>
      <c r="AB975" s="1" t="s">
        <v>2527</v>
      </c>
    </row>
    <row r="976" spans="1:28" ht="11.25" customHeight="1">
      <c r="A976" s="233">
        <v>41229</v>
      </c>
      <c r="B976" s="1" t="s">
        <v>2662</v>
      </c>
      <c r="C976" s="1" t="s">
        <v>2080</v>
      </c>
      <c r="D976" s="5" t="s">
        <v>2012</v>
      </c>
      <c r="E976" s="5" t="s">
        <v>2489</v>
      </c>
      <c r="F976" s="5">
        <v>50</v>
      </c>
      <c r="G976" s="1" t="s">
        <v>4970</v>
      </c>
      <c r="H976" s="234">
        <v>2.4300000000000002</v>
      </c>
      <c r="I976" s="236">
        <f t="shared" ref="I976:I1026" si="70">H976*F976</f>
        <v>121.50000000000001</v>
      </c>
      <c r="J976" s="360">
        <v>1.4</v>
      </c>
      <c r="K976" s="241">
        <f>1.4*F976</f>
        <v>70</v>
      </c>
      <c r="L976" s="237">
        <v>41229</v>
      </c>
      <c r="M976" s="1" t="s">
        <v>2390</v>
      </c>
      <c r="N976" s="235">
        <f t="shared" si="69"/>
        <v>121.50000000000001</v>
      </c>
      <c r="O976" s="235">
        <f t="shared" si="65"/>
        <v>0</v>
      </c>
      <c r="P976" s="238" t="s">
        <v>3997</v>
      </c>
      <c r="Q976" s="1" t="s">
        <v>2655</v>
      </c>
      <c r="R976" s="239" t="s">
        <v>2664</v>
      </c>
      <c r="S976" s="238" t="s">
        <v>2665</v>
      </c>
      <c r="T976" s="238" t="s">
        <v>2666</v>
      </c>
      <c r="V976" s="238" t="s">
        <v>3998</v>
      </c>
      <c r="W976" s="236">
        <v>1873.5</v>
      </c>
      <c r="X976" s="233">
        <v>41229</v>
      </c>
      <c r="Y976" s="238" t="s">
        <v>2212</v>
      </c>
      <c r="AA976" s="240" t="s">
        <v>2668</v>
      </c>
      <c r="AB976" s="1" t="s">
        <v>2079</v>
      </c>
    </row>
    <row r="977" spans="1:28" ht="11.25" customHeight="1">
      <c r="A977" s="233">
        <v>41229</v>
      </c>
      <c r="B977" s="1" t="s">
        <v>2662</v>
      </c>
      <c r="C977" s="1" t="s">
        <v>2080</v>
      </c>
      <c r="D977" s="5" t="s">
        <v>1897</v>
      </c>
      <c r="E977" s="1" t="s">
        <v>2669</v>
      </c>
      <c r="F977" s="5">
        <v>60</v>
      </c>
      <c r="G977" s="1" t="s">
        <v>2398</v>
      </c>
      <c r="H977" s="234">
        <v>5.8</v>
      </c>
      <c r="I977" s="236">
        <f t="shared" si="70"/>
        <v>348</v>
      </c>
      <c r="K977" s="241">
        <f>3.97*F977</f>
        <v>238.20000000000002</v>
      </c>
      <c r="L977" s="237">
        <v>41229</v>
      </c>
      <c r="M977" s="1" t="s">
        <v>2390</v>
      </c>
      <c r="N977" s="235">
        <f t="shared" si="69"/>
        <v>348</v>
      </c>
      <c r="O977" s="235">
        <f t="shared" si="65"/>
        <v>0</v>
      </c>
      <c r="P977" s="238" t="s">
        <v>3997</v>
      </c>
      <c r="Q977" s="1" t="s">
        <v>2655</v>
      </c>
      <c r="R977" s="239" t="s">
        <v>2664</v>
      </c>
      <c r="S977" s="238" t="s">
        <v>2665</v>
      </c>
      <c r="T977" s="238" t="s">
        <v>2666</v>
      </c>
      <c r="V977" s="238" t="s">
        <v>3998</v>
      </c>
      <c r="W977" s="236">
        <v>1873.5</v>
      </c>
      <c r="X977" s="233">
        <v>41229</v>
      </c>
      <c r="Y977" s="238" t="s">
        <v>2212</v>
      </c>
      <c r="AA977" s="240" t="s">
        <v>2668</v>
      </c>
      <c r="AB977" s="1" t="s">
        <v>2079</v>
      </c>
    </row>
    <row r="978" spans="1:28" ht="11.25" customHeight="1">
      <c r="A978" s="233">
        <v>41229</v>
      </c>
      <c r="B978" s="1" t="s">
        <v>2662</v>
      </c>
      <c r="C978" s="1" t="s">
        <v>2080</v>
      </c>
      <c r="D978" s="5" t="s">
        <v>232</v>
      </c>
      <c r="E978" s="1" t="s">
        <v>2615</v>
      </c>
      <c r="F978" s="5">
        <v>30</v>
      </c>
      <c r="G978" s="1" t="s">
        <v>2490</v>
      </c>
      <c r="H978" s="234">
        <v>2.6</v>
      </c>
      <c r="I978" s="236">
        <f t="shared" si="70"/>
        <v>78</v>
      </c>
      <c r="K978" s="241">
        <f>1.54*30</f>
        <v>46.2</v>
      </c>
      <c r="L978" s="237">
        <v>41229</v>
      </c>
      <c r="M978" s="1" t="s">
        <v>2390</v>
      </c>
      <c r="N978" s="235">
        <f t="shared" si="69"/>
        <v>78</v>
      </c>
      <c r="O978" s="235">
        <f t="shared" si="65"/>
        <v>0</v>
      </c>
      <c r="P978" s="238" t="s">
        <v>3997</v>
      </c>
      <c r="Q978" s="1" t="s">
        <v>2655</v>
      </c>
      <c r="R978" s="239" t="s">
        <v>2664</v>
      </c>
      <c r="S978" s="238" t="s">
        <v>2665</v>
      </c>
      <c r="T978" s="238" t="s">
        <v>2666</v>
      </c>
      <c r="V978" s="238" t="s">
        <v>3998</v>
      </c>
      <c r="W978" s="236">
        <v>1873.5</v>
      </c>
      <c r="X978" s="233">
        <v>41229</v>
      </c>
      <c r="Y978" s="238" t="s">
        <v>2212</v>
      </c>
      <c r="AA978" s="240" t="s">
        <v>2668</v>
      </c>
      <c r="AB978" s="1" t="s">
        <v>2079</v>
      </c>
    </row>
    <row r="979" spans="1:28" ht="11.25" customHeight="1">
      <c r="A979" s="233">
        <v>41229</v>
      </c>
      <c r="B979" s="1" t="s">
        <v>2662</v>
      </c>
      <c r="C979" s="1" t="s">
        <v>2080</v>
      </c>
      <c r="D979" s="1" t="s">
        <v>1210</v>
      </c>
      <c r="E979" s="1">
        <v>3200</v>
      </c>
      <c r="F979" s="5">
        <v>30</v>
      </c>
      <c r="G979" s="1" t="s">
        <v>2086</v>
      </c>
      <c r="H979" s="234">
        <v>39.1</v>
      </c>
      <c r="I979" s="236">
        <f t="shared" si="70"/>
        <v>1173</v>
      </c>
      <c r="K979" s="241">
        <f>23.94*30</f>
        <v>718.2</v>
      </c>
      <c r="L979" s="237">
        <v>41229</v>
      </c>
      <c r="M979" s="1" t="s">
        <v>2390</v>
      </c>
      <c r="N979" s="235">
        <f t="shared" si="69"/>
        <v>1173</v>
      </c>
      <c r="O979" s="235">
        <f t="shared" si="65"/>
        <v>0</v>
      </c>
      <c r="P979" s="238" t="s">
        <v>3997</v>
      </c>
      <c r="Q979" s="1" t="s">
        <v>2655</v>
      </c>
      <c r="R979" s="239" t="s">
        <v>2664</v>
      </c>
      <c r="S979" s="238" t="s">
        <v>2665</v>
      </c>
      <c r="T979" s="238" t="s">
        <v>2666</v>
      </c>
      <c r="V979" s="238" t="s">
        <v>3998</v>
      </c>
      <c r="W979" s="236">
        <v>1873.5</v>
      </c>
      <c r="X979" s="233">
        <v>41229</v>
      </c>
      <c r="Y979" s="238" t="s">
        <v>2212</v>
      </c>
      <c r="AA979" s="240" t="s">
        <v>2668</v>
      </c>
      <c r="AB979" s="1" t="s">
        <v>2079</v>
      </c>
    </row>
    <row r="980" spans="1:28" ht="11.25" customHeight="1">
      <c r="A980" s="233">
        <v>41229</v>
      </c>
      <c r="B980" s="1" t="s">
        <v>2662</v>
      </c>
      <c r="C980" s="1" t="s">
        <v>2080</v>
      </c>
      <c r="D980" s="5" t="s">
        <v>346</v>
      </c>
      <c r="E980" s="1">
        <v>3700</v>
      </c>
      <c r="F980" s="5">
        <v>30</v>
      </c>
      <c r="G980" s="1" t="s">
        <v>229</v>
      </c>
      <c r="H980" s="234">
        <v>5.0999999999999996</v>
      </c>
      <c r="I980" s="236">
        <f t="shared" si="70"/>
        <v>153</v>
      </c>
      <c r="J980" s="352">
        <v>3.09</v>
      </c>
      <c r="K980" s="241">
        <f>3.09*30</f>
        <v>92.699999999999989</v>
      </c>
      <c r="L980" s="237">
        <v>41229</v>
      </c>
      <c r="M980" s="1" t="s">
        <v>2390</v>
      </c>
      <c r="N980" s="235">
        <f t="shared" si="69"/>
        <v>153</v>
      </c>
      <c r="O980" s="235">
        <f t="shared" si="65"/>
        <v>0</v>
      </c>
      <c r="P980" s="238" t="s">
        <v>3997</v>
      </c>
      <c r="Q980" s="1" t="s">
        <v>2655</v>
      </c>
      <c r="R980" s="239" t="s">
        <v>2664</v>
      </c>
      <c r="S980" s="238" t="s">
        <v>2665</v>
      </c>
      <c r="T980" s="238" t="s">
        <v>2666</v>
      </c>
      <c r="V980" s="238" t="s">
        <v>3998</v>
      </c>
      <c r="W980" s="236">
        <v>1873.5</v>
      </c>
      <c r="X980" s="233">
        <v>41229</v>
      </c>
      <c r="Y980" s="238" t="s">
        <v>2212</v>
      </c>
      <c r="AA980" s="240" t="s">
        <v>2668</v>
      </c>
      <c r="AB980" s="1" t="s">
        <v>2079</v>
      </c>
    </row>
    <row r="981" spans="1:28" ht="15" customHeight="1">
      <c r="A981" s="233">
        <v>41232</v>
      </c>
      <c r="B981" s="1" t="s">
        <v>3412</v>
      </c>
      <c r="C981" s="1" t="s">
        <v>2080</v>
      </c>
      <c r="D981" s="5" t="s">
        <v>1882</v>
      </c>
      <c r="E981" s="1" t="s">
        <v>2492</v>
      </c>
      <c r="F981" s="5">
        <v>10</v>
      </c>
      <c r="G981" s="1" t="s">
        <v>2086</v>
      </c>
      <c r="H981" s="234">
        <v>30</v>
      </c>
      <c r="I981" s="235">
        <f t="shared" si="70"/>
        <v>300</v>
      </c>
      <c r="K981" s="241">
        <f>16.5*10</f>
        <v>165</v>
      </c>
      <c r="L981" s="237">
        <v>41232</v>
      </c>
      <c r="M981" s="1" t="s">
        <v>2327</v>
      </c>
      <c r="N981" s="235">
        <f t="shared" si="69"/>
        <v>300</v>
      </c>
      <c r="O981" s="235">
        <f t="shared" si="65"/>
        <v>0</v>
      </c>
      <c r="P981" s="238" t="s">
        <v>3999</v>
      </c>
      <c r="Q981" s="1" t="s">
        <v>4000</v>
      </c>
      <c r="R981" s="239" t="s">
        <v>2934</v>
      </c>
      <c r="S981" s="238" t="s">
        <v>3954</v>
      </c>
      <c r="T981" s="238" t="s">
        <v>4001</v>
      </c>
      <c r="U981" s="238" t="s">
        <v>4002</v>
      </c>
      <c r="V981" s="246" t="s">
        <v>3418</v>
      </c>
      <c r="W981" s="236">
        <v>2365</v>
      </c>
      <c r="X981" s="233">
        <v>41234</v>
      </c>
      <c r="Y981" s="238" t="s">
        <v>3419</v>
      </c>
      <c r="AB981" s="1" t="s">
        <v>2079</v>
      </c>
    </row>
    <row r="982" spans="1:28" ht="11.25" customHeight="1">
      <c r="A982" s="233">
        <v>41232</v>
      </c>
      <c r="B982" s="1" t="s">
        <v>3412</v>
      </c>
      <c r="C982" s="1" t="s">
        <v>2080</v>
      </c>
      <c r="D982" s="5" t="s">
        <v>1874</v>
      </c>
      <c r="E982" s="1" t="s">
        <v>2107</v>
      </c>
      <c r="F982" s="5">
        <v>30</v>
      </c>
      <c r="G982" s="1" t="s">
        <v>231</v>
      </c>
      <c r="H982" s="234">
        <v>9</v>
      </c>
      <c r="I982" s="235">
        <f t="shared" si="70"/>
        <v>270</v>
      </c>
      <c r="K982" s="241">
        <f>4.78*30</f>
        <v>143.4</v>
      </c>
      <c r="L982" s="237">
        <v>41232</v>
      </c>
      <c r="M982" s="1" t="s">
        <v>2327</v>
      </c>
      <c r="N982" s="235">
        <f t="shared" si="69"/>
        <v>270</v>
      </c>
      <c r="O982" s="235">
        <f t="shared" si="65"/>
        <v>0</v>
      </c>
      <c r="P982" s="238" t="s">
        <v>3999</v>
      </c>
      <c r="Q982" s="1" t="s">
        <v>4000</v>
      </c>
      <c r="R982" s="239" t="s">
        <v>2934</v>
      </c>
      <c r="S982" s="238" t="s">
        <v>3954</v>
      </c>
      <c r="T982" s="238" t="s">
        <v>4001</v>
      </c>
      <c r="U982" s="238" t="s">
        <v>4002</v>
      </c>
      <c r="V982" s="246" t="s">
        <v>3418</v>
      </c>
      <c r="W982" s="236">
        <v>2365</v>
      </c>
      <c r="X982" s="233">
        <v>41234</v>
      </c>
      <c r="Y982" s="238" t="s">
        <v>3419</v>
      </c>
      <c r="AB982" s="1" t="s">
        <v>2079</v>
      </c>
    </row>
    <row r="983" spans="1:28" ht="11.25" customHeight="1">
      <c r="A983" s="233">
        <v>41232</v>
      </c>
      <c r="B983" s="1" t="s">
        <v>3948</v>
      </c>
      <c r="C983" s="1" t="s">
        <v>2080</v>
      </c>
      <c r="D983" s="1" t="s">
        <v>1213</v>
      </c>
      <c r="E983" s="1" t="s">
        <v>2509</v>
      </c>
      <c r="F983" s="5">
        <v>15</v>
      </c>
      <c r="G983" s="1" t="s">
        <v>2398</v>
      </c>
      <c r="H983" s="234">
        <v>13.4</v>
      </c>
      <c r="I983" s="235">
        <f t="shared" si="70"/>
        <v>201</v>
      </c>
      <c r="K983" s="250">
        <f>13*15</f>
        <v>195</v>
      </c>
      <c r="L983" s="237">
        <v>41281</v>
      </c>
      <c r="M983" s="1" t="s">
        <v>2077</v>
      </c>
      <c r="N983" s="235">
        <f t="shared" si="69"/>
        <v>201</v>
      </c>
      <c r="O983" s="235">
        <f t="shared" si="65"/>
        <v>0</v>
      </c>
      <c r="P983" s="238" t="s">
        <v>4003</v>
      </c>
      <c r="Q983" s="1" t="s">
        <v>2505</v>
      </c>
      <c r="R983" s="239" t="s">
        <v>4004</v>
      </c>
      <c r="S983" s="238">
        <v>13368068212</v>
      </c>
      <c r="T983" s="238" t="s">
        <v>2082</v>
      </c>
      <c r="U983" s="238" t="s">
        <v>2082</v>
      </c>
      <c r="V983" s="238" t="s">
        <v>4005</v>
      </c>
      <c r="W983" s="236">
        <v>11117.3</v>
      </c>
      <c r="X983" s="233">
        <v>41268</v>
      </c>
      <c r="Y983" s="238" t="s">
        <v>3951</v>
      </c>
      <c r="AB983" s="1" t="s">
        <v>2527</v>
      </c>
    </row>
    <row r="984" spans="1:28" ht="11.25" customHeight="1">
      <c r="A984" s="233">
        <v>41232</v>
      </c>
      <c r="B984" s="1" t="s">
        <v>2084</v>
      </c>
      <c r="C984" s="1" t="s">
        <v>2080</v>
      </c>
      <c r="D984" s="1" t="s">
        <v>2010</v>
      </c>
      <c r="E984" s="1">
        <v>10434</v>
      </c>
      <c r="F984" s="5">
        <v>20</v>
      </c>
      <c r="G984" s="1" t="s">
        <v>2398</v>
      </c>
      <c r="H984" s="234">
        <v>16.8</v>
      </c>
      <c r="I984" s="235">
        <f t="shared" si="70"/>
        <v>336</v>
      </c>
      <c r="K984" s="241">
        <f>14.2*20</f>
        <v>284</v>
      </c>
      <c r="L984" s="237">
        <v>41232</v>
      </c>
      <c r="M984" s="1" t="s">
        <v>2327</v>
      </c>
      <c r="N984" s="235">
        <f t="shared" si="69"/>
        <v>336</v>
      </c>
      <c r="O984" s="235">
        <f t="shared" si="65"/>
        <v>0</v>
      </c>
      <c r="P984" s="238" t="s">
        <v>4006</v>
      </c>
      <c r="Q984" s="1" t="s">
        <v>2562</v>
      </c>
      <c r="R984" s="239" t="s">
        <v>3703</v>
      </c>
      <c r="S984" s="238" t="s">
        <v>3704</v>
      </c>
      <c r="T984" s="238" t="s">
        <v>4007</v>
      </c>
      <c r="U984" s="238" t="s">
        <v>4008</v>
      </c>
      <c r="V984" s="238" t="s">
        <v>2082</v>
      </c>
      <c r="AB984" s="1" t="s">
        <v>2527</v>
      </c>
    </row>
    <row r="985" spans="1:28" ht="11.25" customHeight="1">
      <c r="A985" s="233">
        <v>41233</v>
      </c>
      <c r="B985" s="1" t="s">
        <v>4009</v>
      </c>
      <c r="C985" s="1" t="s">
        <v>2080</v>
      </c>
      <c r="D985" s="5" t="s">
        <v>1899</v>
      </c>
      <c r="E985" s="1">
        <v>6200</v>
      </c>
      <c r="F985" s="5">
        <v>30</v>
      </c>
      <c r="G985" s="1" t="s">
        <v>2086</v>
      </c>
      <c r="H985" s="234">
        <v>44.39</v>
      </c>
      <c r="I985" s="235">
        <f t="shared" si="70"/>
        <v>1331.7</v>
      </c>
      <c r="J985" s="352">
        <v>42.7</v>
      </c>
      <c r="K985" s="241" t="e">
        <f>#REF!*F985</f>
        <v>#REF!</v>
      </c>
      <c r="L985" s="237">
        <v>41232</v>
      </c>
      <c r="M985" s="1" t="s">
        <v>2327</v>
      </c>
      <c r="N985" s="235">
        <f t="shared" si="69"/>
        <v>1331.7</v>
      </c>
      <c r="O985" s="235">
        <f t="shared" si="65"/>
        <v>0</v>
      </c>
      <c r="P985" s="238" t="s">
        <v>2082</v>
      </c>
      <c r="Q985" s="1" t="s">
        <v>4010</v>
      </c>
      <c r="R985" s="239" t="s">
        <v>4011</v>
      </c>
      <c r="S985" s="238" t="s">
        <v>4012</v>
      </c>
      <c r="T985" s="238" t="s">
        <v>4013</v>
      </c>
      <c r="U985" s="238" t="s">
        <v>4014</v>
      </c>
      <c r="V985" s="238" t="s">
        <v>2488</v>
      </c>
      <c r="AB985" s="1" t="s">
        <v>2527</v>
      </c>
    </row>
    <row r="986" spans="1:28" ht="11.25" customHeight="1">
      <c r="A986" s="233">
        <v>41233</v>
      </c>
      <c r="B986" s="1" t="s">
        <v>4009</v>
      </c>
      <c r="C986" s="1" t="s">
        <v>2080</v>
      </c>
      <c r="D986" s="5" t="s">
        <v>1874</v>
      </c>
      <c r="E986" s="1" t="s">
        <v>2107</v>
      </c>
      <c r="F986" s="5">
        <v>60</v>
      </c>
      <c r="G986" s="1" t="s">
        <v>231</v>
      </c>
      <c r="H986" s="234">
        <v>5.0199999999999996</v>
      </c>
      <c r="I986" s="235">
        <f t="shared" si="70"/>
        <v>301.2</v>
      </c>
      <c r="K986" s="241">
        <f>4.78*60</f>
        <v>286.8</v>
      </c>
      <c r="L986" s="237">
        <v>41232</v>
      </c>
      <c r="M986" s="1" t="s">
        <v>2327</v>
      </c>
      <c r="N986" s="235">
        <f t="shared" si="69"/>
        <v>301.2</v>
      </c>
      <c r="O986" s="235">
        <f t="shared" si="65"/>
        <v>0</v>
      </c>
      <c r="P986" s="238" t="s">
        <v>2082</v>
      </c>
      <c r="Q986" s="1" t="s">
        <v>4010</v>
      </c>
      <c r="R986" s="239" t="s">
        <v>4011</v>
      </c>
      <c r="S986" s="238" t="s">
        <v>4012</v>
      </c>
      <c r="T986" s="238" t="s">
        <v>4013</v>
      </c>
      <c r="U986" s="238" t="s">
        <v>4014</v>
      </c>
      <c r="V986" s="238" t="s">
        <v>2488</v>
      </c>
      <c r="AB986" s="1" t="s">
        <v>2527</v>
      </c>
    </row>
    <row r="987" spans="1:28" ht="11.25" customHeight="1">
      <c r="A987" s="233">
        <v>41233</v>
      </c>
      <c r="B987" s="1" t="s">
        <v>4009</v>
      </c>
      <c r="C987" s="1" t="s">
        <v>2080</v>
      </c>
      <c r="D987" s="5" t="s">
        <v>1869</v>
      </c>
      <c r="E987" s="1">
        <v>501</v>
      </c>
      <c r="F987" s="5">
        <v>60</v>
      </c>
      <c r="G987" s="1" t="s">
        <v>2086</v>
      </c>
      <c r="H987" s="234">
        <v>1.52</v>
      </c>
      <c r="I987" s="235">
        <f t="shared" si="70"/>
        <v>91.2</v>
      </c>
      <c r="J987" s="352">
        <v>1.4</v>
      </c>
      <c r="K987" s="241">
        <f>1.4*60</f>
        <v>84</v>
      </c>
      <c r="L987" s="237">
        <v>41232</v>
      </c>
      <c r="M987" s="1" t="s">
        <v>2327</v>
      </c>
      <c r="N987" s="235">
        <f t="shared" si="69"/>
        <v>91.2</v>
      </c>
      <c r="O987" s="235">
        <f t="shared" si="65"/>
        <v>0</v>
      </c>
      <c r="P987" s="238" t="s">
        <v>2082</v>
      </c>
      <c r="Q987" s="1" t="s">
        <v>4010</v>
      </c>
      <c r="R987" s="239" t="s">
        <v>4011</v>
      </c>
      <c r="S987" s="238" t="s">
        <v>4012</v>
      </c>
      <c r="T987" s="238" t="s">
        <v>4013</v>
      </c>
      <c r="U987" s="238" t="s">
        <v>4014</v>
      </c>
      <c r="V987" s="238" t="s">
        <v>2488</v>
      </c>
      <c r="AB987" s="1" t="s">
        <v>2527</v>
      </c>
    </row>
    <row r="988" spans="1:28" ht="11.25" customHeight="1">
      <c r="A988" s="233">
        <v>41233</v>
      </c>
      <c r="B988" s="1" t="s">
        <v>4009</v>
      </c>
      <c r="C988" s="1" t="s">
        <v>2080</v>
      </c>
      <c r="D988" s="5" t="s">
        <v>1223</v>
      </c>
      <c r="E988" s="1">
        <v>6009</v>
      </c>
      <c r="F988" s="5">
        <v>60</v>
      </c>
      <c r="G988" s="1" t="s">
        <v>2086</v>
      </c>
      <c r="H988" s="234">
        <v>44.16</v>
      </c>
      <c r="I988" s="235">
        <f t="shared" si="70"/>
        <v>2649.6</v>
      </c>
      <c r="K988" s="241">
        <f>60*39</f>
        <v>2340</v>
      </c>
      <c r="L988" s="237">
        <v>41232</v>
      </c>
      <c r="M988" s="1" t="s">
        <v>2327</v>
      </c>
      <c r="N988" s="235">
        <f t="shared" si="69"/>
        <v>2649.6</v>
      </c>
      <c r="O988" s="235">
        <f t="shared" si="65"/>
        <v>0</v>
      </c>
      <c r="P988" s="238" t="s">
        <v>2082</v>
      </c>
      <c r="Q988" s="1" t="s">
        <v>4010</v>
      </c>
      <c r="R988" s="239" t="s">
        <v>4011</v>
      </c>
      <c r="S988" s="238" t="s">
        <v>4012</v>
      </c>
      <c r="T988" s="238" t="s">
        <v>4013</v>
      </c>
      <c r="U988" s="238" t="s">
        <v>4014</v>
      </c>
      <c r="V988" s="238" t="s">
        <v>2488</v>
      </c>
      <c r="AB988" s="1" t="s">
        <v>2527</v>
      </c>
    </row>
    <row r="989" spans="1:28" ht="11.25" customHeight="1">
      <c r="A989" s="233">
        <v>41233</v>
      </c>
      <c r="B989" s="1" t="s">
        <v>4009</v>
      </c>
      <c r="C989" s="1" t="s">
        <v>2080</v>
      </c>
      <c r="D989" s="5" t="s">
        <v>1882</v>
      </c>
      <c r="E989" s="1" t="s">
        <v>2492</v>
      </c>
      <c r="F989" s="5">
        <v>2</v>
      </c>
      <c r="G989" s="1" t="s">
        <v>2086</v>
      </c>
      <c r="H989" s="234">
        <v>18.239999999999998</v>
      </c>
      <c r="I989" s="235">
        <f t="shared" si="70"/>
        <v>36.479999999999997</v>
      </c>
      <c r="K989" s="241">
        <f>16.5*2</f>
        <v>33</v>
      </c>
      <c r="L989" s="237">
        <v>41232</v>
      </c>
      <c r="M989" s="1" t="s">
        <v>2327</v>
      </c>
      <c r="N989" s="235">
        <f t="shared" si="69"/>
        <v>36.479999999999997</v>
      </c>
      <c r="O989" s="235">
        <f t="shared" si="65"/>
        <v>0</v>
      </c>
      <c r="P989" s="238" t="s">
        <v>2082</v>
      </c>
      <c r="Q989" s="1" t="s">
        <v>4010</v>
      </c>
      <c r="R989" s="239" t="s">
        <v>4011</v>
      </c>
      <c r="S989" s="238" t="s">
        <v>4012</v>
      </c>
      <c r="T989" s="238" t="s">
        <v>4013</v>
      </c>
      <c r="U989" s="238" t="s">
        <v>4014</v>
      </c>
      <c r="V989" s="238" t="s">
        <v>2488</v>
      </c>
      <c r="AB989" s="1" t="s">
        <v>2527</v>
      </c>
    </row>
    <row r="990" spans="1:28" ht="11.25" customHeight="1">
      <c r="A990" s="233">
        <v>41233</v>
      </c>
      <c r="B990" s="1" t="s">
        <v>4009</v>
      </c>
      <c r="C990" s="1" t="s">
        <v>2080</v>
      </c>
      <c r="D990" s="5" t="s">
        <v>1222</v>
      </c>
      <c r="E990" s="1">
        <v>6057</v>
      </c>
      <c r="F990" s="5">
        <v>2</v>
      </c>
      <c r="G990" s="1" t="s">
        <v>2086</v>
      </c>
      <c r="H990" s="234">
        <v>57.6</v>
      </c>
      <c r="I990" s="235">
        <f t="shared" si="70"/>
        <v>115.2</v>
      </c>
      <c r="K990" s="241">
        <f>55.2948</f>
        <v>55.294800000000002</v>
      </c>
      <c r="L990" s="237">
        <v>41232</v>
      </c>
      <c r="M990" s="1" t="s">
        <v>2327</v>
      </c>
      <c r="N990" s="235">
        <f t="shared" si="69"/>
        <v>115.2</v>
      </c>
      <c r="O990" s="235">
        <f t="shared" si="65"/>
        <v>0</v>
      </c>
      <c r="P990" s="238" t="s">
        <v>2082</v>
      </c>
      <c r="Q990" s="1" t="s">
        <v>4010</v>
      </c>
      <c r="R990" s="239" t="s">
        <v>4011</v>
      </c>
      <c r="S990" s="238" t="s">
        <v>4012</v>
      </c>
      <c r="T990" s="238" t="s">
        <v>4013</v>
      </c>
      <c r="U990" s="238" t="s">
        <v>4014</v>
      </c>
      <c r="V990" s="238" t="s">
        <v>2488</v>
      </c>
      <c r="AB990" s="1" t="s">
        <v>2527</v>
      </c>
    </row>
    <row r="991" spans="1:28" ht="11.25" customHeight="1">
      <c r="A991" s="233">
        <v>41233</v>
      </c>
      <c r="B991" s="1" t="s">
        <v>4009</v>
      </c>
      <c r="C991" s="1" t="s">
        <v>2080</v>
      </c>
      <c r="D991" s="5" t="s">
        <v>1867</v>
      </c>
      <c r="E991" s="1">
        <v>6006</v>
      </c>
      <c r="F991" s="5">
        <v>2</v>
      </c>
      <c r="G991" s="1" t="s">
        <v>2086</v>
      </c>
      <c r="H991" s="234">
        <v>50.88</v>
      </c>
      <c r="I991" s="235">
        <f t="shared" si="70"/>
        <v>101.76</v>
      </c>
      <c r="K991" s="254">
        <f>46.53*2</f>
        <v>93.06</v>
      </c>
      <c r="L991" s="237">
        <v>41232</v>
      </c>
      <c r="M991" s="1" t="s">
        <v>2327</v>
      </c>
      <c r="N991" s="235">
        <f t="shared" si="69"/>
        <v>101.76</v>
      </c>
      <c r="O991" s="235">
        <f t="shared" si="65"/>
        <v>0</v>
      </c>
      <c r="P991" s="238" t="s">
        <v>2082</v>
      </c>
      <c r="Q991" s="1" t="s">
        <v>4010</v>
      </c>
      <c r="R991" s="239" t="s">
        <v>4011</v>
      </c>
      <c r="S991" s="238" t="s">
        <v>4012</v>
      </c>
      <c r="T991" s="238" t="s">
        <v>4013</v>
      </c>
      <c r="U991" s="238" t="s">
        <v>4014</v>
      </c>
      <c r="V991" s="238" t="s">
        <v>2488</v>
      </c>
      <c r="Z991" s="255" t="s">
        <v>2549</v>
      </c>
      <c r="AB991" s="1" t="s">
        <v>2527</v>
      </c>
    </row>
    <row r="992" spans="1:28" ht="11.25" customHeight="1">
      <c r="A992" s="233">
        <v>41233</v>
      </c>
      <c r="B992" s="5" t="s">
        <v>2714</v>
      </c>
      <c r="C992" s="5" t="s">
        <v>2080</v>
      </c>
      <c r="D992" s="5" t="s">
        <v>240</v>
      </c>
      <c r="E992" s="5">
        <v>6200</v>
      </c>
      <c r="F992" s="5">
        <v>76</v>
      </c>
      <c r="G992" s="5" t="s">
        <v>2086</v>
      </c>
      <c r="H992" s="243">
        <v>79.400000000000006</v>
      </c>
      <c r="I992" s="235">
        <f t="shared" si="70"/>
        <v>6034.4000000000005</v>
      </c>
      <c r="J992" s="352">
        <v>42.7</v>
      </c>
      <c r="K992" s="241">
        <f>42.7*F992</f>
        <v>3245.2000000000003</v>
      </c>
      <c r="L992" s="237" t="s">
        <v>5002</v>
      </c>
      <c r="M992" s="1" t="s">
        <v>167</v>
      </c>
      <c r="N992" s="235">
        <f t="shared" si="69"/>
        <v>6034.4000000000005</v>
      </c>
      <c r="O992" s="235">
        <f t="shared" si="65"/>
        <v>0</v>
      </c>
      <c r="P992" s="238" t="s">
        <v>4015</v>
      </c>
      <c r="Q992" s="1" t="s">
        <v>4016</v>
      </c>
      <c r="R992" s="239" t="s">
        <v>2717</v>
      </c>
      <c r="S992" s="238" t="s">
        <v>3492</v>
      </c>
      <c r="T992" s="238" t="s">
        <v>797</v>
      </c>
      <c r="U992" s="238" t="s">
        <v>4017</v>
      </c>
      <c r="V992" s="278" t="s">
        <v>4018</v>
      </c>
      <c r="W992" s="251">
        <v>6320.4</v>
      </c>
      <c r="X992" s="279">
        <v>41234</v>
      </c>
      <c r="Y992" s="278" t="s">
        <v>4019</v>
      </c>
      <c r="Z992" s="280" t="s">
        <v>4020</v>
      </c>
      <c r="AA992" s="240" t="s">
        <v>2722</v>
      </c>
      <c r="AB992" s="1" t="s">
        <v>2079</v>
      </c>
    </row>
    <row r="993" spans="1:28" ht="11.25" customHeight="1">
      <c r="A993" s="233">
        <v>41233</v>
      </c>
      <c r="B993" s="5" t="s">
        <v>2714</v>
      </c>
      <c r="C993" s="5" t="s">
        <v>2080</v>
      </c>
      <c r="D993" s="5" t="s">
        <v>1882</v>
      </c>
      <c r="E993" s="5" t="s">
        <v>2492</v>
      </c>
      <c r="F993" s="5">
        <v>10</v>
      </c>
      <c r="G993" s="5" t="s">
        <v>2086</v>
      </c>
      <c r="H993" s="243">
        <v>28.6</v>
      </c>
      <c r="I993" s="235">
        <f t="shared" si="70"/>
        <v>286</v>
      </c>
      <c r="K993" s="241">
        <f>16.5*10</f>
        <v>165</v>
      </c>
      <c r="L993" s="237" t="s">
        <v>5002</v>
      </c>
      <c r="M993" s="1" t="s">
        <v>5002</v>
      </c>
      <c r="N993" s="235">
        <f t="shared" si="69"/>
        <v>286</v>
      </c>
      <c r="O993" s="235">
        <f t="shared" si="65"/>
        <v>0</v>
      </c>
      <c r="P993" s="238" t="s">
        <v>4015</v>
      </c>
      <c r="Q993" s="1" t="s">
        <v>4016</v>
      </c>
      <c r="R993" s="239" t="s">
        <v>2717</v>
      </c>
      <c r="S993" s="238" t="s">
        <v>3492</v>
      </c>
      <c r="T993" s="238" t="s">
        <v>797</v>
      </c>
      <c r="U993" s="238" t="s">
        <v>4017</v>
      </c>
      <c r="V993" s="278" t="s">
        <v>4018</v>
      </c>
      <c r="W993" s="251">
        <v>6320.4</v>
      </c>
      <c r="X993" s="279">
        <v>41234</v>
      </c>
      <c r="Y993" s="278" t="s">
        <v>4019</v>
      </c>
      <c r="Z993" s="280" t="s">
        <v>4020</v>
      </c>
      <c r="AA993" s="240" t="s">
        <v>2722</v>
      </c>
      <c r="AB993" s="1" t="s">
        <v>2079</v>
      </c>
    </row>
    <row r="994" spans="1:28" ht="11.25" customHeight="1">
      <c r="A994" s="233">
        <v>41233</v>
      </c>
      <c r="B994" s="1" t="s">
        <v>4021</v>
      </c>
      <c r="C994" s="1" t="s">
        <v>2080</v>
      </c>
      <c r="D994" s="5" t="s">
        <v>1712</v>
      </c>
      <c r="E994" s="1">
        <v>9010</v>
      </c>
      <c r="F994" s="5">
        <v>2</v>
      </c>
      <c r="G994" s="1" t="s">
        <v>2086</v>
      </c>
      <c r="H994" s="234">
        <v>3.4</v>
      </c>
      <c r="I994" s="235">
        <f t="shared" si="70"/>
        <v>6.8</v>
      </c>
      <c r="K994" s="254">
        <f>1.9*2</f>
        <v>3.8</v>
      </c>
      <c r="L994" s="237">
        <v>41233</v>
      </c>
      <c r="M994" s="1" t="s">
        <v>2327</v>
      </c>
      <c r="N994" s="235">
        <f t="shared" si="69"/>
        <v>6.8</v>
      </c>
      <c r="O994" s="235">
        <f t="shared" si="65"/>
        <v>0</v>
      </c>
      <c r="P994" s="238" t="s">
        <v>4022</v>
      </c>
      <c r="Q994" s="1" t="s">
        <v>4000</v>
      </c>
      <c r="R994" s="239" t="s">
        <v>4023</v>
      </c>
      <c r="S994" s="238" t="s">
        <v>4024</v>
      </c>
      <c r="T994" s="238" t="s">
        <v>4025</v>
      </c>
      <c r="U994" s="238" t="s">
        <v>4026</v>
      </c>
      <c r="V994" s="238" t="s">
        <v>2488</v>
      </c>
      <c r="Z994" s="255" t="s">
        <v>2549</v>
      </c>
      <c r="AB994" s="1" t="s">
        <v>2527</v>
      </c>
    </row>
    <row r="995" spans="1:28" ht="11.25" customHeight="1">
      <c r="A995" s="233">
        <v>41233</v>
      </c>
      <c r="B995" s="1" t="s">
        <v>4021</v>
      </c>
      <c r="C995" s="1" t="s">
        <v>2080</v>
      </c>
      <c r="D995" s="1" t="s">
        <v>1213</v>
      </c>
      <c r="E995" s="1" t="s">
        <v>2509</v>
      </c>
      <c r="F995" s="5">
        <v>1</v>
      </c>
      <c r="G995" s="1" t="s">
        <v>2398</v>
      </c>
      <c r="H995" s="234">
        <v>15</v>
      </c>
      <c r="I995" s="235">
        <f t="shared" si="70"/>
        <v>15</v>
      </c>
      <c r="K995" s="250">
        <f>13*1</f>
        <v>13</v>
      </c>
      <c r="L995" s="237">
        <v>41233</v>
      </c>
      <c r="M995" s="1" t="s">
        <v>2327</v>
      </c>
      <c r="N995" s="235">
        <f t="shared" si="69"/>
        <v>15</v>
      </c>
      <c r="O995" s="235">
        <f t="shared" si="65"/>
        <v>0</v>
      </c>
      <c r="P995" s="238" t="s">
        <v>4022</v>
      </c>
      <c r="Q995" s="1" t="s">
        <v>4000</v>
      </c>
      <c r="R995" s="239" t="s">
        <v>4023</v>
      </c>
      <c r="S995" s="238" t="s">
        <v>4024</v>
      </c>
      <c r="T995" s="238" t="s">
        <v>4025</v>
      </c>
      <c r="U995" s="238" t="s">
        <v>4026</v>
      </c>
      <c r="V995" s="238" t="s">
        <v>2488</v>
      </c>
      <c r="AB995" s="1" t="s">
        <v>2527</v>
      </c>
    </row>
    <row r="996" spans="1:28" ht="11.25" customHeight="1">
      <c r="A996" s="233">
        <v>41233</v>
      </c>
      <c r="B996" s="1" t="s">
        <v>4021</v>
      </c>
      <c r="C996" s="1" t="s">
        <v>1329</v>
      </c>
      <c r="D996" s="95" t="s">
        <v>5008</v>
      </c>
      <c r="E996" s="1" t="s">
        <v>3585</v>
      </c>
      <c r="F996" s="5">
        <v>2</v>
      </c>
      <c r="G996" s="1" t="s">
        <v>2823</v>
      </c>
      <c r="H996" s="234">
        <v>15</v>
      </c>
      <c r="I996" s="235">
        <f t="shared" si="70"/>
        <v>30</v>
      </c>
      <c r="K996" s="241">
        <f>10*2</f>
        <v>20</v>
      </c>
      <c r="L996" s="237">
        <v>41233</v>
      </c>
      <c r="M996" s="1" t="s">
        <v>2327</v>
      </c>
      <c r="N996" s="235">
        <f t="shared" si="69"/>
        <v>30</v>
      </c>
      <c r="O996" s="235">
        <f t="shared" si="65"/>
        <v>0</v>
      </c>
      <c r="P996" s="238" t="s">
        <v>4022</v>
      </c>
      <c r="Q996" s="1" t="s">
        <v>4000</v>
      </c>
      <c r="R996" s="239" t="s">
        <v>4023</v>
      </c>
      <c r="S996" s="238" t="s">
        <v>4024</v>
      </c>
      <c r="T996" s="238" t="s">
        <v>4025</v>
      </c>
      <c r="U996" s="238" t="s">
        <v>4026</v>
      </c>
      <c r="V996" s="238" t="s">
        <v>2488</v>
      </c>
      <c r="AB996" s="1" t="s">
        <v>2527</v>
      </c>
    </row>
    <row r="997" spans="1:28" ht="11.25" customHeight="1">
      <c r="A997" s="233">
        <v>41233</v>
      </c>
      <c r="B997" s="1" t="s">
        <v>4021</v>
      </c>
      <c r="C997" s="1" t="s">
        <v>2080</v>
      </c>
      <c r="D997" s="5" t="s">
        <v>2017</v>
      </c>
      <c r="E997" s="1">
        <v>4620</v>
      </c>
      <c r="F997" s="5">
        <v>1</v>
      </c>
      <c r="G997" s="1" t="s">
        <v>2529</v>
      </c>
      <c r="H997" s="234">
        <v>21</v>
      </c>
      <c r="I997" s="235">
        <f t="shared" si="70"/>
        <v>21</v>
      </c>
      <c r="K997" s="241">
        <f>17.79*1</f>
        <v>17.79</v>
      </c>
      <c r="L997" s="237">
        <v>41233</v>
      </c>
      <c r="M997" s="1" t="s">
        <v>2327</v>
      </c>
      <c r="N997" s="235">
        <f t="shared" si="69"/>
        <v>21</v>
      </c>
      <c r="O997" s="235">
        <f t="shared" si="65"/>
        <v>0</v>
      </c>
      <c r="P997" s="238" t="s">
        <v>4022</v>
      </c>
      <c r="Q997" s="1" t="s">
        <v>4000</v>
      </c>
      <c r="R997" s="239" t="s">
        <v>4023</v>
      </c>
      <c r="S997" s="238" t="s">
        <v>4024</v>
      </c>
      <c r="T997" s="238" t="s">
        <v>4025</v>
      </c>
      <c r="U997" s="238" t="s">
        <v>4026</v>
      </c>
      <c r="V997" s="238" t="s">
        <v>2488</v>
      </c>
      <c r="AB997" s="1" t="s">
        <v>2527</v>
      </c>
    </row>
    <row r="998" spans="1:28" ht="12" customHeight="1">
      <c r="A998" s="233">
        <v>41234</v>
      </c>
      <c r="B998" s="1" t="s">
        <v>3948</v>
      </c>
      <c r="C998" s="1" t="s">
        <v>2080</v>
      </c>
      <c r="D998" s="5" t="s">
        <v>32</v>
      </c>
      <c r="E998" s="1">
        <v>11394</v>
      </c>
      <c r="F998" s="5">
        <v>10</v>
      </c>
      <c r="G998" s="1" t="s">
        <v>2398</v>
      </c>
      <c r="H998" s="234">
        <v>20</v>
      </c>
      <c r="I998" s="235">
        <f t="shared" si="70"/>
        <v>200</v>
      </c>
      <c r="K998" s="241">
        <f>19.43*3+18.78*7</f>
        <v>189.75</v>
      </c>
      <c r="L998" s="237">
        <v>41281</v>
      </c>
      <c r="M998" s="1" t="s">
        <v>2077</v>
      </c>
      <c r="N998" s="235">
        <f t="shared" si="69"/>
        <v>200</v>
      </c>
      <c r="O998" s="235">
        <f t="shared" si="65"/>
        <v>0</v>
      </c>
      <c r="P998" s="238" t="s">
        <v>4027</v>
      </c>
      <c r="Q998" s="1" t="s">
        <v>2505</v>
      </c>
      <c r="R998" s="239" t="s">
        <v>4004</v>
      </c>
      <c r="S998" s="238">
        <v>13368068212</v>
      </c>
      <c r="T998" s="238" t="s">
        <v>2082</v>
      </c>
      <c r="U998" s="238" t="s">
        <v>2082</v>
      </c>
      <c r="V998" s="238" t="s">
        <v>4005</v>
      </c>
      <c r="W998" s="236">
        <v>11117.3</v>
      </c>
      <c r="X998" s="233">
        <v>41268</v>
      </c>
      <c r="Y998" s="238" t="s">
        <v>3951</v>
      </c>
      <c r="AB998" s="1" t="s">
        <v>2527</v>
      </c>
    </row>
    <row r="999" spans="1:28" ht="11.25" customHeight="1">
      <c r="A999" s="233">
        <v>41234</v>
      </c>
      <c r="B999" s="1" t="s">
        <v>2565</v>
      </c>
      <c r="C999" s="1" t="s">
        <v>2080</v>
      </c>
      <c r="D999" s="5" t="s">
        <v>1930</v>
      </c>
      <c r="E999" s="1" t="s">
        <v>2790</v>
      </c>
      <c r="F999" s="5">
        <v>200</v>
      </c>
      <c r="G999" s="1" t="s">
        <v>2490</v>
      </c>
      <c r="H999" s="234">
        <v>5.6</v>
      </c>
      <c r="I999" s="235">
        <f t="shared" si="70"/>
        <v>1120</v>
      </c>
      <c r="K999" s="241">
        <f>5*200</f>
        <v>1000</v>
      </c>
      <c r="L999" s="237">
        <v>41338</v>
      </c>
      <c r="M999" s="1" t="s">
        <v>165</v>
      </c>
      <c r="N999" s="235">
        <f t="shared" si="69"/>
        <v>1120</v>
      </c>
      <c r="O999" s="235">
        <f t="shared" si="65"/>
        <v>0</v>
      </c>
      <c r="P999" s="238" t="s">
        <v>4028</v>
      </c>
      <c r="Q999" s="1" t="s">
        <v>2968</v>
      </c>
      <c r="R999" s="239" t="s">
        <v>2567</v>
      </c>
      <c r="S999" s="238" t="s">
        <v>2568</v>
      </c>
      <c r="T999" s="238" t="s">
        <v>3911</v>
      </c>
      <c r="U999" s="238" t="s">
        <v>4029</v>
      </c>
      <c r="V999" s="238" t="s">
        <v>2488</v>
      </c>
      <c r="AB999" s="1" t="s">
        <v>2527</v>
      </c>
    </row>
    <row r="1000" spans="1:28" ht="11.25" customHeight="1">
      <c r="A1000" s="233">
        <v>41234</v>
      </c>
      <c r="B1000" s="5" t="s">
        <v>1290</v>
      </c>
      <c r="C1000" s="1" t="s">
        <v>2080</v>
      </c>
      <c r="D1000" s="5" t="s">
        <v>854</v>
      </c>
      <c r="E1000" s="1">
        <v>9031</v>
      </c>
      <c r="F1000" s="5">
        <v>100</v>
      </c>
      <c r="G1000" s="232" t="s">
        <v>3108</v>
      </c>
      <c r="H1000" s="234">
        <v>2.6</v>
      </c>
      <c r="I1000" s="235">
        <f t="shared" si="70"/>
        <v>260</v>
      </c>
      <c r="K1000" s="241">
        <f>1.4929*100</f>
        <v>149.29</v>
      </c>
      <c r="L1000" s="237">
        <v>41234</v>
      </c>
      <c r="M1000" s="1" t="s">
        <v>2327</v>
      </c>
      <c r="N1000" s="235">
        <f t="shared" si="69"/>
        <v>260</v>
      </c>
      <c r="O1000" s="235">
        <f t="shared" ref="O1000:O1005" si="71">I1000-N1000</f>
        <v>0</v>
      </c>
      <c r="P1000" s="238" t="s">
        <v>4030</v>
      </c>
      <c r="Q1000" s="1" t="s">
        <v>4031</v>
      </c>
      <c r="R1000" s="239" t="s">
        <v>2963</v>
      </c>
      <c r="S1000" s="238" t="s">
        <v>2964</v>
      </c>
      <c r="T1000" s="238" t="s">
        <v>4032</v>
      </c>
      <c r="U1000" s="238" t="s">
        <v>4033</v>
      </c>
      <c r="V1000" s="238" t="s">
        <v>2488</v>
      </c>
      <c r="AB1000" s="1" t="s">
        <v>2079</v>
      </c>
    </row>
    <row r="1001" spans="1:28" ht="11.25" customHeight="1">
      <c r="A1001" s="233">
        <v>41234</v>
      </c>
      <c r="B1001" s="5" t="s">
        <v>1290</v>
      </c>
      <c r="C1001" s="1" t="s">
        <v>2080</v>
      </c>
      <c r="D1001" s="5" t="s">
        <v>2040</v>
      </c>
      <c r="E1001" s="1" t="s">
        <v>3612</v>
      </c>
      <c r="F1001" s="5">
        <v>10</v>
      </c>
      <c r="G1001" s="1" t="s">
        <v>2398</v>
      </c>
      <c r="H1001" s="234">
        <v>2</v>
      </c>
      <c r="I1001" s="235">
        <f t="shared" si="70"/>
        <v>20</v>
      </c>
      <c r="K1001" s="241">
        <f>1.178*10</f>
        <v>11.78</v>
      </c>
      <c r="L1001" s="237">
        <v>41234</v>
      </c>
      <c r="M1001" s="1" t="s">
        <v>2327</v>
      </c>
      <c r="N1001" s="235">
        <f t="shared" si="69"/>
        <v>20</v>
      </c>
      <c r="O1001" s="235">
        <f t="shared" si="71"/>
        <v>0</v>
      </c>
      <c r="P1001" s="238" t="s">
        <v>4030</v>
      </c>
      <c r="Q1001" s="1" t="s">
        <v>4031</v>
      </c>
      <c r="R1001" s="239" t="s">
        <v>2963</v>
      </c>
      <c r="S1001" s="238" t="s">
        <v>2964</v>
      </c>
      <c r="T1001" s="238" t="s">
        <v>4032</v>
      </c>
      <c r="U1001" s="238" t="s">
        <v>4033</v>
      </c>
      <c r="V1001" s="238" t="s">
        <v>2488</v>
      </c>
      <c r="AB1001" s="1" t="s">
        <v>2079</v>
      </c>
    </row>
    <row r="1002" spans="1:28" ht="11.25" customHeight="1">
      <c r="A1002" s="233">
        <v>41236</v>
      </c>
      <c r="B1002" s="1" t="s">
        <v>2692</v>
      </c>
      <c r="C1002" s="1" t="s">
        <v>2080</v>
      </c>
      <c r="D1002" s="1" t="s">
        <v>2023</v>
      </c>
      <c r="E1002" s="1" t="s">
        <v>2693</v>
      </c>
      <c r="F1002" s="5">
        <v>250</v>
      </c>
      <c r="G1002" s="1" t="s">
        <v>170</v>
      </c>
      <c r="H1002" s="234">
        <v>4.3</v>
      </c>
      <c r="I1002" s="235">
        <f t="shared" si="70"/>
        <v>1075</v>
      </c>
      <c r="J1002" s="360"/>
      <c r="K1002" s="241">
        <f>3.59*250</f>
        <v>897.5</v>
      </c>
      <c r="L1002" s="237">
        <v>41236</v>
      </c>
      <c r="M1002" s="1" t="s">
        <v>2327</v>
      </c>
      <c r="N1002" s="235">
        <f t="shared" si="69"/>
        <v>1075</v>
      </c>
      <c r="O1002" s="235">
        <f t="shared" si="71"/>
        <v>0</v>
      </c>
      <c r="P1002" s="238" t="s">
        <v>4034</v>
      </c>
      <c r="Q1002" s="1" t="s">
        <v>3664</v>
      </c>
      <c r="R1002" s="239" t="s">
        <v>2688</v>
      </c>
      <c r="S1002" s="238" t="s">
        <v>2689</v>
      </c>
      <c r="T1002" s="238" t="s">
        <v>2557</v>
      </c>
      <c r="U1002" s="238" t="s">
        <v>4035</v>
      </c>
      <c r="V1002" s="238" t="s">
        <v>4036</v>
      </c>
      <c r="W1002" s="236">
        <v>1075</v>
      </c>
      <c r="X1002" s="233">
        <v>41267</v>
      </c>
      <c r="Y1002" s="238" t="s">
        <v>5293</v>
      </c>
      <c r="AB1002" s="1" t="s">
        <v>2527</v>
      </c>
    </row>
    <row r="1003" spans="1:28" ht="11.25" customHeight="1">
      <c r="A1003" s="233">
        <v>41236</v>
      </c>
      <c r="B1003" s="1" t="s">
        <v>3759</v>
      </c>
      <c r="C1003" s="1" t="s">
        <v>2080</v>
      </c>
      <c r="D1003" s="5" t="s">
        <v>1939</v>
      </c>
      <c r="E1003" s="1" t="s">
        <v>2571</v>
      </c>
      <c r="F1003" s="1">
        <v>1000</v>
      </c>
      <c r="G1003" s="1" t="s">
        <v>2490</v>
      </c>
      <c r="H1003" s="234">
        <v>2.44</v>
      </c>
      <c r="I1003" s="235">
        <f t="shared" si="70"/>
        <v>2440</v>
      </c>
      <c r="J1003" s="360"/>
      <c r="K1003" s="241">
        <f>2.3*F1003</f>
        <v>2300</v>
      </c>
      <c r="L1003" s="237">
        <v>41236</v>
      </c>
      <c r="M1003" s="1" t="s">
        <v>2077</v>
      </c>
      <c r="N1003" s="235">
        <f t="shared" si="69"/>
        <v>2440</v>
      </c>
      <c r="O1003" s="235">
        <f t="shared" si="71"/>
        <v>0</v>
      </c>
      <c r="P1003" s="238" t="s">
        <v>4037</v>
      </c>
      <c r="Q1003" s="1" t="s">
        <v>3664</v>
      </c>
      <c r="R1003" s="239" t="s">
        <v>3761</v>
      </c>
      <c r="S1003" s="238" t="s">
        <v>3762</v>
      </c>
      <c r="T1003" s="238" t="s">
        <v>2557</v>
      </c>
      <c r="U1003" s="238" t="s">
        <v>4038</v>
      </c>
      <c r="V1003" s="238" t="s">
        <v>4039</v>
      </c>
      <c r="W1003" s="236">
        <v>2440</v>
      </c>
      <c r="X1003" s="233">
        <v>41267</v>
      </c>
      <c r="Y1003" s="238" t="s">
        <v>5292</v>
      </c>
      <c r="AB1003" s="1" t="s">
        <v>2527</v>
      </c>
    </row>
    <row r="1004" spans="1:28" ht="11.25" customHeight="1">
      <c r="A1004" s="233">
        <v>41236</v>
      </c>
      <c r="B1004" s="136" t="s">
        <v>4040</v>
      </c>
      <c r="C1004" s="1" t="s">
        <v>2080</v>
      </c>
      <c r="D1004" s="5" t="s">
        <v>69</v>
      </c>
      <c r="E1004" s="1">
        <v>1100</v>
      </c>
      <c r="F1004" s="1">
        <v>200</v>
      </c>
      <c r="G1004" s="1" t="s">
        <v>2398</v>
      </c>
      <c r="H1004" s="234">
        <v>0.8</v>
      </c>
      <c r="I1004" s="235">
        <f t="shared" si="70"/>
        <v>160</v>
      </c>
      <c r="K1004" s="241">
        <f>0.375*200</f>
        <v>75</v>
      </c>
      <c r="L1004" s="237">
        <v>41407</v>
      </c>
      <c r="M1004" s="1" t="s">
        <v>6803</v>
      </c>
      <c r="N1004" s="235">
        <f>I1004</f>
        <v>160</v>
      </c>
      <c r="O1004" s="235">
        <f t="shared" si="71"/>
        <v>0</v>
      </c>
      <c r="P1004" s="238" t="s">
        <v>4041</v>
      </c>
      <c r="Q1004" s="1" t="s">
        <v>3782</v>
      </c>
      <c r="R1004" s="239" t="s">
        <v>4042</v>
      </c>
      <c r="S1004" s="238" t="s">
        <v>4043</v>
      </c>
      <c r="T1004" s="238" t="s">
        <v>4044</v>
      </c>
      <c r="U1004" s="238" t="s">
        <v>4045</v>
      </c>
      <c r="V1004" s="238" t="s">
        <v>5504</v>
      </c>
      <c r="W1004" s="236">
        <v>1070</v>
      </c>
      <c r="X1004" s="233">
        <v>41346</v>
      </c>
      <c r="AB1004" s="1" t="s">
        <v>2079</v>
      </c>
    </row>
    <row r="1005" spans="1:28" ht="11.25" customHeight="1">
      <c r="A1005" s="233">
        <v>41236</v>
      </c>
      <c r="B1005" s="136" t="s">
        <v>4040</v>
      </c>
      <c r="C1005" s="1" t="s">
        <v>2080</v>
      </c>
      <c r="D1005" s="5" t="s">
        <v>1892</v>
      </c>
      <c r="E1005" s="1">
        <v>9032</v>
      </c>
      <c r="F1005" s="1">
        <v>50</v>
      </c>
      <c r="G1005" s="1" t="s">
        <v>2086</v>
      </c>
      <c r="H1005" s="234">
        <v>2.6</v>
      </c>
      <c r="I1005" s="235">
        <f t="shared" si="70"/>
        <v>130</v>
      </c>
      <c r="K1005" s="241">
        <f>1.4929*20</f>
        <v>29.857999999999997</v>
      </c>
      <c r="L1005" s="237">
        <v>41407</v>
      </c>
      <c r="M1005" s="1" t="s">
        <v>6803</v>
      </c>
      <c r="N1005" s="235">
        <f>I1005</f>
        <v>130</v>
      </c>
      <c r="O1005" s="235">
        <f t="shared" si="71"/>
        <v>0</v>
      </c>
      <c r="P1005" s="238" t="s">
        <v>4041</v>
      </c>
      <c r="Q1005" s="1" t="s">
        <v>3782</v>
      </c>
      <c r="R1005" s="239" t="s">
        <v>4042</v>
      </c>
      <c r="S1005" s="238" t="s">
        <v>4043</v>
      </c>
      <c r="T1005" s="238" t="s">
        <v>4044</v>
      </c>
      <c r="U1005" s="238" t="s">
        <v>4045</v>
      </c>
      <c r="V1005" s="238" t="s">
        <v>5504</v>
      </c>
      <c r="W1005" s="236">
        <v>1070</v>
      </c>
      <c r="X1005" s="233">
        <v>41346</v>
      </c>
      <c r="AB1005" s="1" t="s">
        <v>2079</v>
      </c>
    </row>
    <row r="1006" spans="1:28" ht="11.25" customHeight="1">
      <c r="A1006" s="233">
        <v>41239</v>
      </c>
      <c r="B1006" s="1" t="s">
        <v>2084</v>
      </c>
      <c r="C1006" s="1" t="s">
        <v>2080</v>
      </c>
      <c r="D1006" s="5" t="s">
        <v>2030</v>
      </c>
      <c r="E1006" s="1" t="s">
        <v>3339</v>
      </c>
      <c r="F1006" s="1">
        <v>20</v>
      </c>
      <c r="G1006" s="1" t="s">
        <v>3129</v>
      </c>
      <c r="H1006" s="234">
        <v>47.6</v>
      </c>
      <c r="I1006" s="235">
        <f t="shared" si="70"/>
        <v>952</v>
      </c>
      <c r="K1006" s="241">
        <f>42.939*20</f>
        <v>858.78</v>
      </c>
      <c r="L1006" s="237">
        <v>41239</v>
      </c>
      <c r="M1006" s="1" t="s">
        <v>2327</v>
      </c>
      <c r="N1006" s="235">
        <f t="shared" si="69"/>
        <v>952</v>
      </c>
      <c r="O1006" s="235">
        <f t="shared" ref="O1006:O1017" si="72">I1006-N1006</f>
        <v>0</v>
      </c>
      <c r="P1006" s="238" t="s">
        <v>4046</v>
      </c>
      <c r="Q1006" s="1" t="s">
        <v>2562</v>
      </c>
      <c r="R1006" s="239" t="s">
        <v>3703</v>
      </c>
      <c r="S1006" s="238" t="s">
        <v>3704</v>
      </c>
      <c r="T1006" s="238" t="s">
        <v>4007</v>
      </c>
      <c r="U1006" s="238" t="s">
        <v>4047</v>
      </c>
      <c r="V1006" s="238" t="s">
        <v>2082</v>
      </c>
      <c r="AB1006" s="1" t="s">
        <v>2527</v>
      </c>
    </row>
    <row r="1007" spans="1:28" ht="11.25" customHeight="1">
      <c r="A1007" s="233">
        <v>41239</v>
      </c>
      <c r="B1007" s="1" t="s">
        <v>2084</v>
      </c>
      <c r="C1007" s="1" t="s">
        <v>2080</v>
      </c>
      <c r="D1007" s="5" t="s">
        <v>1893</v>
      </c>
      <c r="E1007" s="1">
        <v>9032</v>
      </c>
      <c r="F1007" s="1">
        <v>500</v>
      </c>
      <c r="G1007" s="1" t="s">
        <v>2086</v>
      </c>
      <c r="H1007" s="234">
        <v>1.73</v>
      </c>
      <c r="I1007" s="235">
        <f t="shared" si="70"/>
        <v>865</v>
      </c>
      <c r="K1007" s="241">
        <f>1.4929*500</f>
        <v>746.44999999999993</v>
      </c>
      <c r="L1007" s="237">
        <v>41239</v>
      </c>
      <c r="M1007" s="1" t="s">
        <v>2327</v>
      </c>
      <c r="N1007" s="235">
        <f t="shared" si="69"/>
        <v>865</v>
      </c>
      <c r="O1007" s="235">
        <f t="shared" si="72"/>
        <v>0</v>
      </c>
      <c r="P1007" s="238" t="s">
        <v>4046</v>
      </c>
      <c r="Q1007" s="1" t="s">
        <v>2562</v>
      </c>
      <c r="R1007" s="239" t="s">
        <v>3703</v>
      </c>
      <c r="S1007" s="238" t="s">
        <v>3704</v>
      </c>
      <c r="T1007" s="238" t="s">
        <v>4007</v>
      </c>
      <c r="U1007" s="238" t="s">
        <v>4047</v>
      </c>
      <c r="V1007" s="238" t="s">
        <v>2082</v>
      </c>
      <c r="AB1007" s="1" t="s">
        <v>2527</v>
      </c>
    </row>
    <row r="1008" spans="1:28" ht="11.25" customHeight="1">
      <c r="A1008" s="233">
        <v>41239</v>
      </c>
      <c r="B1008" s="1" t="s">
        <v>2084</v>
      </c>
      <c r="C1008" s="1" t="s">
        <v>2080</v>
      </c>
      <c r="D1008" s="1" t="s">
        <v>2010</v>
      </c>
      <c r="E1008" s="1">
        <v>10434</v>
      </c>
      <c r="F1008" s="1">
        <v>10</v>
      </c>
      <c r="G1008" s="1" t="s">
        <v>2398</v>
      </c>
      <c r="H1008" s="234">
        <v>17.28</v>
      </c>
      <c r="I1008" s="235">
        <f t="shared" si="70"/>
        <v>172.8</v>
      </c>
      <c r="K1008" s="241">
        <f>14.2*10</f>
        <v>142</v>
      </c>
      <c r="L1008" s="237">
        <v>41239</v>
      </c>
      <c r="M1008" s="1" t="s">
        <v>2327</v>
      </c>
      <c r="N1008" s="235">
        <f t="shared" si="69"/>
        <v>172.8</v>
      </c>
      <c r="O1008" s="235">
        <f t="shared" si="72"/>
        <v>0</v>
      </c>
      <c r="P1008" s="238" t="s">
        <v>4046</v>
      </c>
      <c r="Q1008" s="1" t="s">
        <v>2562</v>
      </c>
      <c r="R1008" s="239" t="s">
        <v>3703</v>
      </c>
      <c r="S1008" s="238" t="s">
        <v>3704</v>
      </c>
      <c r="T1008" s="238" t="s">
        <v>4007</v>
      </c>
      <c r="U1008" s="238" t="s">
        <v>4047</v>
      </c>
      <c r="V1008" s="238" t="s">
        <v>2082</v>
      </c>
      <c r="AB1008" s="1" t="s">
        <v>2527</v>
      </c>
    </row>
    <row r="1009" spans="1:28" ht="11.25" customHeight="1">
      <c r="A1009" s="233">
        <v>41239</v>
      </c>
      <c r="B1009" s="1" t="s">
        <v>2084</v>
      </c>
      <c r="C1009" s="1" t="s">
        <v>2080</v>
      </c>
      <c r="D1009" s="5" t="s">
        <v>1882</v>
      </c>
      <c r="E1009" s="1" t="s">
        <v>2397</v>
      </c>
      <c r="F1009" s="1">
        <v>20</v>
      </c>
      <c r="G1009" s="1" t="s">
        <v>2086</v>
      </c>
      <c r="H1009" s="234">
        <v>13.67</v>
      </c>
      <c r="I1009" s="235">
        <f t="shared" si="70"/>
        <v>273.39999999999998</v>
      </c>
      <c r="K1009" s="241">
        <f>10.94*20</f>
        <v>218.79999999999998</v>
      </c>
      <c r="L1009" s="237">
        <v>41239</v>
      </c>
      <c r="M1009" s="1" t="s">
        <v>2327</v>
      </c>
      <c r="N1009" s="235">
        <f t="shared" si="69"/>
        <v>273.39999999999998</v>
      </c>
      <c r="O1009" s="235">
        <f t="shared" si="72"/>
        <v>0</v>
      </c>
      <c r="P1009" s="238" t="s">
        <v>4046</v>
      </c>
      <c r="Q1009" s="1" t="s">
        <v>2562</v>
      </c>
      <c r="R1009" s="239" t="s">
        <v>3703</v>
      </c>
      <c r="S1009" s="238" t="s">
        <v>3704</v>
      </c>
      <c r="T1009" s="238" t="s">
        <v>4007</v>
      </c>
      <c r="U1009" s="238" t="s">
        <v>4047</v>
      </c>
      <c r="V1009" s="238" t="s">
        <v>2082</v>
      </c>
      <c r="AB1009" s="1" t="s">
        <v>2527</v>
      </c>
    </row>
    <row r="1010" spans="1:28" ht="11.25" customHeight="1">
      <c r="A1010" s="233">
        <v>41239</v>
      </c>
      <c r="B1010" s="1" t="s">
        <v>2084</v>
      </c>
      <c r="C1010" s="1" t="s">
        <v>2080</v>
      </c>
      <c r="D1010" s="5" t="s">
        <v>268</v>
      </c>
      <c r="E1010" s="1" t="s">
        <v>2120</v>
      </c>
      <c r="F1010" s="1">
        <v>200</v>
      </c>
      <c r="G1010" s="1" t="s">
        <v>2490</v>
      </c>
      <c r="H1010" s="234">
        <v>1.55</v>
      </c>
      <c r="I1010" s="235">
        <f t="shared" si="70"/>
        <v>310</v>
      </c>
      <c r="K1010" s="241">
        <f>1.17*200</f>
        <v>234</v>
      </c>
      <c r="L1010" s="237">
        <v>41239</v>
      </c>
      <c r="M1010" s="1" t="s">
        <v>2327</v>
      </c>
      <c r="N1010" s="235">
        <f t="shared" si="69"/>
        <v>310</v>
      </c>
      <c r="O1010" s="235">
        <f t="shared" si="72"/>
        <v>0</v>
      </c>
      <c r="P1010" s="238" t="s">
        <v>4046</v>
      </c>
      <c r="Q1010" s="1" t="s">
        <v>2562</v>
      </c>
      <c r="R1010" s="239" t="s">
        <v>3703</v>
      </c>
      <c r="S1010" s="238" t="s">
        <v>3704</v>
      </c>
      <c r="T1010" s="238" t="s">
        <v>4007</v>
      </c>
      <c r="U1010" s="238" t="s">
        <v>4047</v>
      </c>
      <c r="V1010" s="238" t="s">
        <v>2082</v>
      </c>
      <c r="AB1010" s="1" t="s">
        <v>2527</v>
      </c>
    </row>
    <row r="1011" spans="1:28" ht="11.25" customHeight="1">
      <c r="A1011" s="233">
        <v>41239</v>
      </c>
      <c r="B1011" s="1" t="s">
        <v>2565</v>
      </c>
      <c r="C1011" s="1" t="s">
        <v>2080</v>
      </c>
      <c r="D1011" s="5" t="s">
        <v>1874</v>
      </c>
      <c r="E1011" s="1" t="s">
        <v>2615</v>
      </c>
      <c r="F1011" s="1">
        <v>100</v>
      </c>
      <c r="G1011" s="1" t="s">
        <v>2490</v>
      </c>
      <c r="H1011" s="234">
        <v>1.85</v>
      </c>
      <c r="I1011" s="235">
        <f t="shared" si="70"/>
        <v>185</v>
      </c>
      <c r="K1011" s="241">
        <f>1.7*100</f>
        <v>170</v>
      </c>
      <c r="L1011" s="237">
        <v>41309</v>
      </c>
      <c r="M1011" s="1" t="s">
        <v>165</v>
      </c>
      <c r="N1011" s="235">
        <f t="shared" si="69"/>
        <v>185</v>
      </c>
      <c r="O1011" s="235">
        <f t="shared" si="72"/>
        <v>0</v>
      </c>
      <c r="P1011" s="238" t="s">
        <v>4048</v>
      </c>
      <c r="Q1011" s="1" t="s">
        <v>2562</v>
      </c>
      <c r="R1011" s="239" t="s">
        <v>2567</v>
      </c>
      <c r="S1011" s="238" t="s">
        <v>2568</v>
      </c>
      <c r="T1011" s="238" t="s">
        <v>3911</v>
      </c>
      <c r="U1011" s="238" t="s">
        <v>4049</v>
      </c>
      <c r="V1011" s="238" t="s">
        <v>2488</v>
      </c>
      <c r="AB1011" s="1" t="s">
        <v>2527</v>
      </c>
    </row>
    <row r="1012" spans="1:28" ht="11.25" customHeight="1">
      <c r="A1012" s="233">
        <v>41239</v>
      </c>
      <c r="B1012" s="1" t="s">
        <v>2555</v>
      </c>
      <c r="C1012" s="1" t="s">
        <v>2080</v>
      </c>
      <c r="D1012" s="1" t="s">
        <v>2018</v>
      </c>
      <c r="E1012" s="1" t="s">
        <v>348</v>
      </c>
      <c r="F1012" s="1">
        <v>50000</v>
      </c>
      <c r="G1012" s="1" t="s">
        <v>2086</v>
      </c>
      <c r="H1012" s="234">
        <v>1.76</v>
      </c>
      <c r="I1012" s="235">
        <f t="shared" si="70"/>
        <v>88000</v>
      </c>
      <c r="K1012" s="241">
        <f>1.62*F1012</f>
        <v>81000</v>
      </c>
      <c r="L1012" s="281">
        <v>41234</v>
      </c>
      <c r="M1012" s="264" t="s">
        <v>2077</v>
      </c>
      <c r="N1012" s="235">
        <f t="shared" si="69"/>
        <v>88000</v>
      </c>
      <c r="O1012" s="235">
        <f t="shared" si="72"/>
        <v>0</v>
      </c>
      <c r="P1012" s="238" t="s">
        <v>2082</v>
      </c>
      <c r="Q1012" s="1" t="s">
        <v>2670</v>
      </c>
      <c r="R1012" s="239" t="s">
        <v>4050</v>
      </c>
      <c r="S1012" s="238" t="s">
        <v>4051</v>
      </c>
      <c r="T1012" s="238" t="s">
        <v>2815</v>
      </c>
      <c r="U1012" s="238" t="s">
        <v>4052</v>
      </c>
      <c r="V1012" s="238" t="s">
        <v>3731</v>
      </c>
      <c r="W1012" s="236" t="s">
        <v>3732</v>
      </c>
      <c r="X1012" s="233">
        <v>41239</v>
      </c>
      <c r="Y1012" s="238" t="s">
        <v>3733</v>
      </c>
      <c r="AB1012" s="1" t="s">
        <v>2527</v>
      </c>
    </row>
    <row r="1013" spans="1:28" ht="11.25" customHeight="1">
      <c r="A1013" s="233">
        <v>41239</v>
      </c>
      <c r="B1013" s="1" t="s">
        <v>4053</v>
      </c>
      <c r="C1013" s="1" t="s">
        <v>2080</v>
      </c>
      <c r="D1013" s="5" t="s">
        <v>1941</v>
      </c>
      <c r="E1013" s="1">
        <v>12308</v>
      </c>
      <c r="F1013" s="1">
        <v>30</v>
      </c>
      <c r="G1013" s="1" t="s">
        <v>2398</v>
      </c>
      <c r="H1013" s="234">
        <v>20</v>
      </c>
      <c r="I1013" s="235">
        <f t="shared" si="70"/>
        <v>600</v>
      </c>
      <c r="K1013" s="241">
        <f>18.779*F1013</f>
        <v>563.37</v>
      </c>
      <c r="L1013" s="237">
        <v>41239</v>
      </c>
      <c r="M1013" s="1" t="s">
        <v>2390</v>
      </c>
      <c r="N1013" s="235">
        <f t="shared" si="69"/>
        <v>600</v>
      </c>
      <c r="O1013" s="235">
        <f t="shared" si="72"/>
        <v>0</v>
      </c>
      <c r="P1013" s="238" t="s">
        <v>4054</v>
      </c>
      <c r="Q1013" s="1" t="s">
        <v>2505</v>
      </c>
      <c r="R1013" s="239" t="s">
        <v>4055</v>
      </c>
      <c r="S1013" s="238" t="s">
        <v>4056</v>
      </c>
      <c r="T1013" s="238" t="s">
        <v>4057</v>
      </c>
      <c r="U1013" s="238" t="s">
        <v>2082</v>
      </c>
      <c r="V1013" s="238" t="s">
        <v>2488</v>
      </c>
      <c r="AB1013" s="1" t="s">
        <v>2527</v>
      </c>
    </row>
    <row r="1014" spans="1:28" ht="11.25" customHeight="1">
      <c r="A1014" s="233">
        <v>41239</v>
      </c>
      <c r="B1014" s="1" t="s">
        <v>4058</v>
      </c>
      <c r="C1014" s="1" t="s">
        <v>2080</v>
      </c>
      <c r="D1014" s="1" t="s">
        <v>2010</v>
      </c>
      <c r="E1014" s="1">
        <v>10434</v>
      </c>
      <c r="F1014" s="1">
        <v>40</v>
      </c>
      <c r="G1014" s="1" t="s">
        <v>2398</v>
      </c>
      <c r="H1014" s="234">
        <v>23</v>
      </c>
      <c r="I1014" s="235">
        <f>H1014*F1014</f>
        <v>920</v>
      </c>
      <c r="K1014" s="241">
        <f>14.2*40</f>
        <v>568</v>
      </c>
      <c r="N1014" s="235">
        <v>0</v>
      </c>
      <c r="O1014" s="235">
        <f t="shared" si="72"/>
        <v>920</v>
      </c>
      <c r="P1014" s="238" t="s">
        <v>4059</v>
      </c>
      <c r="Q1014" s="1" t="s">
        <v>2505</v>
      </c>
      <c r="R1014" s="239" t="s">
        <v>5479</v>
      </c>
      <c r="S1014" s="238" t="s">
        <v>5480</v>
      </c>
      <c r="T1014" s="238" t="s">
        <v>3924</v>
      </c>
      <c r="U1014" s="238" t="s">
        <v>2082</v>
      </c>
      <c r="V1014" s="238" t="s">
        <v>4060</v>
      </c>
      <c r="W1014" s="236">
        <v>3316</v>
      </c>
      <c r="X1014" s="233">
        <v>41257</v>
      </c>
      <c r="Y1014" s="238" t="s">
        <v>1555</v>
      </c>
      <c r="AB1014" s="1" t="s">
        <v>2079</v>
      </c>
    </row>
    <row r="1015" spans="1:28" ht="11.25" customHeight="1">
      <c r="A1015" s="233">
        <v>41239</v>
      </c>
      <c r="B1015" s="1" t="s">
        <v>4058</v>
      </c>
      <c r="C1015" s="1" t="s">
        <v>2080</v>
      </c>
      <c r="D1015" s="5" t="s">
        <v>1893</v>
      </c>
      <c r="E1015" s="1">
        <v>9032</v>
      </c>
      <c r="F1015" s="1">
        <v>100</v>
      </c>
      <c r="G1015" s="1" t="s">
        <v>2086</v>
      </c>
      <c r="H1015" s="234">
        <v>2.7</v>
      </c>
      <c r="I1015" s="235">
        <f>H1015*F1015</f>
        <v>270</v>
      </c>
      <c r="K1015" s="241">
        <f>1.4929*100</f>
        <v>149.29</v>
      </c>
      <c r="N1015" s="235">
        <v>0</v>
      </c>
      <c r="O1015" s="235">
        <f t="shared" si="72"/>
        <v>270</v>
      </c>
      <c r="P1015" s="238" t="s">
        <v>4059</v>
      </c>
      <c r="Q1015" s="1" t="s">
        <v>2505</v>
      </c>
      <c r="R1015" s="239" t="s">
        <v>5479</v>
      </c>
      <c r="S1015" s="238" t="s">
        <v>5480</v>
      </c>
      <c r="T1015" s="238" t="s">
        <v>3924</v>
      </c>
      <c r="U1015" s="238" t="s">
        <v>2082</v>
      </c>
      <c r="V1015" s="238" t="s">
        <v>4060</v>
      </c>
      <c r="W1015" s="236">
        <v>3316</v>
      </c>
      <c r="X1015" s="233">
        <v>41257</v>
      </c>
      <c r="Y1015" s="238" t="s">
        <v>1555</v>
      </c>
      <c r="AB1015" s="1" t="s">
        <v>2079</v>
      </c>
    </row>
    <row r="1016" spans="1:28" ht="11.25" customHeight="1">
      <c r="A1016" s="233">
        <v>41239</v>
      </c>
      <c r="B1016" s="1" t="s">
        <v>4058</v>
      </c>
      <c r="C1016" s="1" t="s">
        <v>2080</v>
      </c>
      <c r="D1016" s="5" t="s">
        <v>1934</v>
      </c>
      <c r="E1016" s="1">
        <v>1110</v>
      </c>
      <c r="F1016" s="1">
        <v>20</v>
      </c>
      <c r="G1016" s="1" t="s">
        <v>2398</v>
      </c>
      <c r="H1016" s="234">
        <v>1.5</v>
      </c>
      <c r="I1016" s="235">
        <f>H1016*F1016</f>
        <v>30</v>
      </c>
      <c r="K1016" s="241">
        <f>0.77*F1016</f>
        <v>15.4</v>
      </c>
      <c r="N1016" s="235">
        <v>0</v>
      </c>
      <c r="O1016" s="235">
        <f t="shared" si="72"/>
        <v>30</v>
      </c>
      <c r="P1016" s="238" t="s">
        <v>4059</v>
      </c>
      <c r="Q1016" s="1" t="s">
        <v>2505</v>
      </c>
      <c r="R1016" s="239" t="s">
        <v>5479</v>
      </c>
      <c r="S1016" s="238" t="s">
        <v>5480</v>
      </c>
      <c r="T1016" s="238" t="s">
        <v>3924</v>
      </c>
      <c r="U1016" s="238" t="s">
        <v>2082</v>
      </c>
      <c r="V1016" s="238" t="s">
        <v>4060</v>
      </c>
      <c r="W1016" s="236">
        <v>3316</v>
      </c>
      <c r="X1016" s="233">
        <v>41257</v>
      </c>
      <c r="Y1016" s="238" t="s">
        <v>1555</v>
      </c>
      <c r="AB1016" s="1" t="s">
        <v>2079</v>
      </c>
    </row>
    <row r="1017" spans="1:28" ht="11.25" customHeight="1">
      <c r="A1017" s="233">
        <v>41239</v>
      </c>
      <c r="B1017" s="1" t="s">
        <v>3515</v>
      </c>
      <c r="C1017" s="1" t="s">
        <v>2080</v>
      </c>
      <c r="D1017" s="5" t="s">
        <v>1934</v>
      </c>
      <c r="E1017" s="1">
        <v>1110</v>
      </c>
      <c r="F1017" s="1">
        <v>100</v>
      </c>
      <c r="G1017" s="1" t="s">
        <v>2398</v>
      </c>
      <c r="H1017" s="234">
        <v>1.5</v>
      </c>
      <c r="I1017" s="235">
        <f>H1017*F1017</f>
        <v>150</v>
      </c>
      <c r="K1017" s="241">
        <f>0.77*F1017</f>
        <v>77</v>
      </c>
      <c r="N1017" s="235">
        <v>0</v>
      </c>
      <c r="O1017" s="235">
        <f t="shared" si="72"/>
        <v>150</v>
      </c>
      <c r="P1017" s="238" t="s">
        <v>4061</v>
      </c>
      <c r="Q1017" s="1" t="s">
        <v>2505</v>
      </c>
      <c r="R1017" s="239" t="s">
        <v>3922</v>
      </c>
      <c r="S1017" s="238" t="s">
        <v>3923</v>
      </c>
      <c r="T1017" s="238" t="s">
        <v>3924</v>
      </c>
      <c r="U1017" s="238" t="s">
        <v>2082</v>
      </c>
      <c r="V1017" s="238" t="s">
        <v>3925</v>
      </c>
      <c r="W1017" s="236">
        <v>68170</v>
      </c>
      <c r="X1017" s="233">
        <v>41257</v>
      </c>
      <c r="Y1017" s="238" t="s">
        <v>1555</v>
      </c>
      <c r="AB1017" s="1" t="s">
        <v>2079</v>
      </c>
    </row>
    <row r="1018" spans="1:28" ht="11.25" customHeight="1">
      <c r="A1018" s="233">
        <v>41240</v>
      </c>
      <c r="B1018" s="1" t="s">
        <v>4062</v>
      </c>
      <c r="C1018" s="1" t="s">
        <v>2080</v>
      </c>
      <c r="D1018" s="1" t="s">
        <v>1210</v>
      </c>
      <c r="E1018" s="1">
        <v>3200</v>
      </c>
      <c r="F1018" s="1">
        <v>10</v>
      </c>
      <c r="G1018" s="1" t="s">
        <v>2086</v>
      </c>
      <c r="H1018" s="234">
        <v>35</v>
      </c>
      <c r="I1018" s="235">
        <f t="shared" si="70"/>
        <v>350</v>
      </c>
      <c r="K1018" s="241">
        <f>23.94*10</f>
        <v>239.4</v>
      </c>
      <c r="L1018" s="237">
        <v>41263</v>
      </c>
      <c r="M1018" s="1" t="s">
        <v>2077</v>
      </c>
      <c r="N1018" s="235">
        <f t="shared" si="69"/>
        <v>350</v>
      </c>
      <c r="O1018" s="235">
        <f t="shared" ref="O1018:O1026" si="73">I1018-N1018</f>
        <v>0</v>
      </c>
      <c r="P1018" s="238" t="s">
        <v>4063</v>
      </c>
      <c r="Q1018" s="5" t="s">
        <v>4064</v>
      </c>
      <c r="R1018" s="239" t="s">
        <v>4065</v>
      </c>
      <c r="S1018" s="238" t="s">
        <v>4066</v>
      </c>
      <c r="T1018" s="238" t="s">
        <v>4067</v>
      </c>
      <c r="U1018" s="238" t="s">
        <v>4068</v>
      </c>
      <c r="V1018" s="238" t="s">
        <v>4069</v>
      </c>
      <c r="W1018" s="236">
        <v>9719.75</v>
      </c>
      <c r="X1018" s="233">
        <v>41250</v>
      </c>
      <c r="Y1018" s="238" t="s">
        <v>4070</v>
      </c>
      <c r="AB1018" s="1" t="s">
        <v>2079</v>
      </c>
    </row>
    <row r="1019" spans="1:28" ht="11.25" customHeight="1">
      <c r="A1019" s="233">
        <v>41240</v>
      </c>
      <c r="B1019" s="1" t="s">
        <v>4062</v>
      </c>
      <c r="C1019" s="1" t="s">
        <v>2080</v>
      </c>
      <c r="D1019" s="5" t="s">
        <v>2014</v>
      </c>
      <c r="E1019" s="1">
        <v>7502</v>
      </c>
      <c r="F1019" s="1">
        <v>10</v>
      </c>
      <c r="G1019" s="1" t="s">
        <v>2086</v>
      </c>
      <c r="H1019" s="234">
        <v>182</v>
      </c>
      <c r="I1019" s="235">
        <f t="shared" si="70"/>
        <v>1820</v>
      </c>
      <c r="K1019" s="241">
        <f>106*10</f>
        <v>1060</v>
      </c>
      <c r="L1019" s="237">
        <v>41263</v>
      </c>
      <c r="M1019" s="1" t="s">
        <v>2077</v>
      </c>
      <c r="N1019" s="235">
        <f t="shared" si="69"/>
        <v>1820</v>
      </c>
      <c r="O1019" s="235">
        <f t="shared" si="73"/>
        <v>0</v>
      </c>
      <c r="P1019" s="238" t="s">
        <v>4063</v>
      </c>
      <c r="Q1019" s="5" t="s">
        <v>4064</v>
      </c>
      <c r="R1019" s="239" t="s">
        <v>4065</v>
      </c>
      <c r="S1019" s="238" t="s">
        <v>4066</v>
      </c>
      <c r="T1019" s="238" t="s">
        <v>4067</v>
      </c>
      <c r="U1019" s="238" t="s">
        <v>4068</v>
      </c>
      <c r="V1019" s="238" t="s">
        <v>4069</v>
      </c>
      <c r="W1019" s="236">
        <v>9719.75</v>
      </c>
      <c r="X1019" s="233">
        <v>41250</v>
      </c>
      <c r="Y1019" s="238" t="s">
        <v>4070</v>
      </c>
      <c r="AB1019" s="1" t="s">
        <v>2079</v>
      </c>
    </row>
    <row r="1020" spans="1:28" ht="11.25" customHeight="1">
      <c r="A1020" s="233">
        <v>41240</v>
      </c>
      <c r="B1020" s="1" t="s">
        <v>4062</v>
      </c>
      <c r="C1020" s="1" t="s">
        <v>2080</v>
      </c>
      <c r="D1020" s="5" t="s">
        <v>1275</v>
      </c>
      <c r="E1020" s="225" t="s">
        <v>4071</v>
      </c>
      <c r="F1020" s="1">
        <v>50</v>
      </c>
      <c r="G1020" s="1" t="s">
        <v>2086</v>
      </c>
      <c r="H1020" s="234">
        <v>40.6</v>
      </c>
      <c r="I1020" s="235">
        <f t="shared" si="70"/>
        <v>2030</v>
      </c>
      <c r="K1020" s="241">
        <f>29.22*50</f>
        <v>1461</v>
      </c>
      <c r="L1020" s="237">
        <v>41263</v>
      </c>
      <c r="M1020" s="1" t="s">
        <v>2077</v>
      </c>
      <c r="N1020" s="235">
        <f t="shared" si="69"/>
        <v>2030</v>
      </c>
      <c r="O1020" s="235">
        <f t="shared" si="73"/>
        <v>0</v>
      </c>
      <c r="P1020" s="238" t="s">
        <v>4063</v>
      </c>
      <c r="Q1020" s="5" t="s">
        <v>4064</v>
      </c>
      <c r="R1020" s="239" t="s">
        <v>4065</v>
      </c>
      <c r="S1020" s="238" t="s">
        <v>4066</v>
      </c>
      <c r="T1020" s="238" t="s">
        <v>4067</v>
      </c>
      <c r="U1020" s="238" t="s">
        <v>4068</v>
      </c>
      <c r="V1020" s="238" t="s">
        <v>4069</v>
      </c>
      <c r="W1020" s="236">
        <v>9719.75</v>
      </c>
      <c r="X1020" s="233">
        <v>41250</v>
      </c>
      <c r="Y1020" s="238" t="s">
        <v>4070</v>
      </c>
      <c r="AB1020" s="1" t="s">
        <v>2079</v>
      </c>
    </row>
    <row r="1021" spans="1:28" ht="11.25" customHeight="1">
      <c r="A1021" s="233">
        <v>41240</v>
      </c>
      <c r="B1021" s="1" t="s">
        <v>4062</v>
      </c>
      <c r="C1021" s="1" t="s">
        <v>2080</v>
      </c>
      <c r="D1021" s="5" t="s">
        <v>1930</v>
      </c>
      <c r="E1021" s="1" t="s">
        <v>2790</v>
      </c>
      <c r="F1021" s="1">
        <v>100</v>
      </c>
      <c r="G1021" s="1" t="s">
        <v>2490</v>
      </c>
      <c r="H1021" s="234">
        <v>6.61</v>
      </c>
      <c r="I1021" s="235">
        <f t="shared" si="70"/>
        <v>661</v>
      </c>
      <c r="K1021" s="241">
        <f>4.89*100</f>
        <v>488.99999999999994</v>
      </c>
      <c r="L1021" s="237">
        <v>41263</v>
      </c>
      <c r="M1021" s="1" t="s">
        <v>2077</v>
      </c>
      <c r="N1021" s="235">
        <f t="shared" si="69"/>
        <v>661</v>
      </c>
      <c r="O1021" s="235">
        <f t="shared" si="73"/>
        <v>0</v>
      </c>
      <c r="P1021" s="238" t="s">
        <v>4063</v>
      </c>
      <c r="Q1021" s="5" t="s">
        <v>4064</v>
      </c>
      <c r="R1021" s="239" t="s">
        <v>4065</v>
      </c>
      <c r="S1021" s="238" t="s">
        <v>4066</v>
      </c>
      <c r="T1021" s="238" t="s">
        <v>4067</v>
      </c>
      <c r="U1021" s="238" t="s">
        <v>4068</v>
      </c>
      <c r="V1021" s="238" t="s">
        <v>4069</v>
      </c>
      <c r="W1021" s="236">
        <v>9719.75</v>
      </c>
      <c r="X1021" s="233">
        <v>41250</v>
      </c>
      <c r="Y1021" s="238" t="s">
        <v>4070</v>
      </c>
      <c r="AB1021" s="1" t="s">
        <v>2079</v>
      </c>
    </row>
    <row r="1022" spans="1:28" ht="11.25" customHeight="1">
      <c r="A1022" s="233">
        <v>41240</v>
      </c>
      <c r="B1022" s="1" t="s">
        <v>4062</v>
      </c>
      <c r="C1022" s="1" t="s">
        <v>2080</v>
      </c>
      <c r="D1022" s="5" t="s">
        <v>346</v>
      </c>
      <c r="E1022" s="1">
        <v>3700</v>
      </c>
      <c r="F1022" s="1">
        <v>100</v>
      </c>
      <c r="G1022" s="1" t="s">
        <v>229</v>
      </c>
      <c r="H1022" s="234">
        <v>4.7699999999999996</v>
      </c>
      <c r="I1022" s="235">
        <f t="shared" si="70"/>
        <v>476.99999999999994</v>
      </c>
      <c r="K1022" s="241">
        <f>3.09*100</f>
        <v>309</v>
      </c>
      <c r="L1022" s="237">
        <v>41263</v>
      </c>
      <c r="M1022" s="1" t="s">
        <v>2077</v>
      </c>
      <c r="N1022" s="235">
        <f t="shared" si="69"/>
        <v>476.99999999999994</v>
      </c>
      <c r="O1022" s="235">
        <f t="shared" si="73"/>
        <v>0</v>
      </c>
      <c r="P1022" s="238" t="s">
        <v>4063</v>
      </c>
      <c r="Q1022" s="5" t="s">
        <v>4064</v>
      </c>
      <c r="R1022" s="239" t="s">
        <v>4065</v>
      </c>
      <c r="S1022" s="238" t="s">
        <v>4066</v>
      </c>
      <c r="T1022" s="238" t="s">
        <v>4067</v>
      </c>
      <c r="U1022" s="238" t="s">
        <v>4068</v>
      </c>
      <c r="V1022" s="238" t="s">
        <v>4069</v>
      </c>
      <c r="W1022" s="236">
        <v>9719.75</v>
      </c>
      <c r="X1022" s="233">
        <v>41250</v>
      </c>
      <c r="Y1022" s="238" t="s">
        <v>4070</v>
      </c>
      <c r="AB1022" s="1" t="s">
        <v>2079</v>
      </c>
    </row>
    <row r="1023" spans="1:28" ht="11.25" customHeight="1">
      <c r="A1023" s="233">
        <v>41240</v>
      </c>
      <c r="B1023" s="1" t="s">
        <v>4062</v>
      </c>
      <c r="C1023" s="1" t="s">
        <v>2080</v>
      </c>
      <c r="D1023" s="5" t="s">
        <v>1941</v>
      </c>
      <c r="E1023" s="1">
        <v>12308</v>
      </c>
      <c r="F1023" s="1">
        <v>30</v>
      </c>
      <c r="G1023" s="1" t="s">
        <v>2398</v>
      </c>
      <c r="H1023" s="234">
        <v>26.5</v>
      </c>
      <c r="I1023" s="235">
        <f t="shared" si="70"/>
        <v>795</v>
      </c>
      <c r="K1023" s="241">
        <f>18.779*30</f>
        <v>563.37</v>
      </c>
      <c r="L1023" s="237">
        <v>41263</v>
      </c>
      <c r="M1023" s="1" t="s">
        <v>2077</v>
      </c>
      <c r="N1023" s="235">
        <f t="shared" si="69"/>
        <v>795</v>
      </c>
      <c r="O1023" s="235">
        <f t="shared" si="73"/>
        <v>0</v>
      </c>
      <c r="P1023" s="238" t="s">
        <v>4063</v>
      </c>
      <c r="Q1023" s="5" t="s">
        <v>4064</v>
      </c>
      <c r="R1023" s="239" t="s">
        <v>4065</v>
      </c>
      <c r="S1023" s="238" t="s">
        <v>4066</v>
      </c>
      <c r="T1023" s="238" t="s">
        <v>4067</v>
      </c>
      <c r="U1023" s="238" t="s">
        <v>4068</v>
      </c>
      <c r="V1023" s="238" t="s">
        <v>4069</v>
      </c>
      <c r="W1023" s="236">
        <v>9719.75</v>
      </c>
      <c r="X1023" s="233">
        <v>41250</v>
      </c>
      <c r="Y1023" s="238" t="s">
        <v>4070</v>
      </c>
      <c r="AB1023" s="1" t="s">
        <v>2079</v>
      </c>
    </row>
    <row r="1024" spans="1:28" ht="11.25" customHeight="1">
      <c r="A1024" s="233">
        <v>41240</v>
      </c>
      <c r="B1024" s="1" t="s">
        <v>4062</v>
      </c>
      <c r="C1024" s="1" t="s">
        <v>2080</v>
      </c>
      <c r="D1024" s="5" t="s">
        <v>1221</v>
      </c>
      <c r="E1024" s="1" t="s">
        <v>2625</v>
      </c>
      <c r="F1024" s="1">
        <v>12</v>
      </c>
      <c r="G1024" s="1" t="s">
        <v>2086</v>
      </c>
      <c r="H1024" s="234">
        <v>45</v>
      </c>
      <c r="I1024" s="235">
        <f t="shared" si="70"/>
        <v>540</v>
      </c>
      <c r="K1024" s="241">
        <f>34.8*12</f>
        <v>417.59999999999997</v>
      </c>
      <c r="L1024" s="237">
        <v>41263</v>
      </c>
      <c r="M1024" s="1" t="s">
        <v>2077</v>
      </c>
      <c r="N1024" s="235">
        <f t="shared" si="69"/>
        <v>540</v>
      </c>
      <c r="O1024" s="235">
        <f t="shared" si="73"/>
        <v>0</v>
      </c>
      <c r="P1024" s="238" t="s">
        <v>4063</v>
      </c>
      <c r="Q1024" s="5" t="s">
        <v>4064</v>
      </c>
      <c r="R1024" s="239" t="s">
        <v>4065</v>
      </c>
      <c r="S1024" s="238" t="s">
        <v>4066</v>
      </c>
      <c r="T1024" s="238" t="s">
        <v>4067</v>
      </c>
      <c r="U1024" s="238" t="s">
        <v>4068</v>
      </c>
      <c r="V1024" s="238" t="s">
        <v>4069</v>
      </c>
      <c r="W1024" s="236">
        <v>9719.75</v>
      </c>
      <c r="X1024" s="233">
        <v>41250</v>
      </c>
      <c r="Y1024" s="238" t="s">
        <v>4070</v>
      </c>
      <c r="AB1024" s="1" t="s">
        <v>2079</v>
      </c>
    </row>
    <row r="1025" spans="1:28" ht="11.25" customHeight="1">
      <c r="A1025" s="233">
        <v>41240</v>
      </c>
      <c r="B1025" s="5" t="s">
        <v>2714</v>
      </c>
      <c r="C1025" s="5" t="s">
        <v>2080</v>
      </c>
      <c r="D1025" s="5" t="s">
        <v>2028</v>
      </c>
      <c r="E1025" s="5" t="s">
        <v>3168</v>
      </c>
      <c r="F1025" s="5">
        <v>76</v>
      </c>
      <c r="G1025" s="5" t="s">
        <v>3129</v>
      </c>
      <c r="H1025" s="243">
        <v>172.8</v>
      </c>
      <c r="I1025" s="235">
        <f t="shared" si="70"/>
        <v>13132.800000000001</v>
      </c>
      <c r="K1025" s="241">
        <f>107.64*F1025</f>
        <v>8180.64</v>
      </c>
      <c r="L1025" s="237">
        <v>41288</v>
      </c>
      <c r="M1025" s="1" t="s">
        <v>6788</v>
      </c>
      <c r="N1025" s="235">
        <f t="shared" si="69"/>
        <v>13132.800000000001</v>
      </c>
      <c r="O1025" s="235">
        <f t="shared" si="73"/>
        <v>0</v>
      </c>
      <c r="P1025" s="238" t="s">
        <v>4072</v>
      </c>
      <c r="Q1025" s="5" t="s">
        <v>4073</v>
      </c>
      <c r="R1025" s="239" t="s">
        <v>2717</v>
      </c>
      <c r="S1025" s="238" t="s">
        <v>3492</v>
      </c>
      <c r="T1025" s="238" t="s">
        <v>797</v>
      </c>
      <c r="U1025" s="238" t="s">
        <v>4074</v>
      </c>
      <c r="V1025" s="238" t="s">
        <v>4075</v>
      </c>
      <c r="W1025" s="236">
        <v>17766</v>
      </c>
      <c r="X1025" s="233">
        <v>41257</v>
      </c>
      <c r="Y1025" s="238" t="s">
        <v>4076</v>
      </c>
      <c r="AA1025" s="240" t="s">
        <v>2722</v>
      </c>
      <c r="AB1025" s="1" t="s">
        <v>2079</v>
      </c>
    </row>
    <row r="1026" spans="1:28" ht="11.25" customHeight="1">
      <c r="A1026" s="233">
        <v>41240</v>
      </c>
      <c r="B1026" s="5" t="s">
        <v>2714</v>
      </c>
      <c r="C1026" s="5" t="s">
        <v>2080</v>
      </c>
      <c r="D1026" s="5" t="s">
        <v>353</v>
      </c>
      <c r="E1026" s="5" t="s">
        <v>2492</v>
      </c>
      <c r="F1026" s="5">
        <v>162</v>
      </c>
      <c r="G1026" s="5" t="s">
        <v>2086</v>
      </c>
      <c r="H1026" s="243">
        <v>28.6</v>
      </c>
      <c r="I1026" s="235">
        <f t="shared" si="70"/>
        <v>4633.2</v>
      </c>
      <c r="K1026" s="241">
        <f>16.5*F1026</f>
        <v>2673</v>
      </c>
      <c r="L1026" s="237">
        <v>41411</v>
      </c>
      <c r="M1026" s="1" t="s">
        <v>6882</v>
      </c>
      <c r="N1026" s="235">
        <f t="shared" si="69"/>
        <v>4633.2</v>
      </c>
      <c r="O1026" s="235">
        <f t="shared" si="73"/>
        <v>0</v>
      </c>
      <c r="P1026" s="238" t="s">
        <v>4072</v>
      </c>
      <c r="Q1026" s="5" t="s">
        <v>4073</v>
      </c>
      <c r="R1026" s="239" t="s">
        <v>2717</v>
      </c>
      <c r="S1026" s="238" t="s">
        <v>3492</v>
      </c>
      <c r="T1026" s="238" t="s">
        <v>797</v>
      </c>
      <c r="U1026" s="238" t="s">
        <v>4074</v>
      </c>
      <c r="V1026" s="238" t="s">
        <v>4075</v>
      </c>
      <c r="W1026" s="236">
        <v>17766</v>
      </c>
      <c r="X1026" s="233">
        <v>41257</v>
      </c>
      <c r="Y1026" s="238" t="s">
        <v>1553</v>
      </c>
      <c r="AA1026" s="240" t="s">
        <v>2722</v>
      </c>
      <c r="AB1026" s="1" t="s">
        <v>2079</v>
      </c>
    </row>
    <row r="1027" spans="1:28" ht="11.25" customHeight="1">
      <c r="A1027" s="233">
        <v>41240</v>
      </c>
      <c r="B1027" s="1" t="s">
        <v>3770</v>
      </c>
      <c r="C1027" s="1" t="s">
        <v>2080</v>
      </c>
      <c r="D1027" s="1" t="s">
        <v>1210</v>
      </c>
      <c r="E1027" s="1">
        <v>3200</v>
      </c>
      <c r="F1027" s="1">
        <v>6</v>
      </c>
      <c r="G1027" s="1" t="s">
        <v>2086</v>
      </c>
      <c r="H1027" s="234">
        <v>27.7</v>
      </c>
      <c r="I1027" s="235">
        <f t="shared" ref="I1027:I1039" si="74">F1027*H1027</f>
        <v>166.2</v>
      </c>
      <c r="K1027" s="241">
        <f>23.94*F1027</f>
        <v>143.64000000000001</v>
      </c>
      <c r="L1027" s="237">
        <v>41240</v>
      </c>
      <c r="M1027" s="1" t="s">
        <v>2390</v>
      </c>
      <c r="N1027" s="235">
        <f t="shared" ref="N1027:N1090" si="75">I1027</f>
        <v>166.2</v>
      </c>
      <c r="O1027" s="235">
        <f t="shared" ref="O1027:O1037" si="76">I1027-N1027</f>
        <v>0</v>
      </c>
      <c r="P1027" s="238" t="s">
        <v>4077</v>
      </c>
      <c r="Q1027" s="1" t="s">
        <v>2212</v>
      </c>
      <c r="R1027" s="239" t="s">
        <v>4078</v>
      </c>
      <c r="S1027" s="238" t="s">
        <v>4079</v>
      </c>
      <c r="T1027" s="238" t="s">
        <v>2082</v>
      </c>
      <c r="U1027" s="238" t="s">
        <v>2082</v>
      </c>
      <c r="V1027" s="238" t="s">
        <v>4080</v>
      </c>
      <c r="W1027" s="236">
        <v>5069.0200000000004</v>
      </c>
      <c r="X1027" s="233">
        <v>41263</v>
      </c>
      <c r="Y1027" s="238" t="s">
        <v>4081</v>
      </c>
      <c r="AB1027" s="1" t="s">
        <v>2527</v>
      </c>
    </row>
    <row r="1028" spans="1:28" ht="11.25" customHeight="1">
      <c r="A1028" s="233">
        <v>41240</v>
      </c>
      <c r="B1028" s="1" t="s">
        <v>3770</v>
      </c>
      <c r="C1028" s="1" t="s">
        <v>2080</v>
      </c>
      <c r="D1028" s="5" t="s">
        <v>353</v>
      </c>
      <c r="E1028" s="1" t="s">
        <v>2397</v>
      </c>
      <c r="F1028" s="1">
        <v>6</v>
      </c>
      <c r="G1028" s="1" t="s">
        <v>2086</v>
      </c>
      <c r="H1028" s="234">
        <v>13.17</v>
      </c>
      <c r="I1028" s="235">
        <f t="shared" si="74"/>
        <v>79.02</v>
      </c>
      <c r="K1028" s="241">
        <f>10.94*F1028</f>
        <v>65.64</v>
      </c>
      <c r="L1028" s="237">
        <v>41240</v>
      </c>
      <c r="M1028" s="1" t="s">
        <v>2390</v>
      </c>
      <c r="N1028" s="235">
        <f t="shared" si="75"/>
        <v>79.02</v>
      </c>
      <c r="O1028" s="235">
        <f t="shared" si="76"/>
        <v>0</v>
      </c>
      <c r="P1028" s="238" t="s">
        <v>4077</v>
      </c>
      <c r="Q1028" s="1" t="s">
        <v>2212</v>
      </c>
      <c r="R1028" s="239" t="s">
        <v>4078</v>
      </c>
      <c r="S1028" s="238" t="s">
        <v>4079</v>
      </c>
      <c r="T1028" s="238" t="s">
        <v>2082</v>
      </c>
      <c r="U1028" s="238" t="s">
        <v>2082</v>
      </c>
      <c r="V1028" s="238" t="s">
        <v>4080</v>
      </c>
      <c r="W1028" s="236">
        <v>5069.0200000000004</v>
      </c>
      <c r="X1028" s="233">
        <v>41263</v>
      </c>
      <c r="Y1028" s="238" t="s">
        <v>4081</v>
      </c>
      <c r="AB1028" s="1" t="s">
        <v>2527</v>
      </c>
    </row>
    <row r="1029" spans="1:28" ht="11.25" customHeight="1">
      <c r="A1029" s="233">
        <v>41240</v>
      </c>
      <c r="B1029" s="1" t="s">
        <v>3770</v>
      </c>
      <c r="C1029" s="1" t="s">
        <v>2080</v>
      </c>
      <c r="D1029" s="1" t="s">
        <v>1871</v>
      </c>
      <c r="E1029" s="1">
        <v>8247</v>
      </c>
      <c r="F1029" s="1">
        <v>8</v>
      </c>
      <c r="G1029" s="1" t="s">
        <v>2490</v>
      </c>
      <c r="H1029" s="234">
        <v>13.1</v>
      </c>
      <c r="I1029" s="235">
        <f t="shared" si="74"/>
        <v>104.8</v>
      </c>
      <c r="K1029" s="241">
        <f>12.35*F1029</f>
        <v>98.8</v>
      </c>
      <c r="L1029" s="237">
        <v>41240</v>
      </c>
      <c r="M1029" s="1" t="s">
        <v>2390</v>
      </c>
      <c r="N1029" s="235">
        <f t="shared" si="75"/>
        <v>104.8</v>
      </c>
      <c r="O1029" s="235">
        <f t="shared" si="76"/>
        <v>0</v>
      </c>
      <c r="P1029" s="238" t="s">
        <v>4077</v>
      </c>
      <c r="Q1029" s="1" t="s">
        <v>2212</v>
      </c>
      <c r="R1029" s="239" t="s">
        <v>4078</v>
      </c>
      <c r="S1029" s="238" t="s">
        <v>4079</v>
      </c>
      <c r="T1029" s="238" t="s">
        <v>2082</v>
      </c>
      <c r="U1029" s="238" t="s">
        <v>2082</v>
      </c>
      <c r="V1029" s="238" t="s">
        <v>4080</v>
      </c>
      <c r="W1029" s="236">
        <v>5069.0200000000004</v>
      </c>
      <c r="X1029" s="233">
        <v>41263</v>
      </c>
      <c r="Y1029" s="238" t="s">
        <v>4081</v>
      </c>
      <c r="AB1029" s="1" t="s">
        <v>2527</v>
      </c>
    </row>
    <row r="1030" spans="1:28" ht="11.25" customHeight="1">
      <c r="A1030" s="233">
        <v>41240</v>
      </c>
      <c r="B1030" s="1" t="s">
        <v>3344</v>
      </c>
      <c r="C1030" s="1" t="s">
        <v>4082</v>
      </c>
      <c r="D1030" s="5" t="s">
        <v>1938</v>
      </c>
      <c r="E1030" s="225" t="s">
        <v>4083</v>
      </c>
      <c r="F1030" s="1">
        <v>2</v>
      </c>
      <c r="G1030" s="1" t="s">
        <v>2529</v>
      </c>
      <c r="H1030" s="234">
        <v>3300</v>
      </c>
      <c r="I1030" s="235">
        <f t="shared" si="74"/>
        <v>6600</v>
      </c>
      <c r="K1030" s="241">
        <f>2340*F1030</f>
        <v>4680</v>
      </c>
      <c r="L1030" s="245">
        <v>41242</v>
      </c>
      <c r="M1030" s="5" t="s">
        <v>2390</v>
      </c>
      <c r="N1030" s="235">
        <f t="shared" si="75"/>
        <v>6600</v>
      </c>
      <c r="O1030" s="235">
        <f t="shared" si="76"/>
        <v>0</v>
      </c>
      <c r="P1030" s="238" t="s">
        <v>4084</v>
      </c>
      <c r="Q1030" s="1" t="s">
        <v>3345</v>
      </c>
      <c r="R1030" s="10" t="s">
        <v>3346</v>
      </c>
      <c r="S1030" s="238">
        <v>13896055976</v>
      </c>
      <c r="T1030" s="238" t="s">
        <v>3347</v>
      </c>
      <c r="U1030" s="238" t="s">
        <v>4085</v>
      </c>
      <c r="V1030" s="238" t="s">
        <v>1386</v>
      </c>
      <c r="W1030" s="236">
        <v>2774</v>
      </c>
      <c r="X1030" s="233">
        <v>41242</v>
      </c>
      <c r="Y1030" s="238" t="s">
        <v>4086</v>
      </c>
      <c r="AB1030" s="1" t="s">
        <v>2527</v>
      </c>
    </row>
    <row r="1031" spans="1:28" ht="10.5" customHeight="1">
      <c r="A1031" s="233">
        <v>41240</v>
      </c>
      <c r="B1031" s="1" t="s">
        <v>4087</v>
      </c>
      <c r="C1031" s="1" t="s">
        <v>2080</v>
      </c>
      <c r="D1031" s="5" t="s">
        <v>1931</v>
      </c>
      <c r="E1031" s="1">
        <v>3700</v>
      </c>
      <c r="F1031" s="1">
        <v>200</v>
      </c>
      <c r="G1031" s="1" t="s">
        <v>229</v>
      </c>
      <c r="H1031" s="234">
        <v>4.7</v>
      </c>
      <c r="I1031" s="235">
        <f t="shared" ref="I1031:I1037" si="77">F1031*H1031</f>
        <v>940</v>
      </c>
      <c r="K1031" s="241">
        <f>2.865*F1031</f>
        <v>573</v>
      </c>
      <c r="N1031" s="235">
        <v>0</v>
      </c>
      <c r="O1031" s="235">
        <f t="shared" si="76"/>
        <v>940</v>
      </c>
      <c r="P1031" s="238" t="s">
        <v>4088</v>
      </c>
      <c r="Q1031" s="1" t="s">
        <v>2505</v>
      </c>
      <c r="R1031" s="239" t="s">
        <v>4089</v>
      </c>
      <c r="S1031" s="238" t="s">
        <v>4090</v>
      </c>
      <c r="T1031" s="238" t="s">
        <v>4091</v>
      </c>
      <c r="V1031" s="238" t="s">
        <v>4092</v>
      </c>
      <c r="W1031" s="236">
        <v>11516</v>
      </c>
      <c r="X1031" s="233">
        <v>41267</v>
      </c>
      <c r="Y1031" s="238" t="s">
        <v>3951</v>
      </c>
      <c r="AB1031" s="1" t="s">
        <v>2079</v>
      </c>
    </row>
    <row r="1032" spans="1:28" ht="11.25" customHeight="1">
      <c r="A1032" s="233">
        <v>41240</v>
      </c>
      <c r="B1032" s="1" t="s">
        <v>4087</v>
      </c>
      <c r="C1032" s="1" t="s">
        <v>2080</v>
      </c>
      <c r="D1032" s="5" t="s">
        <v>232</v>
      </c>
      <c r="E1032" s="1" t="s">
        <v>2615</v>
      </c>
      <c r="F1032" s="1">
        <v>200</v>
      </c>
      <c r="G1032" s="1" t="s">
        <v>2490</v>
      </c>
      <c r="H1032" s="234">
        <v>2</v>
      </c>
      <c r="I1032" s="235">
        <f t="shared" si="77"/>
        <v>400</v>
      </c>
      <c r="K1032" s="241">
        <f>1.54*F1032</f>
        <v>308</v>
      </c>
      <c r="N1032" s="235">
        <v>0</v>
      </c>
      <c r="O1032" s="235">
        <f t="shared" si="76"/>
        <v>400</v>
      </c>
      <c r="P1032" s="238" t="s">
        <v>4088</v>
      </c>
      <c r="Q1032" s="1" t="s">
        <v>2505</v>
      </c>
      <c r="R1032" s="239" t="s">
        <v>4089</v>
      </c>
      <c r="S1032" s="238" t="s">
        <v>4090</v>
      </c>
      <c r="T1032" s="238" t="s">
        <v>4091</v>
      </c>
      <c r="V1032" s="238" t="s">
        <v>4092</v>
      </c>
      <c r="W1032" s="236">
        <v>11516</v>
      </c>
      <c r="X1032" s="233">
        <v>41267</v>
      </c>
      <c r="Y1032" s="238" t="s">
        <v>3951</v>
      </c>
      <c r="AB1032" s="1" t="s">
        <v>2079</v>
      </c>
    </row>
    <row r="1033" spans="1:28" ht="11.25" customHeight="1">
      <c r="A1033" s="233">
        <v>41240</v>
      </c>
      <c r="B1033" s="1" t="s">
        <v>4087</v>
      </c>
      <c r="C1033" s="1" t="s">
        <v>2080</v>
      </c>
      <c r="D1033" s="5" t="s">
        <v>2012</v>
      </c>
      <c r="E1033" s="1" t="s">
        <v>2489</v>
      </c>
      <c r="F1033" s="1">
        <v>1000</v>
      </c>
      <c r="G1033" s="1" t="s">
        <v>4970</v>
      </c>
      <c r="H1033" s="234">
        <v>1.72</v>
      </c>
      <c r="I1033" s="235">
        <f t="shared" si="77"/>
        <v>1720</v>
      </c>
      <c r="K1033" s="241">
        <f>1.4*F1033</f>
        <v>1400</v>
      </c>
      <c r="N1033" s="235">
        <v>0</v>
      </c>
      <c r="O1033" s="235">
        <f t="shared" si="76"/>
        <v>1720</v>
      </c>
      <c r="P1033" s="238" t="s">
        <v>4088</v>
      </c>
      <c r="Q1033" s="1" t="s">
        <v>2505</v>
      </c>
      <c r="R1033" s="239" t="s">
        <v>4089</v>
      </c>
      <c r="S1033" s="238" t="s">
        <v>4090</v>
      </c>
      <c r="T1033" s="238" t="s">
        <v>4091</v>
      </c>
      <c r="U1033" s="238" t="s">
        <v>4093</v>
      </c>
      <c r="V1033" s="238" t="s">
        <v>4092</v>
      </c>
      <c r="W1033" s="236">
        <v>11516</v>
      </c>
      <c r="X1033" s="233">
        <v>41267</v>
      </c>
      <c r="Y1033" s="238" t="s">
        <v>3951</v>
      </c>
      <c r="AB1033" s="1" t="s">
        <v>2079</v>
      </c>
    </row>
    <row r="1034" spans="1:28" ht="11.25" customHeight="1">
      <c r="A1034" s="233">
        <v>41240</v>
      </c>
      <c r="B1034" s="1" t="s">
        <v>4087</v>
      </c>
      <c r="C1034" s="1" t="s">
        <v>2080</v>
      </c>
      <c r="D1034" s="1" t="s">
        <v>1210</v>
      </c>
      <c r="E1034" s="1">
        <v>3200</v>
      </c>
      <c r="F1034" s="1">
        <v>200</v>
      </c>
      <c r="G1034" s="1" t="s">
        <v>2086</v>
      </c>
      <c r="H1034" s="234">
        <v>30.5</v>
      </c>
      <c r="I1034" s="235">
        <f t="shared" si="77"/>
        <v>6100</v>
      </c>
      <c r="K1034" s="241">
        <f>20.89*F1034</f>
        <v>4178</v>
      </c>
      <c r="N1034" s="235">
        <v>0</v>
      </c>
      <c r="O1034" s="235">
        <f t="shared" si="76"/>
        <v>6100</v>
      </c>
      <c r="P1034" s="238" t="s">
        <v>4088</v>
      </c>
      <c r="Q1034" s="1" t="s">
        <v>2505</v>
      </c>
      <c r="R1034" s="239" t="s">
        <v>4089</v>
      </c>
      <c r="S1034" s="238" t="s">
        <v>4090</v>
      </c>
      <c r="T1034" s="238" t="s">
        <v>4091</v>
      </c>
      <c r="U1034" s="238" t="s">
        <v>4093</v>
      </c>
      <c r="V1034" s="238" t="s">
        <v>4092</v>
      </c>
      <c r="W1034" s="236">
        <v>11516</v>
      </c>
      <c r="X1034" s="233">
        <v>41267</v>
      </c>
      <c r="Y1034" s="238" t="s">
        <v>3951</v>
      </c>
      <c r="AB1034" s="1" t="s">
        <v>2079</v>
      </c>
    </row>
    <row r="1035" spans="1:28" ht="11.25" customHeight="1">
      <c r="A1035" s="233">
        <v>41240</v>
      </c>
      <c r="B1035" s="1" t="s">
        <v>4087</v>
      </c>
      <c r="C1035" s="1" t="s">
        <v>2080</v>
      </c>
      <c r="D1035" s="5" t="s">
        <v>1882</v>
      </c>
      <c r="E1035" s="1" t="s">
        <v>2397</v>
      </c>
      <c r="F1035" s="1">
        <v>100</v>
      </c>
      <c r="G1035" s="1" t="s">
        <v>2086</v>
      </c>
      <c r="H1035" s="234">
        <v>15.86</v>
      </c>
      <c r="I1035" s="235">
        <f t="shared" si="77"/>
        <v>1586</v>
      </c>
      <c r="K1035" s="241">
        <f>10.94*F1035</f>
        <v>1094</v>
      </c>
      <c r="N1035" s="235">
        <v>0</v>
      </c>
      <c r="O1035" s="235">
        <f t="shared" si="76"/>
        <v>1586</v>
      </c>
      <c r="P1035" s="238" t="s">
        <v>4088</v>
      </c>
      <c r="Q1035" s="1" t="s">
        <v>2505</v>
      </c>
      <c r="R1035" s="239" t="s">
        <v>4089</v>
      </c>
      <c r="S1035" s="238" t="s">
        <v>4090</v>
      </c>
      <c r="T1035" s="238" t="s">
        <v>4091</v>
      </c>
      <c r="U1035" s="238" t="s">
        <v>4093</v>
      </c>
      <c r="V1035" s="238" t="s">
        <v>4092</v>
      </c>
      <c r="W1035" s="236">
        <v>11516</v>
      </c>
      <c r="X1035" s="233">
        <v>41267</v>
      </c>
      <c r="Y1035" s="238" t="s">
        <v>3951</v>
      </c>
      <c r="AB1035" s="1" t="s">
        <v>2079</v>
      </c>
    </row>
    <row r="1036" spans="1:28" ht="11.25" customHeight="1">
      <c r="A1036" s="233">
        <v>41240</v>
      </c>
      <c r="B1036" s="1" t="s">
        <v>4087</v>
      </c>
      <c r="C1036" s="1" t="s">
        <v>2080</v>
      </c>
      <c r="D1036" s="5" t="s">
        <v>263</v>
      </c>
      <c r="E1036" s="1" t="s">
        <v>2118</v>
      </c>
      <c r="F1036" s="1">
        <v>100</v>
      </c>
      <c r="G1036" s="1" t="s">
        <v>2086</v>
      </c>
      <c r="H1036" s="234">
        <v>2.2999999999999998</v>
      </c>
      <c r="I1036" s="235">
        <f t="shared" si="77"/>
        <v>229.99999999999997</v>
      </c>
      <c r="K1036" s="241">
        <f>1.17*F1036</f>
        <v>117</v>
      </c>
      <c r="N1036" s="235">
        <v>0</v>
      </c>
      <c r="O1036" s="235">
        <f t="shared" si="76"/>
        <v>229.99999999999997</v>
      </c>
      <c r="P1036" s="238" t="s">
        <v>4088</v>
      </c>
      <c r="Q1036" s="1" t="s">
        <v>2505</v>
      </c>
      <c r="R1036" s="239" t="s">
        <v>4089</v>
      </c>
      <c r="S1036" s="238" t="s">
        <v>4090</v>
      </c>
      <c r="T1036" s="238" t="s">
        <v>4091</v>
      </c>
      <c r="U1036" s="238" t="s">
        <v>4093</v>
      </c>
      <c r="V1036" s="238" t="s">
        <v>4092</v>
      </c>
      <c r="W1036" s="236">
        <v>11516</v>
      </c>
      <c r="X1036" s="233">
        <v>41267</v>
      </c>
      <c r="Y1036" s="238" t="s">
        <v>3951</v>
      </c>
      <c r="AB1036" s="1" t="s">
        <v>2079</v>
      </c>
    </row>
    <row r="1037" spans="1:28" ht="11.25" customHeight="1">
      <c r="A1037" s="233">
        <v>41240</v>
      </c>
      <c r="B1037" s="1" t="s">
        <v>4087</v>
      </c>
      <c r="C1037" s="1" t="s">
        <v>2080</v>
      </c>
      <c r="D1037" s="5" t="s">
        <v>1866</v>
      </c>
      <c r="E1037" s="1" t="s">
        <v>2120</v>
      </c>
      <c r="F1037" s="1">
        <v>300</v>
      </c>
      <c r="G1037" s="1" t="s">
        <v>2490</v>
      </c>
      <c r="H1037" s="234">
        <v>1.8</v>
      </c>
      <c r="I1037" s="235">
        <f t="shared" si="77"/>
        <v>540</v>
      </c>
      <c r="K1037" s="241">
        <f>1.575*F1037</f>
        <v>472.5</v>
      </c>
      <c r="N1037" s="235">
        <v>0</v>
      </c>
      <c r="O1037" s="235">
        <f t="shared" si="76"/>
        <v>540</v>
      </c>
      <c r="P1037" s="238" t="s">
        <v>4088</v>
      </c>
      <c r="Q1037" s="1" t="s">
        <v>2505</v>
      </c>
      <c r="R1037" s="239" t="s">
        <v>4089</v>
      </c>
      <c r="S1037" s="238" t="s">
        <v>4090</v>
      </c>
      <c r="T1037" s="238" t="s">
        <v>4091</v>
      </c>
      <c r="U1037" s="238" t="s">
        <v>4093</v>
      </c>
      <c r="V1037" s="238" t="s">
        <v>4092</v>
      </c>
      <c r="W1037" s="236">
        <v>11516</v>
      </c>
      <c r="X1037" s="233">
        <v>41267</v>
      </c>
      <c r="Y1037" s="238" t="s">
        <v>3951</v>
      </c>
      <c r="AB1037" s="1" t="s">
        <v>2079</v>
      </c>
    </row>
    <row r="1038" spans="1:28" ht="11.25" customHeight="1">
      <c r="A1038" s="233">
        <v>41241</v>
      </c>
      <c r="B1038" s="1" t="s">
        <v>3653</v>
      </c>
      <c r="C1038" s="1" t="s">
        <v>2080</v>
      </c>
      <c r="D1038" s="5" t="s">
        <v>2009</v>
      </c>
      <c r="E1038" s="1" t="s">
        <v>2081</v>
      </c>
      <c r="F1038" s="1">
        <v>20</v>
      </c>
      <c r="G1038" s="1" t="s">
        <v>2398</v>
      </c>
      <c r="H1038" s="234">
        <v>32</v>
      </c>
      <c r="I1038" s="235">
        <f t="shared" si="74"/>
        <v>640</v>
      </c>
      <c r="K1038" s="241">
        <f>29.25*20</f>
        <v>585</v>
      </c>
      <c r="L1038" s="237">
        <v>41241</v>
      </c>
      <c r="M1038" s="1" t="s">
        <v>2390</v>
      </c>
      <c r="N1038" s="235">
        <f t="shared" si="75"/>
        <v>640</v>
      </c>
      <c r="O1038" s="235">
        <f t="shared" ref="O1038:O1044" si="78">I1038-N1038</f>
        <v>0</v>
      </c>
      <c r="P1038" s="238" t="s">
        <v>4094</v>
      </c>
      <c r="Q1038" s="1" t="s">
        <v>2212</v>
      </c>
      <c r="R1038" s="239" t="s">
        <v>4095</v>
      </c>
      <c r="S1038" s="238" t="s">
        <v>4096</v>
      </c>
      <c r="T1038" s="239" t="s">
        <v>2082</v>
      </c>
      <c r="U1038" s="239" t="s">
        <v>2082</v>
      </c>
      <c r="V1038" s="238" t="s">
        <v>2488</v>
      </c>
      <c r="AB1038" s="1" t="s">
        <v>2527</v>
      </c>
    </row>
    <row r="1039" spans="1:28" ht="11.25" customHeight="1">
      <c r="A1039" s="233">
        <v>41241</v>
      </c>
      <c r="B1039" s="1" t="s">
        <v>3653</v>
      </c>
      <c r="C1039" s="1" t="s">
        <v>2080</v>
      </c>
      <c r="D1039" s="5" t="s">
        <v>1934</v>
      </c>
      <c r="E1039" s="1">
        <v>1110</v>
      </c>
      <c r="F1039" s="1">
        <v>100</v>
      </c>
      <c r="G1039" s="1" t="s">
        <v>2398</v>
      </c>
      <c r="H1039" s="234">
        <v>0.86</v>
      </c>
      <c r="I1039" s="235">
        <f t="shared" si="74"/>
        <v>86</v>
      </c>
      <c r="K1039" s="241">
        <f>0.77*F1039</f>
        <v>77</v>
      </c>
      <c r="L1039" s="237">
        <v>41241</v>
      </c>
      <c r="M1039" s="1" t="s">
        <v>2390</v>
      </c>
      <c r="N1039" s="235">
        <f t="shared" si="75"/>
        <v>86</v>
      </c>
      <c r="O1039" s="235">
        <f t="shared" si="78"/>
        <v>0</v>
      </c>
      <c r="P1039" s="238" t="s">
        <v>4097</v>
      </c>
      <c r="Q1039" s="1" t="s">
        <v>2212</v>
      </c>
      <c r="R1039" s="239" t="s">
        <v>4095</v>
      </c>
      <c r="S1039" s="238" t="s">
        <v>4096</v>
      </c>
      <c r="T1039" s="239" t="s">
        <v>2082</v>
      </c>
      <c r="U1039" s="239" t="s">
        <v>2082</v>
      </c>
      <c r="V1039" s="238" t="s">
        <v>3655</v>
      </c>
      <c r="W1039" s="236">
        <v>1077</v>
      </c>
      <c r="X1039" s="233">
        <v>41256</v>
      </c>
      <c r="Y1039" s="255">
        <v>23000504124</v>
      </c>
      <c r="AB1039" s="1" t="s">
        <v>2527</v>
      </c>
    </row>
    <row r="1040" spans="1:28" ht="11.25" customHeight="1">
      <c r="A1040" s="233">
        <v>41241</v>
      </c>
      <c r="B1040" s="5" t="s">
        <v>2714</v>
      </c>
      <c r="C1040" s="5" t="s">
        <v>2080</v>
      </c>
      <c r="D1040" s="5" t="s">
        <v>240</v>
      </c>
      <c r="E1040" s="5">
        <v>6200</v>
      </c>
      <c r="F1040" s="5">
        <v>-76</v>
      </c>
      <c r="G1040" s="5" t="s">
        <v>2086</v>
      </c>
      <c r="H1040" s="243">
        <v>79.400000000000006</v>
      </c>
      <c r="I1040" s="235">
        <f>H1040*F1040</f>
        <v>-6034.4000000000005</v>
      </c>
      <c r="J1040" s="352">
        <v>42.7</v>
      </c>
      <c r="K1040" s="241">
        <f>42.7*F1040</f>
        <v>-3245.2000000000003</v>
      </c>
      <c r="L1040" s="238" t="s">
        <v>2082</v>
      </c>
      <c r="M1040" s="238" t="s">
        <v>2082</v>
      </c>
      <c r="N1040" s="235">
        <f t="shared" si="75"/>
        <v>-6034.4000000000005</v>
      </c>
      <c r="O1040" s="235">
        <f t="shared" si="78"/>
        <v>0</v>
      </c>
      <c r="P1040" s="238" t="s">
        <v>2082</v>
      </c>
      <c r="Q1040" s="238" t="s">
        <v>2082</v>
      </c>
      <c r="R1040" s="238" t="s">
        <v>2082</v>
      </c>
      <c r="S1040" s="238" t="s">
        <v>2082</v>
      </c>
      <c r="T1040" s="238" t="s">
        <v>2082</v>
      </c>
      <c r="U1040" s="238" t="s">
        <v>2082</v>
      </c>
      <c r="V1040" s="238" t="s">
        <v>2082</v>
      </c>
      <c r="W1040" s="238" t="s">
        <v>2082</v>
      </c>
      <c r="X1040" s="238" t="s">
        <v>2082</v>
      </c>
      <c r="Y1040" s="238" t="s">
        <v>2082</v>
      </c>
      <c r="AA1040" s="240" t="s">
        <v>2722</v>
      </c>
      <c r="AB1040" s="1" t="s">
        <v>2079</v>
      </c>
    </row>
    <row r="1041" spans="1:28" ht="11.25" customHeight="1">
      <c r="A1041" s="233">
        <v>41241</v>
      </c>
      <c r="B1041" s="5" t="s">
        <v>2714</v>
      </c>
      <c r="C1041" s="5" t="s">
        <v>2080</v>
      </c>
      <c r="D1041" s="5" t="s">
        <v>1882</v>
      </c>
      <c r="E1041" s="5" t="s">
        <v>2492</v>
      </c>
      <c r="F1041" s="5">
        <v>-10</v>
      </c>
      <c r="G1041" s="5" t="s">
        <v>2086</v>
      </c>
      <c r="H1041" s="243">
        <v>28.6</v>
      </c>
      <c r="I1041" s="235">
        <f>H1041*F1041</f>
        <v>-286</v>
      </c>
      <c r="K1041" s="241">
        <f>16.5*F1041</f>
        <v>-165</v>
      </c>
      <c r="L1041" s="238" t="s">
        <v>2082</v>
      </c>
      <c r="M1041" s="238" t="s">
        <v>2082</v>
      </c>
      <c r="N1041" s="235">
        <f t="shared" si="75"/>
        <v>-286</v>
      </c>
      <c r="O1041" s="235">
        <f t="shared" si="78"/>
        <v>0</v>
      </c>
      <c r="P1041" s="238" t="s">
        <v>2082</v>
      </c>
      <c r="Q1041" s="238" t="s">
        <v>2082</v>
      </c>
      <c r="R1041" s="238" t="s">
        <v>2082</v>
      </c>
      <c r="S1041" s="238" t="s">
        <v>2082</v>
      </c>
      <c r="T1041" s="238" t="s">
        <v>2082</v>
      </c>
      <c r="U1041" s="238" t="s">
        <v>2082</v>
      </c>
      <c r="V1041" s="238" t="s">
        <v>2082</v>
      </c>
      <c r="W1041" s="238" t="s">
        <v>2082</v>
      </c>
      <c r="X1041" s="238" t="s">
        <v>2082</v>
      </c>
      <c r="Y1041" s="238" t="s">
        <v>2082</v>
      </c>
      <c r="AA1041" s="240" t="s">
        <v>2722</v>
      </c>
      <c r="AB1041" s="1" t="s">
        <v>2079</v>
      </c>
    </row>
    <row r="1042" spans="1:28" ht="11.25" customHeight="1">
      <c r="A1042" s="233">
        <v>41241</v>
      </c>
      <c r="B1042" s="136" t="s">
        <v>4040</v>
      </c>
      <c r="C1042" s="1" t="s">
        <v>2080</v>
      </c>
      <c r="D1042" s="5" t="s">
        <v>305</v>
      </c>
      <c r="E1042" s="1">
        <v>1270</v>
      </c>
      <c r="F1042" s="1">
        <v>120</v>
      </c>
      <c r="G1042" s="1" t="s">
        <v>2398</v>
      </c>
      <c r="H1042" s="234">
        <v>6.5</v>
      </c>
      <c r="I1042" s="235">
        <f>F1042*H1042</f>
        <v>780</v>
      </c>
      <c r="K1042" s="241">
        <f>4.31*F1042</f>
        <v>517.19999999999993</v>
      </c>
      <c r="L1042" s="237">
        <v>41407</v>
      </c>
      <c r="M1042" s="1" t="s">
        <v>6803</v>
      </c>
      <c r="N1042" s="235">
        <f>I1042</f>
        <v>780</v>
      </c>
      <c r="O1042" s="235">
        <f t="shared" si="78"/>
        <v>0</v>
      </c>
      <c r="P1042" s="238" t="s">
        <v>4098</v>
      </c>
      <c r="Q1042" s="1" t="s">
        <v>3535</v>
      </c>
      <c r="R1042" s="239" t="s">
        <v>4042</v>
      </c>
      <c r="S1042" s="238" t="s">
        <v>4043</v>
      </c>
      <c r="T1042" s="238" t="s">
        <v>4044</v>
      </c>
      <c r="U1042" s="238" t="s">
        <v>4093</v>
      </c>
      <c r="V1042" s="238" t="s">
        <v>5504</v>
      </c>
      <c r="W1042" s="236">
        <v>1070</v>
      </c>
      <c r="X1042" s="233">
        <v>41346</v>
      </c>
      <c r="AB1042" s="1" t="s">
        <v>2079</v>
      </c>
    </row>
    <row r="1043" spans="1:28" ht="11.25" customHeight="1">
      <c r="A1043" s="233">
        <v>41242</v>
      </c>
      <c r="B1043" s="1" t="s">
        <v>2517</v>
      </c>
      <c r="C1043" s="1" t="s">
        <v>2080</v>
      </c>
      <c r="D1043" s="5" t="s">
        <v>1893</v>
      </c>
      <c r="E1043" s="1">
        <v>9032</v>
      </c>
      <c r="F1043" s="1">
        <v>1000</v>
      </c>
      <c r="G1043" s="1" t="s">
        <v>2086</v>
      </c>
      <c r="H1043" s="234">
        <v>1.7</v>
      </c>
      <c r="I1043" s="235">
        <f>H1043*F1043</f>
        <v>1700</v>
      </c>
      <c r="K1043" s="241">
        <f>1.4929*F1043</f>
        <v>1492.8999999999999</v>
      </c>
      <c r="L1043" s="237">
        <v>41242</v>
      </c>
      <c r="M1043" s="1" t="s">
        <v>2390</v>
      </c>
      <c r="N1043" s="235">
        <f t="shared" si="75"/>
        <v>1700</v>
      </c>
      <c r="O1043" s="235">
        <f t="shared" si="78"/>
        <v>0</v>
      </c>
      <c r="P1043" s="238" t="s">
        <v>4099</v>
      </c>
      <c r="Q1043" s="1" t="s">
        <v>2212</v>
      </c>
      <c r="R1043" s="239" t="s">
        <v>2519</v>
      </c>
      <c r="S1043" s="238" t="s">
        <v>2520</v>
      </c>
      <c r="T1043" s="238" t="s">
        <v>2082</v>
      </c>
      <c r="V1043" s="238" t="s">
        <v>2488</v>
      </c>
      <c r="AB1043" s="1" t="s">
        <v>2079</v>
      </c>
    </row>
    <row r="1044" spans="1:28" ht="11.25" customHeight="1">
      <c r="A1044" s="233">
        <v>41242</v>
      </c>
      <c r="B1044" s="1" t="s">
        <v>4100</v>
      </c>
      <c r="C1044" s="1" t="s">
        <v>2080</v>
      </c>
      <c r="D1044" s="5" t="s">
        <v>86</v>
      </c>
      <c r="E1044" s="1">
        <v>9032</v>
      </c>
      <c r="F1044" s="1">
        <v>50</v>
      </c>
      <c r="G1044" s="1" t="s">
        <v>2086</v>
      </c>
      <c r="H1044" s="234">
        <v>2.7</v>
      </c>
      <c r="I1044" s="235">
        <f>H1044*F1044</f>
        <v>135</v>
      </c>
      <c r="K1044" s="241">
        <f>1.4929*F1044</f>
        <v>74.644999999999996</v>
      </c>
      <c r="N1044" s="235">
        <v>0</v>
      </c>
      <c r="O1044" s="235">
        <f t="shared" si="78"/>
        <v>135</v>
      </c>
      <c r="P1044" s="238" t="s">
        <v>4101</v>
      </c>
      <c r="Q1044" s="1" t="s">
        <v>3535</v>
      </c>
      <c r="R1044" s="239" t="s">
        <v>4102</v>
      </c>
      <c r="S1044" s="238" t="s">
        <v>4103</v>
      </c>
      <c r="T1044" s="238" t="s">
        <v>4104</v>
      </c>
      <c r="U1044" s="238" t="s">
        <v>4105</v>
      </c>
      <c r="AB1044" s="1" t="s">
        <v>2079</v>
      </c>
    </row>
    <row r="1045" spans="1:28" ht="11.25" customHeight="1">
      <c r="A1045" s="233">
        <v>41242</v>
      </c>
      <c r="B1045" s="1" t="s">
        <v>2496</v>
      </c>
      <c r="C1045" s="1" t="s">
        <v>2080</v>
      </c>
      <c r="D1045" s="5" t="s">
        <v>1893</v>
      </c>
      <c r="E1045" s="1">
        <v>9032</v>
      </c>
      <c r="F1045" s="1">
        <v>500</v>
      </c>
      <c r="G1045" s="1" t="s">
        <v>2086</v>
      </c>
      <c r="H1045" s="234">
        <v>2.4</v>
      </c>
      <c r="I1045" s="236">
        <f>H1045*F1045</f>
        <v>1200</v>
      </c>
      <c r="K1045" s="241">
        <f>1.4929*F1045</f>
        <v>746.44999999999993</v>
      </c>
      <c r="L1045" s="237">
        <v>41242</v>
      </c>
      <c r="M1045" s="1" t="s">
        <v>2327</v>
      </c>
      <c r="N1045" s="235">
        <f t="shared" si="75"/>
        <v>1200</v>
      </c>
      <c r="O1045" s="235">
        <f t="shared" ref="O1045:O1064" si="79">I1045-N1045</f>
        <v>0</v>
      </c>
      <c r="P1045" s="238" t="s">
        <v>4106</v>
      </c>
      <c r="Q1045" s="1" t="s">
        <v>2562</v>
      </c>
      <c r="R1045" s="239" t="s">
        <v>2499</v>
      </c>
      <c r="S1045" s="238" t="s">
        <v>2500</v>
      </c>
      <c r="T1045" s="238" t="s">
        <v>2501</v>
      </c>
      <c r="U1045" s="238" t="s">
        <v>4107</v>
      </c>
      <c r="V1045" s="238" t="s">
        <v>2488</v>
      </c>
      <c r="AB1045" s="1" t="s">
        <v>2079</v>
      </c>
    </row>
    <row r="1046" spans="1:28" ht="11.25" customHeight="1">
      <c r="A1046" s="233">
        <v>41242</v>
      </c>
      <c r="B1046" s="1" t="s">
        <v>3743</v>
      </c>
      <c r="C1046" s="5" t="s">
        <v>2080</v>
      </c>
      <c r="D1046" s="5" t="s">
        <v>854</v>
      </c>
      <c r="E1046" s="1">
        <v>9031</v>
      </c>
      <c r="F1046" s="1">
        <v>-845</v>
      </c>
      <c r="G1046" s="232" t="s">
        <v>3108</v>
      </c>
      <c r="H1046" s="234">
        <v>2.2999999999999998</v>
      </c>
      <c r="I1046" s="235">
        <f t="shared" ref="I1046:I1075" si="80">F1046*H1046</f>
        <v>-1943.4999999999998</v>
      </c>
      <c r="K1046" s="241">
        <f>1.4929*F1046</f>
        <v>-1261.5004999999999</v>
      </c>
      <c r="L1046" s="238" t="s">
        <v>2082</v>
      </c>
      <c r="M1046" s="238" t="s">
        <v>2082</v>
      </c>
      <c r="N1046" s="235">
        <f t="shared" si="75"/>
        <v>-1943.4999999999998</v>
      </c>
      <c r="O1046" s="235">
        <f t="shared" si="79"/>
        <v>0</v>
      </c>
      <c r="P1046" s="238" t="s">
        <v>2082</v>
      </c>
      <c r="Q1046" s="238" t="s">
        <v>2082</v>
      </c>
      <c r="R1046" s="239" t="s">
        <v>3746</v>
      </c>
      <c r="S1046" s="238" t="s">
        <v>3747</v>
      </c>
      <c r="T1046" s="238" t="s">
        <v>3748</v>
      </c>
      <c r="V1046" s="238" t="s">
        <v>2488</v>
      </c>
      <c r="AA1046" s="240" t="s">
        <v>4108</v>
      </c>
      <c r="AB1046" s="1" t="s">
        <v>2079</v>
      </c>
    </row>
    <row r="1047" spans="1:28" ht="11.25" customHeight="1">
      <c r="A1047" s="233">
        <v>41242</v>
      </c>
      <c r="B1047" s="1" t="s">
        <v>3743</v>
      </c>
      <c r="C1047" s="5" t="s">
        <v>2080</v>
      </c>
      <c r="D1047" s="5" t="s">
        <v>1892</v>
      </c>
      <c r="E1047" s="1">
        <v>9032</v>
      </c>
      <c r="F1047" s="1">
        <v>845</v>
      </c>
      <c r="G1047" s="1" t="s">
        <v>2086</v>
      </c>
      <c r="H1047" s="234">
        <v>2.2999999999999998</v>
      </c>
      <c r="I1047" s="235">
        <f t="shared" si="80"/>
        <v>1943.4999999999998</v>
      </c>
      <c r="K1047" s="241">
        <f>1.4929*F1047</f>
        <v>1261.5004999999999</v>
      </c>
      <c r="L1047" s="237" t="s">
        <v>2082</v>
      </c>
      <c r="M1047" s="1" t="s">
        <v>2082</v>
      </c>
      <c r="N1047" s="235">
        <f t="shared" si="75"/>
        <v>1943.4999999999998</v>
      </c>
      <c r="O1047" s="235">
        <f t="shared" si="79"/>
        <v>0</v>
      </c>
      <c r="P1047" s="238" t="s">
        <v>4109</v>
      </c>
      <c r="Q1047" s="1" t="s">
        <v>2212</v>
      </c>
      <c r="R1047" s="239" t="s">
        <v>3746</v>
      </c>
      <c r="S1047" s="238" t="s">
        <v>3747</v>
      </c>
      <c r="T1047" s="238" t="s">
        <v>3748</v>
      </c>
      <c r="V1047" s="238" t="s">
        <v>2488</v>
      </c>
      <c r="AB1047" s="1" t="s">
        <v>2079</v>
      </c>
    </row>
    <row r="1048" spans="1:28" ht="11.25" customHeight="1">
      <c r="A1048" s="233">
        <v>41242</v>
      </c>
      <c r="B1048" s="1" t="s">
        <v>3530</v>
      </c>
      <c r="C1048" s="5" t="s">
        <v>2080</v>
      </c>
      <c r="D1048" s="5" t="s">
        <v>304</v>
      </c>
      <c r="E1048" s="1">
        <v>1426</v>
      </c>
      <c r="F1048" s="1">
        <v>3</v>
      </c>
      <c r="G1048" s="5" t="s">
        <v>2398</v>
      </c>
      <c r="H1048" s="234">
        <v>22.4</v>
      </c>
      <c r="I1048" s="235">
        <f t="shared" si="80"/>
        <v>67.199999999999989</v>
      </c>
      <c r="K1048" s="241">
        <f>19.422*F1048</f>
        <v>58.266000000000005</v>
      </c>
      <c r="L1048" s="237">
        <v>41242</v>
      </c>
      <c r="M1048" s="1" t="s">
        <v>2390</v>
      </c>
      <c r="N1048" s="235">
        <f t="shared" si="75"/>
        <v>67.199999999999989</v>
      </c>
      <c r="O1048" s="235">
        <f t="shared" si="79"/>
        <v>0</v>
      </c>
      <c r="P1048" s="238" t="s">
        <v>4084</v>
      </c>
      <c r="Q1048" s="1" t="s">
        <v>2505</v>
      </c>
      <c r="R1048" s="247" t="s">
        <v>2082</v>
      </c>
      <c r="S1048" s="238" t="s">
        <v>4110</v>
      </c>
      <c r="T1048" s="238" t="s">
        <v>3533</v>
      </c>
      <c r="U1048" s="238" t="s">
        <v>2082</v>
      </c>
      <c r="V1048" s="246" t="s">
        <v>2488</v>
      </c>
      <c r="AB1048" s="5" t="s">
        <v>2527</v>
      </c>
    </row>
    <row r="1049" spans="1:28" ht="11.25" customHeight="1">
      <c r="A1049" s="233">
        <v>41246</v>
      </c>
      <c r="B1049" s="1" t="s">
        <v>4111</v>
      </c>
      <c r="C1049" s="5" t="s">
        <v>2080</v>
      </c>
      <c r="D1049" s="1" t="s">
        <v>1213</v>
      </c>
      <c r="E1049" s="1" t="s">
        <v>2509</v>
      </c>
      <c r="F1049" s="1">
        <v>40</v>
      </c>
      <c r="G1049" s="1" t="s">
        <v>2398</v>
      </c>
      <c r="H1049" s="234">
        <v>13</v>
      </c>
      <c r="I1049" s="235">
        <f t="shared" si="80"/>
        <v>520</v>
      </c>
      <c r="K1049" s="250">
        <f>12.6*F1049</f>
        <v>504</v>
      </c>
      <c r="L1049" s="237">
        <v>41248</v>
      </c>
      <c r="M1049" s="1" t="s">
        <v>2390</v>
      </c>
      <c r="N1049" s="235">
        <f t="shared" si="75"/>
        <v>520</v>
      </c>
      <c r="O1049" s="235">
        <f t="shared" si="79"/>
        <v>0</v>
      </c>
      <c r="P1049" s="238" t="s">
        <v>4112</v>
      </c>
      <c r="Q1049" s="1" t="s">
        <v>2505</v>
      </c>
      <c r="R1049" s="239" t="s">
        <v>4113</v>
      </c>
      <c r="S1049" s="238" t="s">
        <v>4114</v>
      </c>
      <c r="T1049" s="238" t="s">
        <v>4115</v>
      </c>
      <c r="V1049" s="238" t="s">
        <v>2488</v>
      </c>
      <c r="AB1049" s="1" t="s">
        <v>2527</v>
      </c>
    </row>
    <row r="1050" spans="1:28" ht="11.25" customHeight="1">
      <c r="A1050" s="233">
        <v>41246</v>
      </c>
      <c r="B1050" s="1" t="s">
        <v>497</v>
      </c>
      <c r="C1050" s="5" t="s">
        <v>2080</v>
      </c>
      <c r="D1050" s="5" t="s">
        <v>2028</v>
      </c>
      <c r="E1050" s="1" t="s">
        <v>3168</v>
      </c>
      <c r="F1050" s="1">
        <v>1</v>
      </c>
      <c r="G1050" s="1" t="s">
        <v>3129</v>
      </c>
      <c r="H1050" s="234">
        <v>160</v>
      </c>
      <c r="I1050" s="235">
        <f t="shared" si="80"/>
        <v>160</v>
      </c>
      <c r="K1050" s="241">
        <f>107.64*F1050</f>
        <v>107.64</v>
      </c>
      <c r="L1050" s="237">
        <v>41246</v>
      </c>
      <c r="M1050" s="1" t="s">
        <v>2327</v>
      </c>
      <c r="N1050" s="235">
        <f t="shared" si="75"/>
        <v>160</v>
      </c>
      <c r="O1050" s="235">
        <f t="shared" si="79"/>
        <v>0</v>
      </c>
      <c r="P1050" s="238" t="s">
        <v>4116</v>
      </c>
      <c r="R1050" s="239" t="s">
        <v>4117</v>
      </c>
      <c r="S1050" s="238" t="s">
        <v>4118</v>
      </c>
      <c r="T1050" s="238" t="s">
        <v>4119</v>
      </c>
      <c r="V1050" s="238" t="s">
        <v>2488</v>
      </c>
      <c r="AB1050" s="1" t="s">
        <v>2079</v>
      </c>
    </row>
    <row r="1051" spans="1:28" ht="11.25" customHeight="1">
      <c r="A1051" s="233">
        <v>41247</v>
      </c>
      <c r="B1051" s="1" t="s">
        <v>3653</v>
      </c>
      <c r="C1051" s="1" t="s">
        <v>2080</v>
      </c>
      <c r="D1051" s="5" t="s">
        <v>1934</v>
      </c>
      <c r="E1051" s="1">
        <v>1110</v>
      </c>
      <c r="F1051" s="1">
        <v>100</v>
      </c>
      <c r="G1051" s="1" t="s">
        <v>2398</v>
      </c>
      <c r="H1051" s="234">
        <v>0.8</v>
      </c>
      <c r="I1051" s="235">
        <f t="shared" si="80"/>
        <v>80</v>
      </c>
      <c r="K1051" s="241">
        <f>0.77*F1051</f>
        <v>77</v>
      </c>
      <c r="L1051" s="237">
        <v>41247</v>
      </c>
      <c r="M1051" s="1" t="s">
        <v>2390</v>
      </c>
      <c r="N1051" s="235">
        <f t="shared" si="75"/>
        <v>80</v>
      </c>
      <c r="O1051" s="235">
        <f t="shared" si="79"/>
        <v>0</v>
      </c>
      <c r="P1051" s="238" t="s">
        <v>2082</v>
      </c>
      <c r="Q1051" s="1" t="s">
        <v>2212</v>
      </c>
      <c r="R1051" s="239" t="s">
        <v>4095</v>
      </c>
      <c r="S1051" s="238" t="s">
        <v>4096</v>
      </c>
      <c r="T1051" s="239" t="s">
        <v>2082</v>
      </c>
      <c r="U1051" s="239" t="s">
        <v>2082</v>
      </c>
      <c r="V1051" s="238" t="s">
        <v>2488</v>
      </c>
      <c r="AB1051" s="1" t="s">
        <v>2527</v>
      </c>
    </row>
    <row r="1052" spans="1:28" ht="11.25" customHeight="1">
      <c r="A1052" s="233">
        <v>41247</v>
      </c>
      <c r="B1052" s="228" t="s">
        <v>2649</v>
      </c>
      <c r="C1052" s="1" t="s">
        <v>2080</v>
      </c>
      <c r="D1052" s="5" t="s">
        <v>2039</v>
      </c>
      <c r="E1052" s="5" t="s">
        <v>3941</v>
      </c>
      <c r="F1052" s="5">
        <v>-10</v>
      </c>
      <c r="G1052" s="1" t="s">
        <v>2398</v>
      </c>
      <c r="H1052" s="234">
        <v>43</v>
      </c>
      <c r="I1052" s="235">
        <f t="shared" si="80"/>
        <v>-430</v>
      </c>
      <c r="K1052" s="241">
        <f>30*-9+52*-1</f>
        <v>-322</v>
      </c>
      <c r="L1052" s="238" t="s">
        <v>2082</v>
      </c>
      <c r="M1052" s="238" t="s">
        <v>2082</v>
      </c>
      <c r="N1052" s="235">
        <f t="shared" si="75"/>
        <v>-430</v>
      </c>
      <c r="O1052" s="235">
        <f t="shared" si="79"/>
        <v>0</v>
      </c>
      <c r="P1052" s="238" t="s">
        <v>2082</v>
      </c>
      <c r="Q1052" s="238" t="s">
        <v>2082</v>
      </c>
      <c r="R1052" s="239" t="s">
        <v>3148</v>
      </c>
      <c r="S1052" s="238" t="s">
        <v>3149</v>
      </c>
      <c r="T1052" s="238" t="s">
        <v>2082</v>
      </c>
      <c r="U1052" s="238" t="s">
        <v>2082</v>
      </c>
      <c r="V1052" s="238" t="s">
        <v>2082</v>
      </c>
      <c r="W1052" s="238" t="s">
        <v>2082</v>
      </c>
      <c r="X1052" s="238" t="s">
        <v>2082</v>
      </c>
      <c r="Y1052" s="238" t="s">
        <v>2082</v>
      </c>
      <c r="AB1052" s="1" t="s">
        <v>2527</v>
      </c>
    </row>
    <row r="1053" spans="1:28" ht="11.25" customHeight="1">
      <c r="A1053" s="233">
        <v>41247</v>
      </c>
      <c r="B1053" s="1" t="s">
        <v>3467</v>
      </c>
      <c r="C1053" s="1" t="s">
        <v>2080</v>
      </c>
      <c r="D1053" s="5" t="s">
        <v>1874</v>
      </c>
      <c r="E1053" s="1" t="s">
        <v>4120</v>
      </c>
      <c r="F1053" s="1">
        <v>200</v>
      </c>
      <c r="G1053" s="1" t="s">
        <v>2490</v>
      </c>
      <c r="H1053" s="234">
        <v>2.8</v>
      </c>
      <c r="I1053" s="236">
        <f t="shared" si="80"/>
        <v>560</v>
      </c>
      <c r="K1053" s="241">
        <f>1.24*F1053</f>
        <v>248</v>
      </c>
      <c r="L1053" s="237">
        <v>41305</v>
      </c>
      <c r="M1053" s="1" t="s">
        <v>166</v>
      </c>
      <c r="N1053" s="235">
        <f t="shared" si="75"/>
        <v>560</v>
      </c>
      <c r="O1053" s="235">
        <f t="shared" si="79"/>
        <v>0</v>
      </c>
      <c r="P1053" s="238" t="s">
        <v>4121</v>
      </c>
      <c r="Q1053" s="1" t="s">
        <v>2212</v>
      </c>
      <c r="R1053" s="239" t="s">
        <v>1389</v>
      </c>
      <c r="S1053" s="238" t="s">
        <v>4122</v>
      </c>
      <c r="T1053" s="238" t="s">
        <v>2256</v>
      </c>
      <c r="U1053" s="238" t="s">
        <v>2257</v>
      </c>
      <c r="V1053" s="238" t="s">
        <v>3792</v>
      </c>
      <c r="W1053" s="236">
        <v>2987.5</v>
      </c>
      <c r="X1053" s="233">
        <v>41247</v>
      </c>
      <c r="Y1053" s="238" t="s">
        <v>2257</v>
      </c>
      <c r="AB1053" s="1" t="s">
        <v>3793</v>
      </c>
    </row>
    <row r="1054" spans="1:28" ht="11.25" customHeight="1">
      <c r="A1054" s="233">
        <v>41247</v>
      </c>
      <c r="B1054" s="1" t="s">
        <v>2260</v>
      </c>
      <c r="C1054" s="1" t="s">
        <v>2240</v>
      </c>
      <c r="D1054" s="5" t="s">
        <v>4123</v>
      </c>
      <c r="E1054" s="1" t="s">
        <v>3876</v>
      </c>
      <c r="F1054" s="1">
        <v>200</v>
      </c>
      <c r="G1054" s="1" t="s">
        <v>3802</v>
      </c>
      <c r="H1054" s="234">
        <v>1.8</v>
      </c>
      <c r="I1054" s="236">
        <f t="shared" si="80"/>
        <v>360</v>
      </c>
      <c r="K1054" s="241">
        <f>1.17*F1054</f>
        <v>234</v>
      </c>
      <c r="L1054" s="237">
        <v>41305</v>
      </c>
      <c r="M1054" s="1" t="s">
        <v>166</v>
      </c>
      <c r="N1054" s="235">
        <f t="shared" si="75"/>
        <v>360</v>
      </c>
      <c r="O1054" s="235">
        <f t="shared" si="79"/>
        <v>0</v>
      </c>
      <c r="P1054" s="238" t="s">
        <v>4124</v>
      </c>
      <c r="Q1054" s="1" t="s">
        <v>3798</v>
      </c>
      <c r="R1054" s="239" t="s">
        <v>1389</v>
      </c>
      <c r="S1054" s="238" t="s">
        <v>4122</v>
      </c>
      <c r="T1054" s="238" t="s">
        <v>2256</v>
      </c>
      <c r="U1054" s="238" t="s">
        <v>2257</v>
      </c>
      <c r="V1054" s="238" t="s">
        <v>3792</v>
      </c>
      <c r="W1054" s="236">
        <v>2987.5</v>
      </c>
      <c r="X1054" s="233">
        <v>41247</v>
      </c>
      <c r="Y1054" s="238" t="s">
        <v>2257</v>
      </c>
      <c r="AB1054" s="1" t="s">
        <v>3793</v>
      </c>
    </row>
    <row r="1055" spans="1:28" ht="11.25" customHeight="1">
      <c r="A1055" s="233">
        <v>41247</v>
      </c>
      <c r="B1055" s="1" t="s">
        <v>2260</v>
      </c>
      <c r="C1055" s="1" t="s">
        <v>2240</v>
      </c>
      <c r="D1055" s="5" t="s">
        <v>3795</v>
      </c>
      <c r="E1055" s="1">
        <v>4620</v>
      </c>
      <c r="F1055" s="1">
        <v>20</v>
      </c>
      <c r="G1055" s="1" t="s">
        <v>3796</v>
      </c>
      <c r="H1055" s="234">
        <v>22.5</v>
      </c>
      <c r="I1055" s="236">
        <f t="shared" si="80"/>
        <v>450</v>
      </c>
      <c r="K1055" s="241">
        <f>17.79*F1055</f>
        <v>355.79999999999995</v>
      </c>
      <c r="L1055" s="237">
        <v>41305</v>
      </c>
      <c r="M1055" s="1" t="s">
        <v>166</v>
      </c>
      <c r="N1055" s="235">
        <f t="shared" si="75"/>
        <v>450</v>
      </c>
      <c r="O1055" s="235">
        <f t="shared" si="79"/>
        <v>0</v>
      </c>
      <c r="P1055" s="238" t="s">
        <v>4124</v>
      </c>
      <c r="Q1055" s="1" t="s">
        <v>3798</v>
      </c>
      <c r="R1055" s="239" t="s">
        <v>1389</v>
      </c>
      <c r="S1055" s="238" t="s">
        <v>4122</v>
      </c>
      <c r="T1055" s="238" t="s">
        <v>2256</v>
      </c>
      <c r="U1055" s="238" t="s">
        <v>2257</v>
      </c>
      <c r="V1055" s="238" t="s">
        <v>3792</v>
      </c>
      <c r="W1055" s="236">
        <v>2987.5</v>
      </c>
      <c r="X1055" s="233">
        <v>41247</v>
      </c>
      <c r="Y1055" s="238" t="s">
        <v>2257</v>
      </c>
      <c r="AB1055" s="1" t="s">
        <v>3793</v>
      </c>
    </row>
    <row r="1056" spans="1:28" ht="11.25" customHeight="1">
      <c r="A1056" s="233">
        <v>41247</v>
      </c>
      <c r="B1056" s="1" t="s">
        <v>4125</v>
      </c>
      <c r="C1056" s="1" t="s">
        <v>2240</v>
      </c>
      <c r="D1056" s="5" t="s">
        <v>232</v>
      </c>
      <c r="E1056" s="1" t="s">
        <v>4126</v>
      </c>
      <c r="F1056" s="1">
        <v>3000</v>
      </c>
      <c r="G1056" s="1" t="s">
        <v>3802</v>
      </c>
      <c r="H1056" s="234">
        <v>1.63</v>
      </c>
      <c r="I1056" s="235">
        <f t="shared" si="80"/>
        <v>4890</v>
      </c>
      <c r="K1056" s="241">
        <f>1.24*F1056</f>
        <v>3720</v>
      </c>
      <c r="L1056" s="237">
        <v>41247</v>
      </c>
      <c r="M1056" s="1" t="s">
        <v>2243</v>
      </c>
      <c r="N1056" s="235">
        <f t="shared" si="75"/>
        <v>4890</v>
      </c>
      <c r="O1056" s="235">
        <f t="shared" si="79"/>
        <v>0</v>
      </c>
      <c r="P1056" s="238" t="s">
        <v>4127</v>
      </c>
      <c r="Q1056" s="1" t="s">
        <v>3798</v>
      </c>
      <c r="R1056" s="239" t="s">
        <v>4128</v>
      </c>
      <c r="S1056" s="238" t="s">
        <v>4129</v>
      </c>
      <c r="T1056" s="238" t="s">
        <v>4130</v>
      </c>
      <c r="U1056" s="238" t="s">
        <v>2257</v>
      </c>
      <c r="V1056" s="238" t="s">
        <v>4131</v>
      </c>
      <c r="W1056" s="236">
        <v>4890</v>
      </c>
      <c r="X1056" s="233">
        <v>41247</v>
      </c>
      <c r="Y1056" s="238" t="s">
        <v>2257</v>
      </c>
      <c r="AB1056" s="1" t="s">
        <v>3809</v>
      </c>
    </row>
    <row r="1057" spans="1:28" ht="11.25" customHeight="1">
      <c r="A1057" s="233">
        <v>41248</v>
      </c>
      <c r="B1057" s="1" t="s">
        <v>4132</v>
      </c>
      <c r="C1057" s="1" t="s">
        <v>2240</v>
      </c>
      <c r="D1057" s="5" t="s">
        <v>4133</v>
      </c>
      <c r="E1057" s="1">
        <v>9031</v>
      </c>
      <c r="F1057" s="1">
        <v>100</v>
      </c>
      <c r="G1057" s="232" t="s">
        <v>4134</v>
      </c>
      <c r="H1057" s="234">
        <v>2.5</v>
      </c>
      <c r="I1057" s="235">
        <f t="shared" si="80"/>
        <v>250</v>
      </c>
      <c r="K1057" s="241">
        <f>1.4929*F1057</f>
        <v>149.29</v>
      </c>
      <c r="L1057" s="237">
        <v>41248</v>
      </c>
      <c r="M1057" s="1" t="s">
        <v>3812</v>
      </c>
      <c r="N1057" s="235">
        <f t="shared" si="75"/>
        <v>250</v>
      </c>
      <c r="O1057" s="235">
        <f t="shared" si="79"/>
        <v>0</v>
      </c>
      <c r="P1057" s="238" t="s">
        <v>4135</v>
      </c>
      <c r="Q1057" s="1" t="s">
        <v>4136</v>
      </c>
      <c r="R1057" s="239" t="s">
        <v>1417</v>
      </c>
      <c r="S1057" s="238" t="s">
        <v>4137</v>
      </c>
      <c r="T1057" s="238" t="s">
        <v>1416</v>
      </c>
      <c r="U1057" s="238" t="s">
        <v>4138</v>
      </c>
      <c r="V1057" s="238" t="s">
        <v>4139</v>
      </c>
      <c r="AB1057" s="1" t="s">
        <v>4140</v>
      </c>
    </row>
    <row r="1058" spans="1:28" ht="11.25" customHeight="1">
      <c r="A1058" s="233">
        <v>41248</v>
      </c>
      <c r="B1058" s="1" t="s">
        <v>4141</v>
      </c>
      <c r="C1058" s="1" t="s">
        <v>4142</v>
      </c>
      <c r="D1058" s="5" t="s">
        <v>2012</v>
      </c>
      <c r="E1058" s="1" t="s">
        <v>4143</v>
      </c>
      <c r="F1058" s="1">
        <v>500</v>
      </c>
      <c r="G1058" s="1" t="s">
        <v>4970</v>
      </c>
      <c r="H1058" s="234">
        <v>1.59</v>
      </c>
      <c r="I1058" s="235">
        <f t="shared" si="80"/>
        <v>795</v>
      </c>
      <c r="K1058" s="241">
        <f>1.4*F1058</f>
        <v>700</v>
      </c>
      <c r="L1058" s="237">
        <v>41309</v>
      </c>
      <c r="M1058" s="1" t="s">
        <v>165</v>
      </c>
      <c r="N1058" s="235">
        <f t="shared" si="75"/>
        <v>795</v>
      </c>
      <c r="O1058" s="235">
        <f t="shared" si="79"/>
        <v>0</v>
      </c>
      <c r="P1058" s="238" t="s">
        <v>4145</v>
      </c>
      <c r="Q1058" s="1" t="s">
        <v>4146</v>
      </c>
      <c r="R1058" s="239" t="s">
        <v>4147</v>
      </c>
      <c r="S1058" s="238" t="s">
        <v>4148</v>
      </c>
      <c r="T1058" s="238" t="s">
        <v>4149</v>
      </c>
      <c r="U1058" s="238" t="s">
        <v>4150</v>
      </c>
      <c r="V1058" s="238" t="s">
        <v>4139</v>
      </c>
      <c r="AB1058" s="1" t="s">
        <v>4151</v>
      </c>
    </row>
    <row r="1059" spans="1:28" ht="11.25" customHeight="1">
      <c r="A1059" s="233">
        <v>41248</v>
      </c>
      <c r="B1059" s="1" t="s">
        <v>4141</v>
      </c>
      <c r="C1059" s="1" t="s">
        <v>4142</v>
      </c>
      <c r="D1059" s="1" t="s">
        <v>1219</v>
      </c>
      <c r="E1059" s="1" t="s">
        <v>4152</v>
      </c>
      <c r="F1059" s="1">
        <v>400</v>
      </c>
      <c r="G1059" s="1" t="s">
        <v>4153</v>
      </c>
      <c r="H1059" s="234">
        <v>4.0999999999999996</v>
      </c>
      <c r="I1059" s="235">
        <f t="shared" si="80"/>
        <v>1639.9999999999998</v>
      </c>
      <c r="K1059" s="241">
        <f>3.86*F1059</f>
        <v>1544</v>
      </c>
      <c r="L1059" s="237">
        <v>41338</v>
      </c>
      <c r="M1059" s="1" t="s">
        <v>165</v>
      </c>
      <c r="N1059" s="235">
        <f t="shared" si="75"/>
        <v>1639.9999999999998</v>
      </c>
      <c r="O1059" s="235">
        <f t="shared" si="79"/>
        <v>0</v>
      </c>
      <c r="P1059" s="238" t="s">
        <v>4145</v>
      </c>
      <c r="Q1059" s="1" t="s">
        <v>4146</v>
      </c>
      <c r="R1059" s="239" t="s">
        <v>4147</v>
      </c>
      <c r="S1059" s="238" t="s">
        <v>4148</v>
      </c>
      <c r="T1059" s="238" t="s">
        <v>4149</v>
      </c>
      <c r="U1059" s="238" t="s">
        <v>4150</v>
      </c>
      <c r="V1059" s="238" t="s">
        <v>4139</v>
      </c>
      <c r="AB1059" s="1" t="s">
        <v>4151</v>
      </c>
    </row>
    <row r="1060" spans="1:28" ht="11.25" customHeight="1">
      <c r="A1060" s="233">
        <v>41248</v>
      </c>
      <c r="B1060" s="1" t="s">
        <v>4154</v>
      </c>
      <c r="C1060" s="1" t="s">
        <v>4142</v>
      </c>
      <c r="D1060" s="5" t="s">
        <v>854</v>
      </c>
      <c r="E1060" s="1">
        <v>9032</v>
      </c>
      <c r="F1060" s="1">
        <v>100</v>
      </c>
      <c r="G1060" s="1" t="s">
        <v>4153</v>
      </c>
      <c r="H1060" s="234">
        <v>2.1</v>
      </c>
      <c r="I1060" s="235">
        <f t="shared" si="80"/>
        <v>210</v>
      </c>
      <c r="K1060" s="241">
        <f>1.4929*F1060</f>
        <v>149.29</v>
      </c>
      <c r="L1060" s="237">
        <v>41261</v>
      </c>
      <c r="M1060" s="1" t="s">
        <v>4155</v>
      </c>
      <c r="N1060" s="235">
        <f t="shared" si="75"/>
        <v>210</v>
      </c>
      <c r="O1060" s="235">
        <f t="shared" si="79"/>
        <v>0</v>
      </c>
      <c r="P1060" s="238" t="s">
        <v>4156</v>
      </c>
      <c r="Q1060" s="1" t="s">
        <v>4157</v>
      </c>
      <c r="R1060" s="239" t="s">
        <v>4158</v>
      </c>
      <c r="S1060" s="238" t="s">
        <v>4159</v>
      </c>
      <c r="T1060" s="238" t="s">
        <v>4160</v>
      </c>
      <c r="U1060" s="238" t="s">
        <v>4161</v>
      </c>
      <c r="V1060" s="238" t="s">
        <v>4139</v>
      </c>
      <c r="AB1060" s="1" t="s">
        <v>4140</v>
      </c>
    </row>
    <row r="1061" spans="1:28" ht="11.25" customHeight="1">
      <c r="A1061" s="233">
        <v>41249</v>
      </c>
      <c r="B1061" s="1" t="s">
        <v>4162</v>
      </c>
      <c r="C1061" s="5" t="s">
        <v>4142</v>
      </c>
      <c r="D1061" s="5" t="s">
        <v>4163</v>
      </c>
      <c r="E1061" s="1">
        <v>9032</v>
      </c>
      <c r="F1061" s="1">
        <v>200</v>
      </c>
      <c r="G1061" s="1" t="s">
        <v>4153</v>
      </c>
      <c r="H1061" s="234">
        <v>2.7</v>
      </c>
      <c r="I1061" s="235">
        <f t="shared" si="80"/>
        <v>540</v>
      </c>
      <c r="K1061" s="241">
        <f>1.4929*F1061</f>
        <v>298.58</v>
      </c>
      <c r="N1061" s="235">
        <v>0</v>
      </c>
      <c r="O1061" s="235">
        <f t="shared" si="79"/>
        <v>540</v>
      </c>
      <c r="P1061" s="238" t="s">
        <v>4164</v>
      </c>
      <c r="Q1061" s="1" t="s">
        <v>4165</v>
      </c>
      <c r="R1061" s="239" t="s">
        <v>5479</v>
      </c>
      <c r="S1061" s="238" t="s">
        <v>5480</v>
      </c>
      <c r="T1061" s="238" t="s">
        <v>4166</v>
      </c>
      <c r="U1061" s="238" t="s">
        <v>4166</v>
      </c>
      <c r="V1061" s="238" t="s">
        <v>4167</v>
      </c>
      <c r="W1061" s="236">
        <v>3316</v>
      </c>
      <c r="X1061" s="233">
        <v>41257</v>
      </c>
      <c r="Y1061" s="238" t="s">
        <v>1555</v>
      </c>
      <c r="AB1061" s="1" t="s">
        <v>4140</v>
      </c>
    </row>
    <row r="1062" spans="1:28" ht="11.25" customHeight="1">
      <c r="A1062" s="233">
        <v>41249</v>
      </c>
      <c r="B1062" s="1" t="s">
        <v>4162</v>
      </c>
      <c r="C1062" s="5" t="s">
        <v>4142</v>
      </c>
      <c r="D1062" s="5" t="s">
        <v>4168</v>
      </c>
      <c r="E1062" s="1">
        <v>1270</v>
      </c>
      <c r="F1062" s="1">
        <v>20</v>
      </c>
      <c r="G1062" s="1" t="s">
        <v>4169</v>
      </c>
      <c r="H1062" s="234">
        <v>6.5</v>
      </c>
      <c r="I1062" s="235">
        <f t="shared" si="80"/>
        <v>130</v>
      </c>
      <c r="K1062" s="241">
        <f>4.22*F1062</f>
        <v>84.399999999999991</v>
      </c>
      <c r="N1062" s="235">
        <v>0</v>
      </c>
      <c r="O1062" s="235">
        <f t="shared" si="79"/>
        <v>130</v>
      </c>
      <c r="P1062" s="238" t="s">
        <v>4164</v>
      </c>
      <c r="Q1062" s="1" t="s">
        <v>4165</v>
      </c>
      <c r="R1062" s="239" t="s">
        <v>5479</v>
      </c>
      <c r="S1062" s="238" t="s">
        <v>5480</v>
      </c>
      <c r="T1062" s="238" t="s">
        <v>4166</v>
      </c>
      <c r="U1062" s="238" t="s">
        <v>4166</v>
      </c>
      <c r="V1062" s="238" t="s">
        <v>4167</v>
      </c>
      <c r="W1062" s="236">
        <v>3316</v>
      </c>
      <c r="X1062" s="233">
        <v>41257</v>
      </c>
      <c r="Y1062" s="238" t="s">
        <v>1555</v>
      </c>
      <c r="AB1062" s="1" t="s">
        <v>4140</v>
      </c>
    </row>
    <row r="1063" spans="1:28" ht="11.25" customHeight="1">
      <c r="A1063" s="233">
        <v>41249</v>
      </c>
      <c r="B1063" s="1" t="s">
        <v>4162</v>
      </c>
      <c r="C1063" s="5" t="s">
        <v>4142</v>
      </c>
      <c r="D1063" s="1" t="s">
        <v>1711</v>
      </c>
      <c r="E1063" s="1">
        <v>8210</v>
      </c>
      <c r="F1063" s="1">
        <v>40</v>
      </c>
      <c r="G1063" s="1" t="s">
        <v>4153</v>
      </c>
      <c r="H1063" s="234">
        <v>6.9</v>
      </c>
      <c r="I1063" s="235">
        <f t="shared" si="80"/>
        <v>276</v>
      </c>
      <c r="K1063" s="241">
        <f>3.63*F1063</f>
        <v>145.19999999999999</v>
      </c>
      <c r="N1063" s="235">
        <v>0</v>
      </c>
      <c r="O1063" s="235">
        <f t="shared" si="79"/>
        <v>276</v>
      </c>
      <c r="P1063" s="238" t="s">
        <v>4164</v>
      </c>
      <c r="Q1063" s="1" t="s">
        <v>4165</v>
      </c>
      <c r="R1063" s="239" t="s">
        <v>5479</v>
      </c>
      <c r="S1063" s="238" t="s">
        <v>5480</v>
      </c>
      <c r="T1063" s="238" t="s">
        <v>4166</v>
      </c>
      <c r="U1063" s="238" t="s">
        <v>4166</v>
      </c>
      <c r="V1063" s="238" t="s">
        <v>4167</v>
      </c>
      <c r="W1063" s="236">
        <v>3316</v>
      </c>
      <c r="X1063" s="233">
        <v>41257</v>
      </c>
      <c r="Y1063" s="238" t="s">
        <v>1555</v>
      </c>
      <c r="AB1063" s="1" t="s">
        <v>4140</v>
      </c>
    </row>
    <row r="1064" spans="1:28" ht="11.25" customHeight="1">
      <c r="A1064" s="233">
        <v>41249</v>
      </c>
      <c r="B1064" s="1" t="s">
        <v>4162</v>
      </c>
      <c r="C1064" s="5" t="s">
        <v>4142</v>
      </c>
      <c r="D1064" s="1" t="s">
        <v>4170</v>
      </c>
      <c r="E1064" s="1">
        <v>10434</v>
      </c>
      <c r="F1064" s="1">
        <v>50</v>
      </c>
      <c r="G1064" s="1" t="s">
        <v>4169</v>
      </c>
      <c r="H1064" s="234">
        <v>23</v>
      </c>
      <c r="I1064" s="235">
        <f t="shared" si="80"/>
        <v>1150</v>
      </c>
      <c r="K1064" s="241">
        <f>14.2*F1064</f>
        <v>710</v>
      </c>
      <c r="N1064" s="235">
        <v>0</v>
      </c>
      <c r="O1064" s="235">
        <f t="shared" si="79"/>
        <v>1150</v>
      </c>
      <c r="P1064" s="238" t="s">
        <v>4164</v>
      </c>
      <c r="Q1064" s="1" t="s">
        <v>4165</v>
      </c>
      <c r="R1064" s="239" t="s">
        <v>5479</v>
      </c>
      <c r="S1064" s="238" t="s">
        <v>5480</v>
      </c>
      <c r="T1064" s="238" t="s">
        <v>4166</v>
      </c>
      <c r="U1064" s="238" t="s">
        <v>4166</v>
      </c>
      <c r="V1064" s="238" t="s">
        <v>4167</v>
      </c>
      <c r="W1064" s="236">
        <v>3316</v>
      </c>
      <c r="X1064" s="233">
        <v>41257</v>
      </c>
      <c r="Y1064" s="238" t="s">
        <v>1555</v>
      </c>
      <c r="AB1064" s="1" t="s">
        <v>4140</v>
      </c>
    </row>
    <row r="1065" spans="1:28" ht="11.25" customHeight="1">
      <c r="A1065" s="233">
        <v>41249</v>
      </c>
      <c r="B1065" s="1" t="s">
        <v>4171</v>
      </c>
      <c r="C1065" s="5" t="s">
        <v>4142</v>
      </c>
      <c r="D1065" s="5" t="s">
        <v>4163</v>
      </c>
      <c r="E1065" s="1">
        <v>9032</v>
      </c>
      <c r="F1065" s="1">
        <v>100</v>
      </c>
      <c r="G1065" s="1" t="s">
        <v>4153</v>
      </c>
      <c r="H1065" s="234">
        <v>1.9</v>
      </c>
      <c r="I1065" s="235">
        <f t="shared" si="80"/>
        <v>190</v>
      </c>
      <c r="K1065" s="241">
        <f>1.4929*100</f>
        <v>149.29</v>
      </c>
      <c r="L1065" s="237">
        <v>41249</v>
      </c>
      <c r="M1065" s="1" t="s">
        <v>4155</v>
      </c>
      <c r="N1065" s="235">
        <f t="shared" si="75"/>
        <v>190</v>
      </c>
      <c r="O1065" s="235">
        <f t="shared" ref="O1065:O1075" si="81">I1065-N1065</f>
        <v>0</v>
      </c>
      <c r="P1065" s="238" t="s">
        <v>4172</v>
      </c>
      <c r="Q1065" s="1" t="s">
        <v>4173</v>
      </c>
      <c r="R1065" s="239" t="s">
        <v>4174</v>
      </c>
      <c r="S1065" s="238" t="s">
        <v>4175</v>
      </c>
      <c r="T1065" s="265" t="s">
        <v>4176</v>
      </c>
      <c r="U1065" s="238" t="s">
        <v>4177</v>
      </c>
      <c r="AB1065" s="1" t="s">
        <v>4151</v>
      </c>
    </row>
    <row r="1066" spans="1:28" ht="11.25" customHeight="1">
      <c r="A1066" s="233">
        <v>41249</v>
      </c>
      <c r="B1066" s="1" t="s">
        <v>4178</v>
      </c>
      <c r="C1066" s="5" t="s">
        <v>4142</v>
      </c>
      <c r="D1066" s="1" t="s">
        <v>1210</v>
      </c>
      <c r="E1066" s="1">
        <v>3200</v>
      </c>
      <c r="F1066" s="1">
        <v>50</v>
      </c>
      <c r="G1066" s="1" t="s">
        <v>4153</v>
      </c>
      <c r="H1066" s="234">
        <v>28.2</v>
      </c>
      <c r="I1066" s="235">
        <f t="shared" si="80"/>
        <v>1410</v>
      </c>
      <c r="K1066" s="241">
        <f>23.94*F1066</f>
        <v>1197</v>
      </c>
      <c r="L1066" s="237">
        <v>41250</v>
      </c>
      <c r="M1066" s="1" t="s">
        <v>4179</v>
      </c>
      <c r="N1066" s="235">
        <f t="shared" si="75"/>
        <v>1410</v>
      </c>
      <c r="O1066" s="235">
        <f t="shared" si="81"/>
        <v>0</v>
      </c>
      <c r="P1066" s="238" t="s">
        <v>4180</v>
      </c>
      <c r="Q1066" s="1" t="s">
        <v>4165</v>
      </c>
      <c r="R1066" s="239" t="s">
        <v>4181</v>
      </c>
      <c r="S1066" s="238" t="s">
        <v>4182</v>
      </c>
      <c r="T1066" s="238" t="s">
        <v>4183</v>
      </c>
      <c r="V1066" s="238" t="s">
        <v>4184</v>
      </c>
      <c r="W1066" s="236">
        <v>2600</v>
      </c>
      <c r="X1066" s="233">
        <v>41250</v>
      </c>
      <c r="Y1066" s="238" t="s">
        <v>4185</v>
      </c>
      <c r="AB1066" s="1" t="s">
        <v>4151</v>
      </c>
    </row>
    <row r="1067" spans="1:28" ht="11.25" customHeight="1">
      <c r="A1067" s="233">
        <v>41249</v>
      </c>
      <c r="B1067" s="1" t="s">
        <v>4178</v>
      </c>
      <c r="C1067" s="5" t="s">
        <v>4142</v>
      </c>
      <c r="D1067" s="5" t="s">
        <v>4186</v>
      </c>
      <c r="E1067" s="1">
        <v>3700</v>
      </c>
      <c r="F1067" s="1">
        <v>50</v>
      </c>
      <c r="G1067" s="1" t="s">
        <v>229</v>
      </c>
      <c r="H1067" s="234">
        <v>3.56</v>
      </c>
      <c r="I1067" s="235">
        <f t="shared" si="80"/>
        <v>178</v>
      </c>
      <c r="K1067" s="241">
        <f>3.09*F1067</f>
        <v>154.5</v>
      </c>
      <c r="L1067" s="237">
        <v>41250</v>
      </c>
      <c r="M1067" s="1" t="s">
        <v>4179</v>
      </c>
      <c r="N1067" s="235">
        <f t="shared" si="75"/>
        <v>178</v>
      </c>
      <c r="O1067" s="235">
        <f t="shared" si="81"/>
        <v>0</v>
      </c>
      <c r="P1067" s="238" t="s">
        <v>4180</v>
      </c>
      <c r="Q1067" s="1" t="s">
        <v>4165</v>
      </c>
      <c r="R1067" s="239" t="s">
        <v>4181</v>
      </c>
      <c r="S1067" s="238" t="s">
        <v>4182</v>
      </c>
      <c r="T1067" s="238" t="s">
        <v>4183</v>
      </c>
      <c r="V1067" s="238" t="s">
        <v>4184</v>
      </c>
      <c r="W1067" s="236">
        <v>2600</v>
      </c>
      <c r="X1067" s="233">
        <v>41250</v>
      </c>
      <c r="Y1067" s="238" t="s">
        <v>4185</v>
      </c>
      <c r="AB1067" s="1" t="s">
        <v>4151</v>
      </c>
    </row>
    <row r="1068" spans="1:28" ht="11.25" customHeight="1">
      <c r="A1068" s="233">
        <v>41249</v>
      </c>
      <c r="B1068" s="1" t="s">
        <v>4178</v>
      </c>
      <c r="C1068" s="5" t="s">
        <v>4142</v>
      </c>
      <c r="D1068" s="5" t="s">
        <v>232</v>
      </c>
      <c r="E1068" s="1" t="s">
        <v>4187</v>
      </c>
      <c r="F1068" s="1">
        <v>550</v>
      </c>
      <c r="G1068" s="1" t="s">
        <v>4144</v>
      </c>
      <c r="H1068" s="234">
        <v>1.84</v>
      </c>
      <c r="I1068" s="235">
        <f t="shared" si="80"/>
        <v>1012</v>
      </c>
      <c r="K1068" s="241">
        <f>1.54*F1068</f>
        <v>847</v>
      </c>
      <c r="L1068" s="237">
        <v>41250</v>
      </c>
      <c r="M1068" s="1" t="s">
        <v>4179</v>
      </c>
      <c r="N1068" s="235">
        <f t="shared" si="75"/>
        <v>1012</v>
      </c>
      <c r="O1068" s="235">
        <f t="shared" si="81"/>
        <v>0</v>
      </c>
      <c r="P1068" s="238" t="s">
        <v>4180</v>
      </c>
      <c r="Q1068" s="1" t="s">
        <v>4165</v>
      </c>
      <c r="R1068" s="239" t="s">
        <v>4181</v>
      </c>
      <c r="S1068" s="238" t="s">
        <v>4182</v>
      </c>
      <c r="T1068" s="238" t="s">
        <v>4183</v>
      </c>
      <c r="V1068" s="238" t="s">
        <v>4184</v>
      </c>
      <c r="W1068" s="236">
        <v>2600</v>
      </c>
      <c r="X1068" s="233">
        <v>41250</v>
      </c>
      <c r="Y1068" s="238" t="s">
        <v>4185</v>
      </c>
      <c r="AB1068" s="1" t="s">
        <v>4151</v>
      </c>
    </row>
    <row r="1069" spans="1:28" ht="11.25" customHeight="1">
      <c r="A1069" s="233">
        <v>41249</v>
      </c>
      <c r="B1069" s="1" t="s">
        <v>4188</v>
      </c>
      <c r="C1069" s="5" t="s">
        <v>4142</v>
      </c>
      <c r="D1069" s="5" t="s">
        <v>4189</v>
      </c>
      <c r="E1069" s="1">
        <v>12308</v>
      </c>
      <c r="F1069" s="1">
        <v>20</v>
      </c>
      <c r="G1069" s="1" t="s">
        <v>4169</v>
      </c>
      <c r="H1069" s="234">
        <v>26.5</v>
      </c>
      <c r="I1069" s="235">
        <f t="shared" si="80"/>
        <v>530</v>
      </c>
      <c r="K1069" s="241">
        <f>19.1*4+18.779*16</f>
        <v>376.86400000000003</v>
      </c>
      <c r="L1069" s="237">
        <v>41263</v>
      </c>
      <c r="M1069" s="1" t="s">
        <v>4190</v>
      </c>
      <c r="N1069" s="235">
        <f t="shared" si="75"/>
        <v>530</v>
      </c>
      <c r="O1069" s="235">
        <f t="shared" si="81"/>
        <v>0</v>
      </c>
      <c r="P1069" s="238" t="s">
        <v>4191</v>
      </c>
      <c r="Q1069" s="1" t="s">
        <v>4192</v>
      </c>
      <c r="R1069" s="239" t="s">
        <v>4193</v>
      </c>
      <c r="S1069" s="238" t="s">
        <v>4194</v>
      </c>
      <c r="T1069" s="238" t="s">
        <v>4195</v>
      </c>
      <c r="U1069" s="238" t="s">
        <v>4196</v>
      </c>
      <c r="V1069" s="238" t="s">
        <v>4197</v>
      </c>
      <c r="W1069" s="236">
        <v>9719.75</v>
      </c>
      <c r="X1069" s="233">
        <v>41250</v>
      </c>
      <c r="Y1069" s="238" t="s">
        <v>4198</v>
      </c>
      <c r="AB1069" s="1" t="s">
        <v>4140</v>
      </c>
    </row>
    <row r="1070" spans="1:28" ht="11.25" customHeight="1">
      <c r="A1070" s="233">
        <v>41249</v>
      </c>
      <c r="B1070" s="1" t="s">
        <v>4188</v>
      </c>
      <c r="C1070" s="5" t="s">
        <v>4142</v>
      </c>
      <c r="D1070" s="5" t="s">
        <v>288</v>
      </c>
      <c r="E1070" s="1" t="s">
        <v>4199</v>
      </c>
      <c r="F1070" s="1">
        <v>50</v>
      </c>
      <c r="G1070" s="1" t="s">
        <v>4169</v>
      </c>
      <c r="H1070" s="234">
        <v>1.615</v>
      </c>
      <c r="I1070" s="235">
        <f t="shared" si="80"/>
        <v>80.75</v>
      </c>
      <c r="K1070" s="241">
        <f>1.178*F1070</f>
        <v>58.9</v>
      </c>
      <c r="L1070" s="237">
        <v>41263</v>
      </c>
      <c r="M1070" s="1" t="s">
        <v>4190</v>
      </c>
      <c r="N1070" s="235">
        <f t="shared" si="75"/>
        <v>80.75</v>
      </c>
      <c r="O1070" s="235">
        <f t="shared" si="81"/>
        <v>0</v>
      </c>
      <c r="P1070" s="238" t="s">
        <v>4191</v>
      </c>
      <c r="Q1070" s="1" t="s">
        <v>4192</v>
      </c>
      <c r="R1070" s="239" t="s">
        <v>4193</v>
      </c>
      <c r="S1070" s="238" t="s">
        <v>4194</v>
      </c>
      <c r="T1070" s="238" t="s">
        <v>4195</v>
      </c>
      <c r="U1070" s="238" t="s">
        <v>4196</v>
      </c>
      <c r="V1070" s="238" t="s">
        <v>4197</v>
      </c>
      <c r="W1070" s="236">
        <v>9719.75</v>
      </c>
      <c r="X1070" s="233">
        <v>41250</v>
      </c>
      <c r="Y1070" s="238" t="s">
        <v>4198</v>
      </c>
      <c r="AB1070" s="1" t="s">
        <v>4140</v>
      </c>
    </row>
    <row r="1071" spans="1:28" ht="11.25" customHeight="1">
      <c r="A1071" s="233">
        <v>41249</v>
      </c>
      <c r="B1071" s="1" t="s">
        <v>4188</v>
      </c>
      <c r="C1071" s="5" t="s">
        <v>4142</v>
      </c>
      <c r="D1071" s="5" t="s">
        <v>4200</v>
      </c>
      <c r="E1071" s="225" t="s">
        <v>4201</v>
      </c>
      <c r="F1071" s="1">
        <v>60</v>
      </c>
      <c r="G1071" s="1" t="s">
        <v>4153</v>
      </c>
      <c r="H1071" s="234">
        <v>40.6</v>
      </c>
      <c r="I1071" s="235">
        <f t="shared" si="80"/>
        <v>2436</v>
      </c>
      <c r="K1071" s="241">
        <f>29.05*F1071</f>
        <v>1743</v>
      </c>
      <c r="L1071" s="237">
        <v>41263</v>
      </c>
      <c r="M1071" s="1" t="s">
        <v>4190</v>
      </c>
      <c r="N1071" s="235">
        <f t="shared" si="75"/>
        <v>2436</v>
      </c>
      <c r="O1071" s="235">
        <f t="shared" si="81"/>
        <v>0</v>
      </c>
      <c r="P1071" s="238" t="s">
        <v>4191</v>
      </c>
      <c r="Q1071" s="1" t="s">
        <v>4192</v>
      </c>
      <c r="R1071" s="239" t="s">
        <v>4193</v>
      </c>
      <c r="S1071" s="238" t="s">
        <v>4194</v>
      </c>
      <c r="T1071" s="238" t="s">
        <v>4195</v>
      </c>
      <c r="U1071" s="238" t="s">
        <v>4196</v>
      </c>
      <c r="V1071" s="238" t="s">
        <v>4197</v>
      </c>
      <c r="W1071" s="236">
        <v>9719.75</v>
      </c>
      <c r="X1071" s="233">
        <v>41250</v>
      </c>
      <c r="Y1071" s="238" t="s">
        <v>4198</v>
      </c>
      <c r="AB1071" s="1" t="s">
        <v>4140</v>
      </c>
    </row>
    <row r="1072" spans="1:28" ht="11.25" customHeight="1">
      <c r="A1072" s="233">
        <v>41250</v>
      </c>
      <c r="B1072" s="1" t="s">
        <v>4202</v>
      </c>
      <c r="C1072" s="5" t="s">
        <v>4142</v>
      </c>
      <c r="D1072" s="5" t="s">
        <v>86</v>
      </c>
      <c r="E1072" s="5">
        <v>9032</v>
      </c>
      <c r="F1072" s="1">
        <v>1200</v>
      </c>
      <c r="G1072" s="1" t="s">
        <v>4153</v>
      </c>
      <c r="H1072" s="234">
        <v>2.2999999999999998</v>
      </c>
      <c r="I1072" s="235">
        <f t="shared" si="80"/>
        <v>2760</v>
      </c>
      <c r="K1072" s="241">
        <f>1.4929*F1072</f>
        <v>1791.4799999999998</v>
      </c>
      <c r="L1072" s="237">
        <v>41339</v>
      </c>
      <c r="M1072" s="1" t="s">
        <v>166</v>
      </c>
      <c r="N1072" s="235">
        <f t="shared" si="75"/>
        <v>2760</v>
      </c>
      <c r="O1072" s="235">
        <f t="shared" si="81"/>
        <v>0</v>
      </c>
      <c r="P1072" s="238" t="s">
        <v>4203</v>
      </c>
      <c r="Q1072" s="1" t="s">
        <v>4192</v>
      </c>
      <c r="R1072" s="239" t="s">
        <v>4204</v>
      </c>
      <c r="S1072" s="238" t="s">
        <v>4205</v>
      </c>
      <c r="T1072" s="238" t="s">
        <v>4206</v>
      </c>
      <c r="U1072" s="238" t="s">
        <v>4207</v>
      </c>
      <c r="V1072" s="238" t="s">
        <v>4208</v>
      </c>
      <c r="W1072" s="236">
        <v>3985</v>
      </c>
      <c r="X1072" s="233">
        <v>41267</v>
      </c>
      <c r="Y1072" s="238" t="s">
        <v>5291</v>
      </c>
      <c r="AB1072" s="1" t="s">
        <v>4140</v>
      </c>
    </row>
    <row r="1073" spans="1:28" ht="11.25" customHeight="1">
      <c r="A1073" s="233">
        <v>41250</v>
      </c>
      <c r="B1073" s="1" t="s">
        <v>4202</v>
      </c>
      <c r="C1073" s="5" t="s">
        <v>4142</v>
      </c>
      <c r="D1073" s="1" t="s">
        <v>1711</v>
      </c>
      <c r="E1073" s="5">
        <v>8210</v>
      </c>
      <c r="F1073" s="1">
        <v>150</v>
      </c>
      <c r="G1073" s="1" t="s">
        <v>4153</v>
      </c>
      <c r="H1073" s="234">
        <v>6.5</v>
      </c>
      <c r="I1073" s="235">
        <f t="shared" si="80"/>
        <v>975</v>
      </c>
      <c r="K1073" s="241">
        <f>3.63*F1073</f>
        <v>544.5</v>
      </c>
      <c r="L1073" s="237">
        <v>41339</v>
      </c>
      <c r="M1073" s="1" t="s">
        <v>166</v>
      </c>
      <c r="N1073" s="235">
        <f t="shared" si="75"/>
        <v>975</v>
      </c>
      <c r="O1073" s="235">
        <f t="shared" si="81"/>
        <v>0</v>
      </c>
      <c r="P1073" s="238" t="s">
        <v>4203</v>
      </c>
      <c r="Q1073" s="1" t="s">
        <v>4192</v>
      </c>
      <c r="R1073" s="239" t="s">
        <v>4204</v>
      </c>
      <c r="S1073" s="238" t="s">
        <v>4205</v>
      </c>
      <c r="T1073" s="238" t="s">
        <v>4206</v>
      </c>
      <c r="U1073" s="238" t="s">
        <v>4207</v>
      </c>
      <c r="V1073" s="238" t="s">
        <v>4208</v>
      </c>
      <c r="W1073" s="236">
        <v>3985</v>
      </c>
      <c r="X1073" s="233">
        <v>41267</v>
      </c>
      <c r="Y1073" s="238" t="s">
        <v>5291</v>
      </c>
      <c r="AB1073" s="1" t="s">
        <v>4140</v>
      </c>
    </row>
    <row r="1074" spans="1:28" ht="11.25" customHeight="1">
      <c r="A1074" s="233">
        <v>41250</v>
      </c>
      <c r="B1074" s="1" t="s">
        <v>4209</v>
      </c>
      <c r="C1074" s="1" t="s">
        <v>1276</v>
      </c>
      <c r="D1074" s="5" t="s">
        <v>4210</v>
      </c>
      <c r="E1074" s="5">
        <v>301508</v>
      </c>
      <c r="F1074" s="1">
        <v>11</v>
      </c>
      <c r="G1074" s="1" t="s">
        <v>4211</v>
      </c>
      <c r="H1074" s="234">
        <v>140</v>
      </c>
      <c r="I1074" s="235">
        <f t="shared" si="80"/>
        <v>1540</v>
      </c>
      <c r="K1074" s="241">
        <f>89.66*F1074</f>
        <v>986.26</v>
      </c>
      <c r="N1074" s="235">
        <v>0</v>
      </c>
      <c r="O1074" s="235">
        <f t="shared" si="81"/>
        <v>1540</v>
      </c>
      <c r="P1074" s="238" t="s">
        <v>4212</v>
      </c>
      <c r="Q1074" s="1" t="s">
        <v>4213</v>
      </c>
      <c r="R1074" s="239" t="s">
        <v>4214</v>
      </c>
      <c r="S1074" s="238" t="s">
        <v>4215</v>
      </c>
      <c r="T1074" s="238" t="s">
        <v>4216</v>
      </c>
      <c r="U1074" s="238" t="s">
        <v>4217</v>
      </c>
      <c r="V1074" s="238" t="s">
        <v>4218</v>
      </c>
      <c r="W1074" s="236">
        <v>68170</v>
      </c>
      <c r="X1074" s="233">
        <v>41257</v>
      </c>
      <c r="Y1074" s="238" t="s">
        <v>1555</v>
      </c>
      <c r="AB1074" s="1" t="s">
        <v>4219</v>
      </c>
    </row>
    <row r="1075" spans="1:28" ht="11.25" customHeight="1">
      <c r="A1075" s="233">
        <v>41250</v>
      </c>
      <c r="B1075" s="1" t="s">
        <v>4220</v>
      </c>
      <c r="C1075" s="5" t="s">
        <v>4221</v>
      </c>
      <c r="D1075" s="5" t="s">
        <v>4222</v>
      </c>
      <c r="E1075" s="1">
        <v>52000183617</v>
      </c>
      <c r="F1075" s="225">
        <v>100</v>
      </c>
      <c r="G1075" s="225" t="s">
        <v>4223</v>
      </c>
      <c r="H1075" s="31">
        <v>22.7</v>
      </c>
      <c r="I1075" s="235">
        <f t="shared" si="80"/>
        <v>2270</v>
      </c>
      <c r="K1075" s="241">
        <f>17.57*F1075</f>
        <v>1757</v>
      </c>
      <c r="N1075" s="235">
        <v>0</v>
      </c>
      <c r="O1075" s="235">
        <f t="shared" si="81"/>
        <v>2270</v>
      </c>
      <c r="P1075" s="238" t="s">
        <v>4212</v>
      </c>
      <c r="Q1075" s="1" t="s">
        <v>4213</v>
      </c>
      <c r="R1075" s="239" t="s">
        <v>4214</v>
      </c>
      <c r="S1075" s="238" t="s">
        <v>4215</v>
      </c>
      <c r="T1075" s="238" t="s">
        <v>4216</v>
      </c>
      <c r="U1075" s="238" t="s">
        <v>4217</v>
      </c>
      <c r="V1075" s="238" t="s">
        <v>4218</v>
      </c>
      <c r="W1075" s="236">
        <v>68170</v>
      </c>
      <c r="X1075" s="233">
        <v>41257</v>
      </c>
      <c r="Y1075" s="238" t="s">
        <v>1555</v>
      </c>
      <c r="AB1075" s="1" t="s">
        <v>4219</v>
      </c>
    </row>
    <row r="1076" spans="1:28" ht="11.25" customHeight="1">
      <c r="A1076" s="233">
        <v>41250</v>
      </c>
      <c r="B1076" s="1" t="s">
        <v>4224</v>
      </c>
      <c r="C1076" s="5" t="s">
        <v>4221</v>
      </c>
      <c r="D1076" s="5" t="s">
        <v>4225</v>
      </c>
      <c r="E1076" s="225" t="s">
        <v>4226</v>
      </c>
      <c r="F1076" s="225">
        <v>2</v>
      </c>
      <c r="G1076" s="225" t="s">
        <v>4227</v>
      </c>
      <c r="H1076" s="234">
        <v>1200</v>
      </c>
      <c r="I1076" s="235">
        <f>F1076*H1076</f>
        <v>2400</v>
      </c>
      <c r="K1076" s="241">
        <f>708*1+790*1</f>
        <v>1498</v>
      </c>
      <c r="L1076" s="237">
        <v>41299</v>
      </c>
      <c r="M1076" s="1" t="s">
        <v>4228</v>
      </c>
      <c r="N1076" s="235">
        <f t="shared" si="75"/>
        <v>2400</v>
      </c>
      <c r="O1076" s="235">
        <f t="shared" ref="O1076:O1109" si="82">I1076-N1076</f>
        <v>0</v>
      </c>
      <c r="P1076" s="238" t="s">
        <v>4229</v>
      </c>
      <c r="Q1076" s="1" t="s">
        <v>4213</v>
      </c>
      <c r="R1076" s="239" t="s">
        <v>4230</v>
      </c>
      <c r="S1076" s="238" t="s">
        <v>4231</v>
      </c>
      <c r="T1076" s="238" t="s">
        <v>4216</v>
      </c>
      <c r="U1076" s="238" t="s">
        <v>4217</v>
      </c>
      <c r="V1076" s="238" t="s">
        <v>4232</v>
      </c>
      <c r="W1076" s="236">
        <v>2400</v>
      </c>
      <c r="X1076" s="233">
        <v>41257</v>
      </c>
      <c r="Y1076" s="238" t="s">
        <v>1556</v>
      </c>
      <c r="AA1076" s="240" t="s">
        <v>4233</v>
      </c>
      <c r="AB1076" s="1" t="s">
        <v>4219</v>
      </c>
    </row>
    <row r="1077" spans="1:28" ht="11.25" customHeight="1">
      <c r="A1077" s="233">
        <v>41253</v>
      </c>
      <c r="B1077" s="1" t="s">
        <v>4234</v>
      </c>
      <c r="C1077" s="1" t="s">
        <v>4221</v>
      </c>
      <c r="D1077" s="1" t="s">
        <v>4235</v>
      </c>
      <c r="E1077" s="1">
        <v>10434</v>
      </c>
      <c r="F1077" s="225">
        <v>40</v>
      </c>
      <c r="G1077" s="225" t="s">
        <v>4236</v>
      </c>
      <c r="H1077" s="234">
        <v>16.559999999999999</v>
      </c>
      <c r="I1077" s="235">
        <f>F1077*H1077</f>
        <v>662.4</v>
      </c>
      <c r="K1077" s="241">
        <f>14.2*F1077</f>
        <v>568</v>
      </c>
      <c r="L1077" s="237">
        <v>41338</v>
      </c>
      <c r="M1077" s="1" t="s">
        <v>165</v>
      </c>
      <c r="N1077" s="235">
        <f t="shared" si="75"/>
        <v>662.4</v>
      </c>
      <c r="O1077" s="235">
        <f t="shared" si="82"/>
        <v>0</v>
      </c>
      <c r="P1077" s="238" t="s">
        <v>4237</v>
      </c>
      <c r="Q1077" s="1" t="s">
        <v>4238</v>
      </c>
      <c r="R1077" s="239" t="s">
        <v>4239</v>
      </c>
      <c r="S1077" s="238" t="s">
        <v>4240</v>
      </c>
      <c r="T1077" s="238" t="s">
        <v>4241</v>
      </c>
      <c r="U1077" s="238" t="s">
        <v>4242</v>
      </c>
      <c r="V1077" s="238" t="s">
        <v>4243</v>
      </c>
      <c r="AB1077" s="1" t="s">
        <v>4244</v>
      </c>
    </row>
    <row r="1078" spans="1:28" ht="11.25" customHeight="1">
      <c r="A1078" s="233">
        <v>41253</v>
      </c>
      <c r="B1078" s="1" t="s">
        <v>4234</v>
      </c>
      <c r="C1078" s="1" t="s">
        <v>4221</v>
      </c>
      <c r="D1078" s="5" t="s">
        <v>346</v>
      </c>
      <c r="E1078" s="1">
        <v>3700</v>
      </c>
      <c r="F1078" s="225">
        <v>10</v>
      </c>
      <c r="G1078" s="1" t="s">
        <v>229</v>
      </c>
      <c r="H1078" s="234">
        <v>3.3</v>
      </c>
      <c r="I1078" s="235">
        <f>F1078*H1078</f>
        <v>33</v>
      </c>
      <c r="K1078" s="241">
        <f>3.09*F1078</f>
        <v>30.9</v>
      </c>
      <c r="L1078" s="237">
        <v>41338</v>
      </c>
      <c r="M1078" s="1" t="s">
        <v>165</v>
      </c>
      <c r="N1078" s="235">
        <f t="shared" si="75"/>
        <v>33</v>
      </c>
      <c r="O1078" s="235">
        <f t="shared" si="82"/>
        <v>0</v>
      </c>
      <c r="P1078" s="238" t="s">
        <v>4245</v>
      </c>
      <c r="Q1078" s="1" t="s">
        <v>4238</v>
      </c>
      <c r="R1078" s="239" t="s">
        <v>4239</v>
      </c>
      <c r="S1078" s="238" t="s">
        <v>4240</v>
      </c>
      <c r="T1078" s="238" t="s">
        <v>4241</v>
      </c>
      <c r="U1078" s="238" t="s">
        <v>4242</v>
      </c>
      <c r="V1078" s="238" t="s">
        <v>4243</v>
      </c>
      <c r="AB1078" s="1" t="s">
        <v>4244</v>
      </c>
    </row>
    <row r="1079" spans="1:28" ht="11.25" customHeight="1">
      <c r="A1079" s="233">
        <v>41253</v>
      </c>
      <c r="B1079" s="5" t="s">
        <v>1457</v>
      </c>
      <c r="C1079" s="5" t="s">
        <v>4221</v>
      </c>
      <c r="D1079" s="5" t="s">
        <v>4246</v>
      </c>
      <c r="E1079" s="5">
        <v>8515</v>
      </c>
      <c r="F1079" s="1">
        <v>205</v>
      </c>
      <c r="G1079" s="5" t="s">
        <v>4223</v>
      </c>
      <c r="H1079" s="234">
        <v>20</v>
      </c>
      <c r="I1079" s="235">
        <f t="shared" ref="I1079:I1109" si="83">F1079*H1079</f>
        <v>4100</v>
      </c>
      <c r="K1079" s="241">
        <f>17.1*200+17*5</f>
        <v>3505.0000000000005</v>
      </c>
      <c r="L1079" s="237">
        <v>41253</v>
      </c>
      <c r="M1079" s="1" t="s">
        <v>4228</v>
      </c>
      <c r="N1079" s="235">
        <f t="shared" si="75"/>
        <v>4100</v>
      </c>
      <c r="O1079" s="235">
        <f t="shared" si="82"/>
        <v>0</v>
      </c>
      <c r="P1079" s="238" t="s">
        <v>4247</v>
      </c>
      <c r="Q1079" s="1" t="s">
        <v>4213</v>
      </c>
      <c r="R1079" s="239" t="s">
        <v>4248</v>
      </c>
      <c r="S1079" s="238" t="s">
        <v>4249</v>
      </c>
      <c r="T1079" s="238" t="s">
        <v>4217</v>
      </c>
      <c r="U1079" s="238" t="s">
        <v>4217</v>
      </c>
      <c r="V1079" s="246" t="s">
        <v>4243</v>
      </c>
      <c r="AB1079" s="1" t="s">
        <v>4244</v>
      </c>
    </row>
    <row r="1080" spans="1:28" ht="11.25" customHeight="1">
      <c r="A1080" s="233">
        <v>41254</v>
      </c>
      <c r="B1080" s="1" t="s">
        <v>4250</v>
      </c>
      <c r="C1080" s="5" t="s">
        <v>4221</v>
      </c>
      <c r="D1080" s="227" t="s">
        <v>5655</v>
      </c>
      <c r="E1080" s="1" t="s">
        <v>4251</v>
      </c>
      <c r="F1080" s="1">
        <v>2500</v>
      </c>
      <c r="G1080" s="1" t="s">
        <v>4236</v>
      </c>
      <c r="H1080" s="234">
        <v>0.65600000000000003</v>
      </c>
      <c r="I1080" s="235">
        <f t="shared" si="83"/>
        <v>1640</v>
      </c>
      <c r="K1080" s="241">
        <f>0.589*F1080</f>
        <v>1472.5</v>
      </c>
      <c r="L1080" s="237">
        <v>41249</v>
      </c>
      <c r="M1080" s="1" t="s">
        <v>4252</v>
      </c>
      <c r="N1080" s="235">
        <f t="shared" si="75"/>
        <v>1640</v>
      </c>
      <c r="O1080" s="235">
        <f t="shared" si="82"/>
        <v>0</v>
      </c>
      <c r="P1080" s="238" t="s">
        <v>4253</v>
      </c>
      <c r="Q1080" s="1" t="s">
        <v>4254</v>
      </c>
      <c r="R1080" s="239" t="s">
        <v>4255</v>
      </c>
      <c r="S1080" s="238" t="s">
        <v>4256</v>
      </c>
      <c r="T1080" s="238" t="s">
        <v>4257</v>
      </c>
      <c r="U1080" s="238" t="s">
        <v>4258</v>
      </c>
      <c r="V1080" s="238" t="s">
        <v>4259</v>
      </c>
      <c r="W1080" s="236">
        <v>1640</v>
      </c>
      <c r="X1080" s="233">
        <v>41267</v>
      </c>
      <c r="Y1080" s="238" t="s">
        <v>4260</v>
      </c>
      <c r="AB1080" s="1" t="s">
        <v>4244</v>
      </c>
    </row>
    <row r="1081" spans="1:28" ht="11.25" customHeight="1">
      <c r="A1081" s="233">
        <v>41253</v>
      </c>
      <c r="B1081" s="1" t="s">
        <v>4261</v>
      </c>
      <c r="C1081" s="5" t="s">
        <v>4221</v>
      </c>
      <c r="D1081" s="5" t="s">
        <v>2012</v>
      </c>
      <c r="E1081" s="5" t="s">
        <v>4262</v>
      </c>
      <c r="F1081" s="5">
        <v>200</v>
      </c>
      <c r="G1081" s="1" t="s">
        <v>4970</v>
      </c>
      <c r="H1081" s="234">
        <v>2.68</v>
      </c>
      <c r="I1081" s="235">
        <f>H1081*F1081</f>
        <v>536</v>
      </c>
      <c r="K1081" s="241">
        <f>1.4*F1081</f>
        <v>280</v>
      </c>
      <c r="L1081" s="237">
        <v>41260</v>
      </c>
      <c r="M1081" s="1" t="s">
        <v>4252</v>
      </c>
      <c r="N1081" s="235">
        <f t="shared" si="75"/>
        <v>536</v>
      </c>
      <c r="O1081" s="235">
        <f t="shared" si="82"/>
        <v>0</v>
      </c>
      <c r="P1081" s="238" t="s">
        <v>4263</v>
      </c>
      <c r="Q1081" s="1" t="s">
        <v>4264</v>
      </c>
      <c r="R1081" s="239" t="s">
        <v>4265</v>
      </c>
      <c r="S1081" s="238" t="s">
        <v>4266</v>
      </c>
      <c r="T1081" s="238" t="s">
        <v>4267</v>
      </c>
      <c r="U1081" s="238" t="s">
        <v>4268</v>
      </c>
      <c r="V1081" s="238" t="s">
        <v>4269</v>
      </c>
      <c r="W1081" s="236">
        <v>536</v>
      </c>
      <c r="X1081" s="233">
        <v>41253</v>
      </c>
      <c r="Y1081" s="238" t="s">
        <v>4268</v>
      </c>
      <c r="AA1081" s="240" t="s">
        <v>4233</v>
      </c>
      <c r="AB1081" s="1" t="s">
        <v>4219</v>
      </c>
    </row>
    <row r="1082" spans="1:28" ht="11.25" customHeight="1">
      <c r="A1082" s="233">
        <v>41253</v>
      </c>
      <c r="B1082" s="1" t="s">
        <v>4270</v>
      </c>
      <c r="C1082" s="5" t="s">
        <v>4221</v>
      </c>
      <c r="D1082" s="5" t="s">
        <v>86</v>
      </c>
      <c r="E1082" s="1">
        <v>9032</v>
      </c>
      <c r="F1082" s="1">
        <v>500</v>
      </c>
      <c r="G1082" s="1" t="s">
        <v>4271</v>
      </c>
      <c r="H1082" s="234">
        <v>2.4</v>
      </c>
      <c r="I1082" s="235">
        <f>H1082*F1082</f>
        <v>1200</v>
      </c>
      <c r="K1082" s="241">
        <f>1.4929*F1082</f>
        <v>746.44999999999993</v>
      </c>
      <c r="L1082" s="237">
        <v>41254</v>
      </c>
      <c r="M1082" s="1" t="s">
        <v>4252</v>
      </c>
      <c r="N1082" s="235">
        <f t="shared" si="75"/>
        <v>1200</v>
      </c>
      <c r="O1082" s="235">
        <f t="shared" si="82"/>
        <v>0</v>
      </c>
      <c r="P1082" s="238" t="s">
        <v>4272</v>
      </c>
      <c r="Q1082" s="1" t="s">
        <v>4264</v>
      </c>
      <c r="R1082" s="239" t="s">
        <v>4273</v>
      </c>
      <c r="S1082" s="238" t="s">
        <v>4274</v>
      </c>
      <c r="T1082" s="238" t="s">
        <v>4275</v>
      </c>
      <c r="U1082" s="238" t="s">
        <v>4276</v>
      </c>
      <c r="V1082" s="238" t="s">
        <v>4277</v>
      </c>
      <c r="W1082" s="236">
        <v>1200</v>
      </c>
      <c r="X1082" s="233">
        <v>41253</v>
      </c>
      <c r="Y1082" s="238" t="s">
        <v>4276</v>
      </c>
      <c r="AA1082" s="240" t="s">
        <v>4233</v>
      </c>
      <c r="AB1082" s="1" t="s">
        <v>4219</v>
      </c>
    </row>
    <row r="1083" spans="1:28" ht="11.25" customHeight="1">
      <c r="A1083" s="233">
        <v>41253</v>
      </c>
      <c r="B1083" s="1" t="s">
        <v>4278</v>
      </c>
      <c r="C1083" s="5" t="s">
        <v>4221</v>
      </c>
      <c r="D1083" s="1" t="s">
        <v>1213</v>
      </c>
      <c r="E1083" s="1" t="s">
        <v>4279</v>
      </c>
      <c r="F1083" s="1">
        <v>4</v>
      </c>
      <c r="G1083" s="1" t="s">
        <v>4236</v>
      </c>
      <c r="H1083" s="234">
        <v>14</v>
      </c>
      <c r="I1083" s="235">
        <f>H1083*F1083</f>
        <v>56</v>
      </c>
      <c r="K1083" s="250">
        <f>12.6*F1083</f>
        <v>50.4</v>
      </c>
      <c r="L1083" s="237">
        <v>41253</v>
      </c>
      <c r="M1083" s="1" t="s">
        <v>4228</v>
      </c>
      <c r="N1083" s="235">
        <f t="shared" si="75"/>
        <v>56</v>
      </c>
      <c r="O1083" s="235">
        <f t="shared" si="82"/>
        <v>0</v>
      </c>
      <c r="P1083" s="238" t="s">
        <v>4280</v>
      </c>
      <c r="Q1083" s="1" t="s">
        <v>4213</v>
      </c>
      <c r="R1083" s="239" t="s">
        <v>4281</v>
      </c>
      <c r="S1083" s="238" t="s">
        <v>4282</v>
      </c>
      <c r="T1083" s="238" t="s">
        <v>3533</v>
      </c>
      <c r="U1083" s="238" t="s">
        <v>4217</v>
      </c>
      <c r="V1083" s="246" t="s">
        <v>4243</v>
      </c>
      <c r="AB1083" s="5" t="s">
        <v>4244</v>
      </c>
    </row>
    <row r="1084" spans="1:28" ht="11.25" customHeight="1">
      <c r="A1084" s="233">
        <v>41254</v>
      </c>
      <c r="B1084" s="1" t="s">
        <v>4283</v>
      </c>
      <c r="C1084" s="5" t="s">
        <v>4221</v>
      </c>
      <c r="D1084" s="5" t="s">
        <v>1712</v>
      </c>
      <c r="E1084" s="1">
        <v>9010</v>
      </c>
      <c r="F1084" s="1">
        <v>150</v>
      </c>
      <c r="G1084" s="1" t="s">
        <v>4271</v>
      </c>
      <c r="H1084" s="234">
        <v>3.4</v>
      </c>
      <c r="I1084" s="235">
        <f t="shared" si="83"/>
        <v>510</v>
      </c>
      <c r="K1084" s="241">
        <f>F1084*2.88</f>
        <v>432</v>
      </c>
      <c r="L1084" s="245">
        <v>41250</v>
      </c>
      <c r="M1084" s="5" t="s">
        <v>4284</v>
      </c>
      <c r="N1084" s="235">
        <f t="shared" si="75"/>
        <v>510</v>
      </c>
      <c r="O1084" s="235">
        <f t="shared" si="82"/>
        <v>0</v>
      </c>
      <c r="P1084" s="238" t="s">
        <v>4285</v>
      </c>
      <c r="Q1084" s="1" t="s">
        <v>4286</v>
      </c>
      <c r="R1084" s="239" t="s">
        <v>4287</v>
      </c>
      <c r="S1084" s="238" t="s">
        <v>4288</v>
      </c>
      <c r="T1084" s="238" t="s">
        <v>4289</v>
      </c>
      <c r="U1084" s="238" t="s">
        <v>4290</v>
      </c>
      <c r="V1084" s="238" t="s">
        <v>1481</v>
      </c>
      <c r="W1084" s="236">
        <v>9000</v>
      </c>
      <c r="X1084" s="233">
        <v>41253</v>
      </c>
      <c r="Y1084" s="238" t="s">
        <v>4285</v>
      </c>
      <c r="AB1084" s="1" t="s">
        <v>4244</v>
      </c>
    </row>
    <row r="1085" spans="1:28" ht="11.25" customHeight="1">
      <c r="A1085" s="233">
        <v>41254</v>
      </c>
      <c r="B1085" s="1" t="s">
        <v>4283</v>
      </c>
      <c r="C1085" s="5" t="s">
        <v>4221</v>
      </c>
      <c r="D1085" s="1" t="s">
        <v>1213</v>
      </c>
      <c r="E1085" s="1" t="s">
        <v>4279</v>
      </c>
      <c r="F1085" s="1">
        <v>75</v>
      </c>
      <c r="G1085" s="1" t="s">
        <v>4236</v>
      </c>
      <c r="H1085" s="234">
        <v>15</v>
      </c>
      <c r="I1085" s="235">
        <f t="shared" si="83"/>
        <v>1125</v>
      </c>
      <c r="K1085" s="250">
        <f>12.6*F1085</f>
        <v>945</v>
      </c>
      <c r="L1085" s="245">
        <v>41250</v>
      </c>
      <c r="M1085" s="5" t="s">
        <v>4284</v>
      </c>
      <c r="N1085" s="235">
        <f t="shared" si="75"/>
        <v>1125</v>
      </c>
      <c r="O1085" s="235">
        <f t="shared" si="82"/>
        <v>0</v>
      </c>
      <c r="P1085" s="238" t="s">
        <v>4285</v>
      </c>
      <c r="Q1085" s="1" t="s">
        <v>4286</v>
      </c>
      <c r="R1085" s="239" t="s">
        <v>4287</v>
      </c>
      <c r="S1085" s="238" t="s">
        <v>4288</v>
      </c>
      <c r="T1085" s="238" t="s">
        <v>4289</v>
      </c>
      <c r="U1085" s="238" t="s">
        <v>4290</v>
      </c>
      <c r="V1085" s="238" t="s">
        <v>1481</v>
      </c>
      <c r="W1085" s="236">
        <v>9000</v>
      </c>
      <c r="X1085" s="233">
        <v>41253</v>
      </c>
      <c r="Y1085" s="238" t="s">
        <v>4285</v>
      </c>
      <c r="AB1085" s="1" t="s">
        <v>4244</v>
      </c>
    </row>
    <row r="1086" spans="1:28" ht="11.25" customHeight="1">
      <c r="A1086" s="233">
        <v>41254</v>
      </c>
      <c r="B1086" s="1" t="s">
        <v>4283</v>
      </c>
      <c r="C1086" s="1" t="s">
        <v>1329</v>
      </c>
      <c r="D1086" s="95" t="s">
        <v>5008</v>
      </c>
      <c r="E1086" s="1" t="s">
        <v>4291</v>
      </c>
      <c r="F1086" s="1">
        <v>150</v>
      </c>
      <c r="G1086" s="1" t="s">
        <v>4211</v>
      </c>
      <c r="H1086" s="234">
        <v>15</v>
      </c>
      <c r="I1086" s="235">
        <f t="shared" si="83"/>
        <v>2250</v>
      </c>
      <c r="K1086" s="241">
        <f>10*F1086</f>
        <v>1500</v>
      </c>
      <c r="L1086" s="245">
        <v>41250</v>
      </c>
      <c r="M1086" s="5" t="s">
        <v>4284</v>
      </c>
      <c r="N1086" s="235">
        <f t="shared" si="75"/>
        <v>2250</v>
      </c>
      <c r="O1086" s="235">
        <f t="shared" si="82"/>
        <v>0</v>
      </c>
      <c r="P1086" s="238" t="s">
        <v>4285</v>
      </c>
      <c r="Q1086" s="1" t="s">
        <v>4286</v>
      </c>
      <c r="R1086" s="239" t="s">
        <v>4287</v>
      </c>
      <c r="S1086" s="238" t="s">
        <v>4288</v>
      </c>
      <c r="T1086" s="238" t="s">
        <v>4289</v>
      </c>
      <c r="U1086" s="238" t="s">
        <v>4290</v>
      </c>
      <c r="V1086" s="238" t="s">
        <v>1481</v>
      </c>
      <c r="W1086" s="236">
        <v>9000</v>
      </c>
      <c r="X1086" s="233">
        <v>41253</v>
      </c>
      <c r="Y1086" s="238" t="s">
        <v>4285</v>
      </c>
      <c r="AB1086" s="1" t="s">
        <v>4244</v>
      </c>
    </row>
    <row r="1087" spans="1:28" ht="11.25" customHeight="1">
      <c r="A1087" s="233">
        <v>41254</v>
      </c>
      <c r="B1087" s="1" t="s">
        <v>4283</v>
      </c>
      <c r="C1087" s="5" t="s">
        <v>4221</v>
      </c>
      <c r="D1087" s="5" t="s">
        <v>4292</v>
      </c>
      <c r="E1087" s="1">
        <v>4620</v>
      </c>
      <c r="F1087" s="1">
        <v>75</v>
      </c>
      <c r="G1087" s="1" t="s">
        <v>4293</v>
      </c>
      <c r="H1087" s="234">
        <v>21</v>
      </c>
      <c r="I1087" s="235">
        <f t="shared" si="83"/>
        <v>1575</v>
      </c>
      <c r="K1087" s="241">
        <f>17.49*F1087</f>
        <v>1311.7499999999998</v>
      </c>
      <c r="L1087" s="245">
        <v>41250</v>
      </c>
      <c r="M1087" s="5" t="s">
        <v>4284</v>
      </c>
      <c r="N1087" s="235">
        <f t="shared" si="75"/>
        <v>1575</v>
      </c>
      <c r="O1087" s="235">
        <f t="shared" si="82"/>
        <v>0</v>
      </c>
      <c r="P1087" s="238" t="s">
        <v>4285</v>
      </c>
      <c r="Q1087" s="1" t="s">
        <v>4286</v>
      </c>
      <c r="R1087" s="239" t="s">
        <v>4287</v>
      </c>
      <c r="S1087" s="238" t="s">
        <v>4288</v>
      </c>
      <c r="T1087" s="238" t="s">
        <v>4289</v>
      </c>
      <c r="U1087" s="238" t="s">
        <v>4290</v>
      </c>
      <c r="V1087" s="238" t="s">
        <v>1481</v>
      </c>
      <c r="W1087" s="236">
        <v>9000</v>
      </c>
      <c r="X1087" s="233">
        <v>41253</v>
      </c>
      <c r="Y1087" s="238" t="s">
        <v>4285</v>
      </c>
      <c r="AB1087" s="1" t="s">
        <v>4244</v>
      </c>
    </row>
    <row r="1088" spans="1:28" ht="11.25" customHeight="1">
      <c r="A1088" s="233">
        <v>41254</v>
      </c>
      <c r="B1088" s="228" t="s">
        <v>4294</v>
      </c>
      <c r="C1088" s="1" t="s">
        <v>4221</v>
      </c>
      <c r="D1088" s="5" t="s">
        <v>2012</v>
      </c>
      <c r="E1088" s="5" t="s">
        <v>4295</v>
      </c>
      <c r="F1088" s="1">
        <v>15000</v>
      </c>
      <c r="G1088" s="1" t="s">
        <v>4970</v>
      </c>
      <c r="H1088" s="234">
        <v>1.48</v>
      </c>
      <c r="I1088" s="235">
        <f t="shared" si="83"/>
        <v>22200</v>
      </c>
      <c r="K1088" s="241">
        <f>1.4*F1088</f>
        <v>21000</v>
      </c>
      <c r="L1088" s="237">
        <v>41263</v>
      </c>
      <c r="M1088" s="1" t="s">
        <v>4252</v>
      </c>
      <c r="N1088" s="235">
        <f t="shared" si="75"/>
        <v>22200</v>
      </c>
      <c r="O1088" s="235">
        <f t="shared" si="82"/>
        <v>0</v>
      </c>
      <c r="P1088" s="238" t="s">
        <v>4296</v>
      </c>
      <c r="Q1088" s="1" t="s">
        <v>4297</v>
      </c>
      <c r="R1088" s="239" t="s">
        <v>4298</v>
      </c>
      <c r="S1088" s="238" t="s">
        <v>4299</v>
      </c>
      <c r="T1088" s="239" t="s">
        <v>4217</v>
      </c>
      <c r="U1088" s="239" t="s">
        <v>4217</v>
      </c>
      <c r="V1088" s="238" t="s">
        <v>4300</v>
      </c>
      <c r="W1088" s="236">
        <v>23100</v>
      </c>
      <c r="X1088" s="233">
        <v>41263</v>
      </c>
      <c r="Y1088" s="238" t="s">
        <v>4297</v>
      </c>
      <c r="AB1088" s="1" t="s">
        <v>4244</v>
      </c>
    </row>
    <row r="1089" spans="1:28" ht="11.25" customHeight="1">
      <c r="A1089" s="233">
        <v>41254</v>
      </c>
      <c r="B1089" s="228" t="s">
        <v>4294</v>
      </c>
      <c r="C1089" s="1" t="s">
        <v>4221</v>
      </c>
      <c r="D1089" s="1" t="s">
        <v>1210</v>
      </c>
      <c r="E1089" s="1">
        <v>3200</v>
      </c>
      <c r="F1089" s="1">
        <v>8</v>
      </c>
      <c r="G1089" s="1" t="s">
        <v>4271</v>
      </c>
      <c r="H1089" s="234">
        <v>26.5</v>
      </c>
      <c r="I1089" s="235">
        <f t="shared" si="83"/>
        <v>212</v>
      </c>
      <c r="K1089" s="241">
        <f>23.94*F1089</f>
        <v>191.52</v>
      </c>
      <c r="L1089" s="237">
        <v>41292</v>
      </c>
      <c r="M1089" s="1" t="s">
        <v>4252</v>
      </c>
      <c r="N1089" s="235">
        <f t="shared" si="75"/>
        <v>212</v>
      </c>
      <c r="O1089" s="235">
        <f t="shared" si="82"/>
        <v>0</v>
      </c>
      <c r="P1089" s="238" t="s">
        <v>4296</v>
      </c>
      <c r="Q1089" s="1" t="s">
        <v>4297</v>
      </c>
      <c r="R1089" s="239" t="s">
        <v>4298</v>
      </c>
      <c r="S1089" s="238" t="s">
        <v>4299</v>
      </c>
      <c r="T1089" s="239" t="s">
        <v>4217</v>
      </c>
      <c r="U1089" s="239" t="s">
        <v>4217</v>
      </c>
      <c r="V1089" s="238" t="s">
        <v>4300</v>
      </c>
      <c r="W1089" s="236">
        <v>23100</v>
      </c>
      <c r="X1089" s="233">
        <v>41263</v>
      </c>
      <c r="Y1089" s="238" t="s">
        <v>4297</v>
      </c>
      <c r="AB1089" s="1" t="s">
        <v>4244</v>
      </c>
    </row>
    <row r="1090" spans="1:28" ht="11.25" customHeight="1">
      <c r="A1090" s="233">
        <v>41254</v>
      </c>
      <c r="B1090" s="228" t="s">
        <v>4294</v>
      </c>
      <c r="C1090" s="1" t="s">
        <v>4221</v>
      </c>
      <c r="D1090" s="5" t="s">
        <v>346</v>
      </c>
      <c r="E1090" s="5">
        <v>3700</v>
      </c>
      <c r="F1090" s="1">
        <v>8</v>
      </c>
      <c r="G1090" s="1" t="s">
        <v>229</v>
      </c>
      <c r="H1090" s="234">
        <v>3.31</v>
      </c>
      <c r="I1090" s="235">
        <f t="shared" si="83"/>
        <v>26.48</v>
      </c>
      <c r="K1090" s="241">
        <f>3.09*F1090</f>
        <v>24.72</v>
      </c>
      <c r="L1090" s="237">
        <v>41292</v>
      </c>
      <c r="M1090" s="1" t="s">
        <v>4252</v>
      </c>
      <c r="N1090" s="235">
        <f t="shared" si="75"/>
        <v>26.48</v>
      </c>
      <c r="O1090" s="235">
        <f t="shared" si="82"/>
        <v>0</v>
      </c>
      <c r="P1090" s="238" t="s">
        <v>4296</v>
      </c>
      <c r="Q1090" s="1" t="s">
        <v>4297</v>
      </c>
      <c r="R1090" s="239" t="s">
        <v>4298</v>
      </c>
      <c r="S1090" s="238" t="s">
        <v>4299</v>
      </c>
      <c r="T1090" s="239" t="s">
        <v>4217</v>
      </c>
      <c r="U1090" s="239" t="s">
        <v>4217</v>
      </c>
      <c r="V1090" s="238" t="s">
        <v>4300</v>
      </c>
      <c r="W1090" s="236">
        <v>23100</v>
      </c>
      <c r="X1090" s="233">
        <v>41263</v>
      </c>
      <c r="Y1090" s="238" t="s">
        <v>4297</v>
      </c>
      <c r="AB1090" s="1" t="s">
        <v>4244</v>
      </c>
    </row>
    <row r="1091" spans="1:28" ht="11.25" customHeight="1">
      <c r="A1091" s="233">
        <v>41254</v>
      </c>
      <c r="B1091" s="228" t="s">
        <v>1466</v>
      </c>
      <c r="C1091" s="1" t="s">
        <v>4221</v>
      </c>
      <c r="D1091" s="5" t="s">
        <v>4301</v>
      </c>
      <c r="E1091" s="1" t="s">
        <v>679</v>
      </c>
      <c r="F1091" s="1">
        <v>40</v>
      </c>
      <c r="G1091" s="1" t="s">
        <v>236</v>
      </c>
      <c r="H1091" s="234">
        <v>36.729999999999997</v>
      </c>
      <c r="I1091" s="235">
        <f t="shared" si="83"/>
        <v>1469.1999999999998</v>
      </c>
      <c r="K1091" s="241">
        <f>33.111*F1091</f>
        <v>1324.4399999999998</v>
      </c>
      <c r="L1091" s="237">
        <v>41254</v>
      </c>
      <c r="M1091" s="237" t="s">
        <v>4284</v>
      </c>
      <c r="N1091" s="235">
        <f t="shared" ref="N1091:N1154" si="84">I1091</f>
        <v>1469.1999999999998</v>
      </c>
      <c r="O1091" s="235">
        <f t="shared" si="82"/>
        <v>0</v>
      </c>
      <c r="P1091" s="238" t="s">
        <v>4217</v>
      </c>
      <c r="Q1091" s="1" t="s">
        <v>4302</v>
      </c>
      <c r="R1091" s="239" t="s">
        <v>4303</v>
      </c>
      <c r="S1091" s="238" t="s">
        <v>4304</v>
      </c>
      <c r="T1091" s="238" t="s">
        <v>4305</v>
      </c>
      <c r="U1091" s="238" t="s">
        <v>4306</v>
      </c>
      <c r="AB1091" s="1" t="s">
        <v>4244</v>
      </c>
    </row>
    <row r="1092" spans="1:28" ht="11.25" customHeight="1">
      <c r="A1092" s="233">
        <v>41254</v>
      </c>
      <c r="B1092" s="228" t="s">
        <v>1466</v>
      </c>
      <c r="C1092" s="1" t="s">
        <v>4221</v>
      </c>
      <c r="D1092" s="5" t="s">
        <v>4307</v>
      </c>
      <c r="E1092" s="1" t="s">
        <v>4308</v>
      </c>
      <c r="F1092" s="1">
        <v>20</v>
      </c>
      <c r="G1092" s="1" t="s">
        <v>236</v>
      </c>
      <c r="H1092" s="234">
        <v>47.6</v>
      </c>
      <c r="I1092" s="235">
        <f t="shared" si="83"/>
        <v>952</v>
      </c>
      <c r="K1092" s="241">
        <f>42.939*F1092</f>
        <v>858.78</v>
      </c>
      <c r="L1092" s="237">
        <v>41254</v>
      </c>
      <c r="M1092" s="237" t="s">
        <v>4284</v>
      </c>
      <c r="N1092" s="235">
        <f t="shared" si="84"/>
        <v>952</v>
      </c>
      <c r="O1092" s="235">
        <f t="shared" si="82"/>
        <v>0</v>
      </c>
      <c r="P1092" s="238" t="s">
        <v>4217</v>
      </c>
      <c r="Q1092" s="1" t="s">
        <v>4302</v>
      </c>
      <c r="R1092" s="239" t="s">
        <v>4303</v>
      </c>
      <c r="S1092" s="238" t="s">
        <v>4304</v>
      </c>
      <c r="T1092" s="238" t="s">
        <v>4305</v>
      </c>
      <c r="U1092" s="238" t="s">
        <v>4306</v>
      </c>
      <c r="AB1092" s="1" t="s">
        <v>4244</v>
      </c>
    </row>
    <row r="1093" spans="1:28" ht="11.25" customHeight="1">
      <c r="A1093" s="233">
        <v>41254</v>
      </c>
      <c r="B1093" s="228" t="s">
        <v>1466</v>
      </c>
      <c r="C1093" s="1" t="s">
        <v>4221</v>
      </c>
      <c r="D1093" s="225" t="s">
        <v>4309</v>
      </c>
      <c r="E1093" s="1" t="s">
        <v>49</v>
      </c>
      <c r="F1093" s="1">
        <v>2</v>
      </c>
      <c r="G1093" s="1" t="s">
        <v>236</v>
      </c>
      <c r="H1093" s="234">
        <v>218.18</v>
      </c>
      <c r="I1093" s="235">
        <f t="shared" si="83"/>
        <v>436.36</v>
      </c>
      <c r="K1093" s="241">
        <f>181.36*F1093</f>
        <v>362.72</v>
      </c>
      <c r="L1093" s="237">
        <v>41254</v>
      </c>
      <c r="M1093" s="237" t="s">
        <v>4284</v>
      </c>
      <c r="N1093" s="235">
        <f t="shared" si="84"/>
        <v>436.36</v>
      </c>
      <c r="O1093" s="235">
        <f t="shared" si="82"/>
        <v>0</v>
      </c>
      <c r="P1093" s="238" t="s">
        <v>4217</v>
      </c>
      <c r="Q1093" s="1" t="s">
        <v>4302</v>
      </c>
      <c r="R1093" s="239" t="s">
        <v>4303</v>
      </c>
      <c r="S1093" s="238" t="s">
        <v>4304</v>
      </c>
      <c r="T1093" s="238" t="s">
        <v>4305</v>
      </c>
      <c r="U1093" s="238" t="s">
        <v>4306</v>
      </c>
      <c r="AB1093" s="1" t="s">
        <v>4244</v>
      </c>
    </row>
    <row r="1094" spans="1:28" ht="11.25" customHeight="1">
      <c r="A1094" s="233">
        <v>41254</v>
      </c>
      <c r="B1094" s="228" t="s">
        <v>1466</v>
      </c>
      <c r="C1094" s="1" t="s">
        <v>4221</v>
      </c>
      <c r="D1094" s="5" t="s">
        <v>4310</v>
      </c>
      <c r="E1094" s="1" t="s">
        <v>50</v>
      </c>
      <c r="F1094" s="1">
        <v>5</v>
      </c>
      <c r="G1094" s="1" t="s">
        <v>236</v>
      </c>
      <c r="H1094" s="234">
        <v>129.72999999999999</v>
      </c>
      <c r="I1094" s="235">
        <f t="shared" si="83"/>
        <v>648.65</v>
      </c>
      <c r="K1094" s="241">
        <f>107.64*F1094</f>
        <v>538.20000000000005</v>
      </c>
      <c r="L1094" s="237">
        <v>41254</v>
      </c>
      <c r="M1094" s="237" t="s">
        <v>4284</v>
      </c>
      <c r="N1094" s="235">
        <f t="shared" si="84"/>
        <v>648.65</v>
      </c>
      <c r="O1094" s="235">
        <f t="shared" si="82"/>
        <v>0</v>
      </c>
      <c r="P1094" s="238" t="s">
        <v>4217</v>
      </c>
      <c r="Q1094" s="1" t="s">
        <v>4302</v>
      </c>
      <c r="R1094" s="239" t="s">
        <v>4303</v>
      </c>
      <c r="S1094" s="238" t="s">
        <v>4304</v>
      </c>
      <c r="T1094" s="238" t="s">
        <v>4305</v>
      </c>
      <c r="U1094" s="238" t="s">
        <v>4306</v>
      </c>
      <c r="AB1094" s="1" t="s">
        <v>4244</v>
      </c>
    </row>
    <row r="1095" spans="1:28" ht="11.25" customHeight="1">
      <c r="A1095" s="233">
        <v>41254</v>
      </c>
      <c r="B1095" s="228" t="s">
        <v>1466</v>
      </c>
      <c r="C1095" s="1" t="s">
        <v>4221</v>
      </c>
      <c r="D1095" s="5" t="s">
        <v>4311</v>
      </c>
      <c r="E1095" s="1">
        <v>9031</v>
      </c>
      <c r="F1095" s="1">
        <v>500</v>
      </c>
      <c r="G1095" s="232" t="s">
        <v>4312</v>
      </c>
      <c r="H1095" s="234">
        <v>1.73</v>
      </c>
      <c r="I1095" s="235">
        <f t="shared" si="83"/>
        <v>865</v>
      </c>
      <c r="K1095" s="241">
        <f>1.4929*500</f>
        <v>746.44999999999993</v>
      </c>
      <c r="L1095" s="237">
        <v>41254</v>
      </c>
      <c r="M1095" s="237" t="s">
        <v>4284</v>
      </c>
      <c r="N1095" s="235">
        <f t="shared" si="84"/>
        <v>865</v>
      </c>
      <c r="O1095" s="235">
        <f t="shared" si="82"/>
        <v>0</v>
      </c>
      <c r="P1095" s="238" t="s">
        <v>4217</v>
      </c>
      <c r="Q1095" s="1" t="s">
        <v>4302</v>
      </c>
      <c r="R1095" s="239" t="s">
        <v>4303</v>
      </c>
      <c r="S1095" s="238" t="s">
        <v>4304</v>
      </c>
      <c r="T1095" s="238" t="s">
        <v>4305</v>
      </c>
      <c r="U1095" s="238" t="s">
        <v>4306</v>
      </c>
      <c r="AB1095" s="1" t="s">
        <v>4244</v>
      </c>
    </row>
    <row r="1096" spans="1:28" ht="12.75" customHeight="1">
      <c r="A1096" s="233">
        <v>41254</v>
      </c>
      <c r="B1096" s="228" t="s">
        <v>1466</v>
      </c>
      <c r="C1096" s="1" t="s">
        <v>4221</v>
      </c>
      <c r="D1096" s="5" t="s">
        <v>4313</v>
      </c>
      <c r="E1096" s="1">
        <v>9032</v>
      </c>
      <c r="F1096" s="1">
        <v>2000</v>
      </c>
      <c r="G1096" s="1" t="s">
        <v>4271</v>
      </c>
      <c r="H1096" s="234">
        <v>1.73</v>
      </c>
      <c r="I1096" s="235">
        <f t="shared" si="83"/>
        <v>3460</v>
      </c>
      <c r="K1096" s="241">
        <f>1.4929*F1096</f>
        <v>2985.7999999999997</v>
      </c>
      <c r="L1096" s="237">
        <v>41254</v>
      </c>
      <c r="M1096" s="237" t="s">
        <v>4284</v>
      </c>
      <c r="N1096" s="235">
        <f t="shared" si="84"/>
        <v>3460</v>
      </c>
      <c r="O1096" s="235">
        <f t="shared" si="82"/>
        <v>0</v>
      </c>
      <c r="P1096" s="238" t="s">
        <v>4217</v>
      </c>
      <c r="Q1096" s="1" t="s">
        <v>4302</v>
      </c>
      <c r="R1096" s="239" t="s">
        <v>4303</v>
      </c>
      <c r="S1096" s="238" t="s">
        <v>4304</v>
      </c>
      <c r="T1096" s="238" t="s">
        <v>4305</v>
      </c>
      <c r="U1096" s="238" t="s">
        <v>4306</v>
      </c>
      <c r="AB1096" s="1" t="s">
        <v>4244</v>
      </c>
    </row>
    <row r="1097" spans="1:28" ht="11.25" customHeight="1">
      <c r="A1097" s="233">
        <v>41254</v>
      </c>
      <c r="B1097" s="228" t="s">
        <v>1466</v>
      </c>
      <c r="C1097" s="1" t="s">
        <v>4221</v>
      </c>
      <c r="D1097" s="5" t="s">
        <v>4314</v>
      </c>
      <c r="E1097" s="1">
        <v>1426</v>
      </c>
      <c r="F1097" s="1">
        <v>2</v>
      </c>
      <c r="G1097" s="1" t="s">
        <v>239</v>
      </c>
      <c r="H1097" s="234">
        <v>21.49</v>
      </c>
      <c r="I1097" s="235">
        <f t="shared" si="83"/>
        <v>42.98</v>
      </c>
      <c r="K1097" s="241">
        <f>19.422*F1097</f>
        <v>38.844000000000001</v>
      </c>
      <c r="L1097" s="237">
        <v>41254</v>
      </c>
      <c r="M1097" s="237" t="s">
        <v>4284</v>
      </c>
      <c r="N1097" s="235">
        <f t="shared" si="84"/>
        <v>42.98</v>
      </c>
      <c r="O1097" s="235">
        <f t="shared" si="82"/>
        <v>0</v>
      </c>
      <c r="P1097" s="238" t="s">
        <v>4217</v>
      </c>
      <c r="Q1097" s="1" t="s">
        <v>4302</v>
      </c>
      <c r="R1097" s="239" t="s">
        <v>4303</v>
      </c>
      <c r="S1097" s="238" t="s">
        <v>4304</v>
      </c>
      <c r="T1097" s="238" t="s">
        <v>4305</v>
      </c>
      <c r="U1097" s="238" t="s">
        <v>4306</v>
      </c>
      <c r="AB1097" s="1" t="s">
        <v>4244</v>
      </c>
    </row>
    <row r="1098" spans="1:28" ht="11.25" customHeight="1">
      <c r="A1098" s="233">
        <v>41254</v>
      </c>
      <c r="B1098" s="228" t="s">
        <v>1466</v>
      </c>
      <c r="C1098" s="1" t="s">
        <v>4221</v>
      </c>
      <c r="D1098" s="1" t="s">
        <v>681</v>
      </c>
      <c r="E1098" s="1" t="s">
        <v>4315</v>
      </c>
      <c r="F1098" s="1">
        <v>200</v>
      </c>
      <c r="G1098" s="1" t="s">
        <v>239</v>
      </c>
      <c r="H1098" s="234">
        <v>3.46</v>
      </c>
      <c r="I1098" s="235">
        <f t="shared" si="83"/>
        <v>692</v>
      </c>
      <c r="K1098" s="241">
        <f>3.3*F1098</f>
        <v>660</v>
      </c>
      <c r="L1098" s="237">
        <v>41254</v>
      </c>
      <c r="M1098" s="237" t="s">
        <v>4284</v>
      </c>
      <c r="N1098" s="235">
        <f t="shared" si="84"/>
        <v>692</v>
      </c>
      <c r="O1098" s="235">
        <f t="shared" si="82"/>
        <v>0</v>
      </c>
      <c r="P1098" s="238" t="s">
        <v>4217</v>
      </c>
      <c r="Q1098" s="1" t="s">
        <v>4302</v>
      </c>
      <c r="R1098" s="239" t="s">
        <v>4303</v>
      </c>
      <c r="S1098" s="238" t="s">
        <v>4304</v>
      </c>
      <c r="T1098" s="238" t="s">
        <v>4305</v>
      </c>
      <c r="U1098" s="238" t="s">
        <v>4306</v>
      </c>
      <c r="AB1098" s="1" t="s">
        <v>4244</v>
      </c>
    </row>
    <row r="1099" spans="1:28" ht="11.25" customHeight="1">
      <c r="A1099" s="233">
        <v>41254</v>
      </c>
      <c r="B1099" s="228" t="s">
        <v>1466</v>
      </c>
      <c r="C1099" s="1" t="s">
        <v>4221</v>
      </c>
      <c r="D1099" s="5" t="s">
        <v>4316</v>
      </c>
      <c r="E1099" s="1">
        <v>10197</v>
      </c>
      <c r="F1099" s="1">
        <v>2</v>
      </c>
      <c r="G1099" s="1" t="s">
        <v>239</v>
      </c>
      <c r="H1099" s="234">
        <v>43.2</v>
      </c>
      <c r="I1099" s="235">
        <f t="shared" si="83"/>
        <v>86.4</v>
      </c>
      <c r="K1099" s="241">
        <f>39.078*F1099</f>
        <v>78.156000000000006</v>
      </c>
      <c r="L1099" s="237">
        <v>41254</v>
      </c>
      <c r="M1099" s="237" t="s">
        <v>4284</v>
      </c>
      <c r="N1099" s="235">
        <f t="shared" si="84"/>
        <v>86.4</v>
      </c>
      <c r="O1099" s="235">
        <f t="shared" si="82"/>
        <v>0</v>
      </c>
      <c r="P1099" s="238" t="s">
        <v>4217</v>
      </c>
      <c r="Q1099" s="1" t="s">
        <v>4302</v>
      </c>
      <c r="R1099" s="239" t="s">
        <v>4303</v>
      </c>
      <c r="S1099" s="238" t="s">
        <v>4304</v>
      </c>
      <c r="T1099" s="238" t="s">
        <v>4305</v>
      </c>
      <c r="U1099" s="238" t="s">
        <v>4306</v>
      </c>
      <c r="AB1099" s="1" t="s">
        <v>4244</v>
      </c>
    </row>
    <row r="1100" spans="1:28" ht="11.25" customHeight="1">
      <c r="A1100" s="233">
        <v>41254</v>
      </c>
      <c r="B1100" s="228" t="s">
        <v>1466</v>
      </c>
      <c r="C1100" s="1" t="s">
        <v>4221</v>
      </c>
      <c r="D1100" s="1" t="s">
        <v>4235</v>
      </c>
      <c r="E1100" s="1">
        <v>10434</v>
      </c>
      <c r="F1100" s="1">
        <v>5</v>
      </c>
      <c r="G1100" s="1" t="s">
        <v>239</v>
      </c>
      <c r="H1100" s="234">
        <v>17.28</v>
      </c>
      <c r="I1100" s="235">
        <f t="shared" si="83"/>
        <v>86.4</v>
      </c>
      <c r="K1100" s="241">
        <f>14.2*F1100</f>
        <v>71</v>
      </c>
      <c r="L1100" s="237">
        <v>41254</v>
      </c>
      <c r="M1100" s="237" t="s">
        <v>4284</v>
      </c>
      <c r="N1100" s="235">
        <f t="shared" si="84"/>
        <v>86.4</v>
      </c>
      <c r="O1100" s="235">
        <f t="shared" si="82"/>
        <v>0</v>
      </c>
      <c r="P1100" s="238" t="s">
        <v>4217</v>
      </c>
      <c r="Q1100" s="1" t="s">
        <v>4302</v>
      </c>
      <c r="R1100" s="239" t="s">
        <v>4303</v>
      </c>
      <c r="S1100" s="238" t="s">
        <v>4304</v>
      </c>
      <c r="T1100" s="238" t="s">
        <v>4305</v>
      </c>
      <c r="U1100" s="238" t="s">
        <v>4306</v>
      </c>
      <c r="AB1100" s="1" t="s">
        <v>4244</v>
      </c>
    </row>
    <row r="1101" spans="1:28" ht="11.25" customHeight="1">
      <c r="A1101" s="233">
        <v>41254</v>
      </c>
      <c r="B1101" s="228" t="s">
        <v>4317</v>
      </c>
      <c r="C1101" s="1" t="s">
        <v>4221</v>
      </c>
      <c r="D1101" s="5" t="s">
        <v>4318</v>
      </c>
      <c r="E1101" s="1">
        <v>12308</v>
      </c>
      <c r="F1101" s="1">
        <v>5</v>
      </c>
      <c r="G1101" s="1" t="s">
        <v>239</v>
      </c>
      <c r="H1101" s="234">
        <v>20.88</v>
      </c>
      <c r="I1101" s="235">
        <f t="shared" si="83"/>
        <v>104.39999999999999</v>
      </c>
      <c r="K1101" s="241">
        <f>18*F1101</f>
        <v>90</v>
      </c>
      <c r="L1101" s="237">
        <v>41254</v>
      </c>
      <c r="M1101" s="237" t="s">
        <v>4284</v>
      </c>
      <c r="N1101" s="235">
        <f t="shared" si="84"/>
        <v>104.39999999999999</v>
      </c>
      <c r="O1101" s="235">
        <f t="shared" si="82"/>
        <v>0</v>
      </c>
      <c r="P1101" s="238" t="s">
        <v>4217</v>
      </c>
      <c r="Q1101" s="1" t="s">
        <v>4302</v>
      </c>
      <c r="R1101" s="239" t="s">
        <v>4303</v>
      </c>
      <c r="S1101" s="238" t="s">
        <v>4304</v>
      </c>
      <c r="T1101" s="238" t="s">
        <v>4305</v>
      </c>
      <c r="U1101" s="238" t="s">
        <v>4306</v>
      </c>
      <c r="AB1101" s="1" t="s">
        <v>4244</v>
      </c>
    </row>
    <row r="1102" spans="1:28" ht="11.25" customHeight="1">
      <c r="A1102" s="233">
        <v>41254</v>
      </c>
      <c r="B1102" s="228" t="s">
        <v>1466</v>
      </c>
      <c r="C1102" s="1" t="s">
        <v>4221</v>
      </c>
      <c r="D1102" s="5" t="s">
        <v>4319</v>
      </c>
      <c r="E1102" s="1" t="s">
        <v>1467</v>
      </c>
      <c r="F1102" s="1">
        <v>500</v>
      </c>
      <c r="G1102" s="1" t="s">
        <v>231</v>
      </c>
      <c r="H1102" s="234">
        <v>1.93</v>
      </c>
      <c r="I1102" s="235">
        <f t="shared" si="83"/>
        <v>965</v>
      </c>
      <c r="K1102" s="241">
        <f>1.24*F1102</f>
        <v>620</v>
      </c>
      <c r="L1102" s="237">
        <v>41254</v>
      </c>
      <c r="M1102" s="237" t="s">
        <v>4284</v>
      </c>
      <c r="N1102" s="235">
        <f t="shared" si="84"/>
        <v>965</v>
      </c>
      <c r="O1102" s="235">
        <f t="shared" si="82"/>
        <v>0</v>
      </c>
      <c r="P1102" s="238" t="s">
        <v>4217</v>
      </c>
      <c r="Q1102" s="1" t="s">
        <v>4302</v>
      </c>
      <c r="R1102" s="239" t="s">
        <v>4303</v>
      </c>
      <c r="S1102" s="238" t="s">
        <v>4304</v>
      </c>
      <c r="T1102" s="238" t="s">
        <v>4305</v>
      </c>
      <c r="U1102" s="238" t="s">
        <v>4306</v>
      </c>
      <c r="AB1102" s="1" t="s">
        <v>4244</v>
      </c>
    </row>
    <row r="1103" spans="1:28" ht="11.25" customHeight="1">
      <c r="A1103" s="233">
        <v>41254</v>
      </c>
      <c r="B1103" s="228" t="s">
        <v>1466</v>
      </c>
      <c r="C1103" s="1" t="s">
        <v>4221</v>
      </c>
      <c r="D1103" s="5" t="s">
        <v>4320</v>
      </c>
      <c r="E1103" s="1" t="s">
        <v>4321</v>
      </c>
      <c r="F1103" s="1">
        <v>20</v>
      </c>
      <c r="G1103" s="1" t="s">
        <v>229</v>
      </c>
      <c r="H1103" s="234">
        <v>13.67</v>
      </c>
      <c r="I1103" s="235">
        <f t="shared" si="83"/>
        <v>273.39999999999998</v>
      </c>
      <c r="K1103" s="241">
        <f>10.94*F1103</f>
        <v>218.79999999999998</v>
      </c>
      <c r="L1103" s="237">
        <v>41254</v>
      </c>
      <c r="M1103" s="237" t="s">
        <v>4284</v>
      </c>
      <c r="N1103" s="235">
        <f t="shared" si="84"/>
        <v>273.39999999999998</v>
      </c>
      <c r="O1103" s="235">
        <f t="shared" si="82"/>
        <v>0</v>
      </c>
      <c r="P1103" s="238" t="s">
        <v>4217</v>
      </c>
      <c r="Q1103" s="1" t="s">
        <v>4302</v>
      </c>
      <c r="R1103" s="239" t="s">
        <v>4303</v>
      </c>
      <c r="S1103" s="238" t="s">
        <v>4304</v>
      </c>
      <c r="T1103" s="238" t="s">
        <v>4305</v>
      </c>
      <c r="U1103" s="238" t="s">
        <v>4306</v>
      </c>
      <c r="AB1103" s="1" t="s">
        <v>4244</v>
      </c>
    </row>
    <row r="1104" spans="1:28" ht="11.25" customHeight="1">
      <c r="A1104" s="233">
        <v>41254</v>
      </c>
      <c r="B1104" s="228" t="s">
        <v>1466</v>
      </c>
      <c r="C1104" s="1" t="s">
        <v>4221</v>
      </c>
      <c r="D1104" s="5" t="s">
        <v>4322</v>
      </c>
      <c r="E1104" s="1" t="s">
        <v>1468</v>
      </c>
      <c r="F1104" s="1">
        <v>100</v>
      </c>
      <c r="G1104" s="1" t="s">
        <v>231</v>
      </c>
      <c r="H1104" s="234">
        <v>1.55</v>
      </c>
      <c r="I1104" s="235">
        <f t="shared" si="83"/>
        <v>155</v>
      </c>
      <c r="K1104" s="241">
        <f>1.17*F1104</f>
        <v>117</v>
      </c>
      <c r="L1104" s="237">
        <v>41254</v>
      </c>
      <c r="M1104" s="237" t="s">
        <v>4284</v>
      </c>
      <c r="N1104" s="235">
        <f t="shared" si="84"/>
        <v>155</v>
      </c>
      <c r="O1104" s="235">
        <f t="shared" si="82"/>
        <v>0</v>
      </c>
      <c r="P1104" s="238" t="s">
        <v>4217</v>
      </c>
      <c r="Q1104" s="1" t="s">
        <v>4302</v>
      </c>
      <c r="R1104" s="239" t="s">
        <v>4303</v>
      </c>
      <c r="S1104" s="238" t="s">
        <v>4304</v>
      </c>
      <c r="T1104" s="238" t="s">
        <v>4305</v>
      </c>
      <c r="U1104" s="238" t="s">
        <v>4306</v>
      </c>
      <c r="AB1104" s="1" t="s">
        <v>4244</v>
      </c>
    </row>
    <row r="1105" spans="1:28" ht="11.25" customHeight="1">
      <c r="A1105" s="233">
        <v>41254</v>
      </c>
      <c r="B1105" s="228" t="s">
        <v>1466</v>
      </c>
      <c r="C1105" s="1" t="s">
        <v>4221</v>
      </c>
      <c r="D1105" s="5" t="s">
        <v>4320</v>
      </c>
      <c r="E1105" s="1" t="s">
        <v>242</v>
      </c>
      <c r="F1105" s="1">
        <v>10</v>
      </c>
      <c r="G1105" s="1" t="s">
        <v>229</v>
      </c>
      <c r="H1105" s="234">
        <v>20.45</v>
      </c>
      <c r="I1105" s="235">
        <f t="shared" si="83"/>
        <v>204.5</v>
      </c>
      <c r="K1105" s="241">
        <f>16.5*F1105</f>
        <v>165</v>
      </c>
      <c r="L1105" s="237">
        <v>41254</v>
      </c>
      <c r="M1105" s="237" t="s">
        <v>4284</v>
      </c>
      <c r="N1105" s="235">
        <f t="shared" si="84"/>
        <v>204.5</v>
      </c>
      <c r="O1105" s="235">
        <f t="shared" si="82"/>
        <v>0</v>
      </c>
      <c r="P1105" s="238" t="s">
        <v>4217</v>
      </c>
      <c r="Q1105" s="1" t="s">
        <v>4302</v>
      </c>
      <c r="R1105" s="239" t="s">
        <v>4303</v>
      </c>
      <c r="S1105" s="238" t="s">
        <v>4304</v>
      </c>
      <c r="T1105" s="238" t="s">
        <v>4305</v>
      </c>
      <c r="U1105" s="238" t="s">
        <v>4306</v>
      </c>
      <c r="AB1105" s="1" t="s">
        <v>4244</v>
      </c>
    </row>
    <row r="1106" spans="1:28" ht="11.25" customHeight="1">
      <c r="A1106" s="233">
        <v>41254</v>
      </c>
      <c r="B1106" s="228" t="s">
        <v>1466</v>
      </c>
      <c r="C1106" s="1" t="s">
        <v>4221</v>
      </c>
      <c r="D1106" s="5" t="s">
        <v>4319</v>
      </c>
      <c r="E1106" s="1" t="s">
        <v>4323</v>
      </c>
      <c r="F1106" s="1">
        <v>100</v>
      </c>
      <c r="G1106" s="1" t="s">
        <v>231</v>
      </c>
      <c r="H1106" s="234">
        <v>6.26</v>
      </c>
      <c r="I1106" s="235">
        <f t="shared" si="83"/>
        <v>626</v>
      </c>
      <c r="K1106" s="241">
        <f>4.78*F1106</f>
        <v>478</v>
      </c>
      <c r="L1106" s="237">
        <v>41254</v>
      </c>
      <c r="M1106" s="237" t="s">
        <v>4284</v>
      </c>
      <c r="N1106" s="235">
        <f t="shared" si="84"/>
        <v>626</v>
      </c>
      <c r="O1106" s="235">
        <f t="shared" si="82"/>
        <v>0</v>
      </c>
      <c r="P1106" s="238" t="s">
        <v>4217</v>
      </c>
      <c r="Q1106" s="1" t="s">
        <v>4302</v>
      </c>
      <c r="R1106" s="239" t="s">
        <v>4303</v>
      </c>
      <c r="S1106" s="238" t="s">
        <v>4304</v>
      </c>
      <c r="T1106" s="238" t="s">
        <v>4305</v>
      </c>
      <c r="U1106" s="238" t="s">
        <v>4306</v>
      </c>
      <c r="AB1106" s="1" t="s">
        <v>4244</v>
      </c>
    </row>
    <row r="1107" spans="1:28" ht="11.25" customHeight="1">
      <c r="A1107" s="233">
        <v>41254</v>
      </c>
      <c r="B1107" s="228" t="s">
        <v>1488</v>
      </c>
      <c r="C1107" s="1" t="s">
        <v>4221</v>
      </c>
      <c r="D1107" s="5" t="s">
        <v>4324</v>
      </c>
      <c r="E1107" s="225">
        <v>6894</v>
      </c>
      <c r="F1107" s="1">
        <v>4</v>
      </c>
      <c r="G1107" s="1" t="s">
        <v>229</v>
      </c>
      <c r="H1107" s="234">
        <v>88.75</v>
      </c>
      <c r="I1107" s="235">
        <f t="shared" si="83"/>
        <v>355</v>
      </c>
      <c r="K1107" s="241">
        <f>85.67*4</f>
        <v>342.68</v>
      </c>
      <c r="L1107" s="237">
        <v>41248</v>
      </c>
      <c r="M1107" s="237" t="s">
        <v>4252</v>
      </c>
      <c r="N1107" s="235">
        <f t="shared" si="84"/>
        <v>355</v>
      </c>
      <c r="O1107" s="235">
        <f t="shared" si="82"/>
        <v>0</v>
      </c>
      <c r="P1107" s="238" t="s">
        <v>4325</v>
      </c>
      <c r="Q1107" s="1" t="s">
        <v>4213</v>
      </c>
      <c r="R1107" s="239" t="s">
        <v>4326</v>
      </c>
      <c r="S1107" s="238" t="s">
        <v>4327</v>
      </c>
      <c r="T1107" s="238" t="s">
        <v>1469</v>
      </c>
      <c r="U1107" s="238" t="s">
        <v>4217</v>
      </c>
      <c r="V1107" s="238" t="s">
        <v>4328</v>
      </c>
      <c r="W1107" s="236">
        <v>4217.3999999999996</v>
      </c>
      <c r="X1107" s="233">
        <v>41288</v>
      </c>
      <c r="Y1107" s="238" t="s">
        <v>5250</v>
      </c>
      <c r="AB1107" s="1" t="s">
        <v>4244</v>
      </c>
    </row>
    <row r="1108" spans="1:28" ht="11.25" customHeight="1">
      <c r="A1108" s="233">
        <v>41254</v>
      </c>
      <c r="B1108" s="228" t="s">
        <v>1488</v>
      </c>
      <c r="C1108" s="1" t="s">
        <v>4221</v>
      </c>
      <c r="D1108" s="5" t="s">
        <v>1425</v>
      </c>
      <c r="E1108" s="225">
        <v>6895</v>
      </c>
      <c r="F1108" s="1">
        <v>40</v>
      </c>
      <c r="G1108" s="1" t="s">
        <v>231</v>
      </c>
      <c r="H1108" s="234">
        <v>6.86</v>
      </c>
      <c r="I1108" s="235">
        <f t="shared" si="83"/>
        <v>274.40000000000003</v>
      </c>
      <c r="K1108" s="241">
        <f>6.18*20+6.178*20</f>
        <v>247.16</v>
      </c>
      <c r="L1108" s="237">
        <v>41248</v>
      </c>
      <c r="M1108" s="237" t="s">
        <v>4252</v>
      </c>
      <c r="N1108" s="235">
        <f t="shared" si="84"/>
        <v>274.40000000000003</v>
      </c>
      <c r="O1108" s="235">
        <f t="shared" si="82"/>
        <v>0</v>
      </c>
      <c r="P1108" s="238" t="s">
        <v>4325</v>
      </c>
      <c r="Q1108" s="1" t="s">
        <v>4213</v>
      </c>
      <c r="R1108" s="239" t="s">
        <v>4326</v>
      </c>
      <c r="S1108" s="238" t="s">
        <v>4327</v>
      </c>
      <c r="T1108" s="238" t="s">
        <v>1470</v>
      </c>
      <c r="U1108" s="238" t="s">
        <v>4217</v>
      </c>
      <c r="V1108" s="238" t="s">
        <v>4328</v>
      </c>
      <c r="W1108" s="236">
        <v>4217.3999999999996</v>
      </c>
      <c r="X1108" s="233">
        <v>41288</v>
      </c>
      <c r="Y1108" s="238" t="s">
        <v>5250</v>
      </c>
      <c r="AB1108" s="1" t="s">
        <v>4244</v>
      </c>
    </row>
    <row r="1109" spans="1:28" ht="11.25" customHeight="1">
      <c r="A1109" s="233">
        <v>41254</v>
      </c>
      <c r="B1109" s="228" t="s">
        <v>1488</v>
      </c>
      <c r="C1109" s="1" t="s">
        <v>4221</v>
      </c>
      <c r="D1109" s="5" t="s">
        <v>4329</v>
      </c>
      <c r="E1109" s="225">
        <v>6893</v>
      </c>
      <c r="F1109" s="1">
        <v>200</v>
      </c>
      <c r="G1109" s="1" t="s">
        <v>229</v>
      </c>
      <c r="H1109" s="234">
        <v>2.54</v>
      </c>
      <c r="I1109" s="235">
        <f t="shared" si="83"/>
        <v>508</v>
      </c>
      <c r="K1109" s="241">
        <f>2.28*F1109</f>
        <v>455.99999999999994</v>
      </c>
      <c r="L1109" s="237">
        <v>41248</v>
      </c>
      <c r="M1109" s="237" t="s">
        <v>4252</v>
      </c>
      <c r="N1109" s="235">
        <f t="shared" si="84"/>
        <v>508</v>
      </c>
      <c r="O1109" s="235">
        <f t="shared" si="82"/>
        <v>0</v>
      </c>
      <c r="P1109" s="238" t="s">
        <v>4325</v>
      </c>
      <c r="Q1109" s="1" t="s">
        <v>4213</v>
      </c>
      <c r="R1109" s="239" t="s">
        <v>4326</v>
      </c>
      <c r="S1109" s="238" t="s">
        <v>4327</v>
      </c>
      <c r="T1109" s="238" t="s">
        <v>1471</v>
      </c>
      <c r="U1109" s="238" t="s">
        <v>4217</v>
      </c>
      <c r="V1109" s="238" t="s">
        <v>4328</v>
      </c>
      <c r="W1109" s="236">
        <v>4217.3999999999996</v>
      </c>
      <c r="X1109" s="233">
        <v>41288</v>
      </c>
      <c r="Y1109" s="238" t="s">
        <v>5250</v>
      </c>
      <c r="AB1109" s="1" t="s">
        <v>4244</v>
      </c>
    </row>
    <row r="1110" spans="1:28" ht="11.25" customHeight="1">
      <c r="A1110" s="233">
        <v>41255</v>
      </c>
      <c r="B1110" s="1" t="s">
        <v>4220</v>
      </c>
      <c r="C1110" s="5" t="s">
        <v>4221</v>
      </c>
      <c r="D1110" s="5" t="s">
        <v>854</v>
      </c>
      <c r="E1110" s="1">
        <v>9032</v>
      </c>
      <c r="F1110" s="1">
        <v>500</v>
      </c>
      <c r="G1110" s="1" t="s">
        <v>4271</v>
      </c>
      <c r="H1110" s="234">
        <v>2.7</v>
      </c>
      <c r="I1110" s="235">
        <f t="shared" ref="I1110:I1142" si="85">F1110*H1110</f>
        <v>1350</v>
      </c>
      <c r="K1110" s="241">
        <f>1.4929*F1110</f>
        <v>746.44999999999993</v>
      </c>
      <c r="N1110" s="235">
        <v>0</v>
      </c>
      <c r="O1110" s="235">
        <f>I1110-N1110</f>
        <v>1350</v>
      </c>
      <c r="P1110" s="238" t="s">
        <v>4330</v>
      </c>
      <c r="Q1110" s="1" t="s">
        <v>4213</v>
      </c>
      <c r="R1110" s="239" t="s">
        <v>4214</v>
      </c>
      <c r="S1110" s="238" t="s">
        <v>4215</v>
      </c>
      <c r="T1110" s="238" t="s">
        <v>4216</v>
      </c>
      <c r="U1110" s="238" t="s">
        <v>4217</v>
      </c>
      <c r="V1110" s="238" t="s">
        <v>4218</v>
      </c>
      <c r="W1110" s="236">
        <v>68170</v>
      </c>
      <c r="X1110" s="233">
        <v>41257</v>
      </c>
      <c r="Y1110" s="238" t="s">
        <v>1555</v>
      </c>
      <c r="AB1110" s="1" t="s">
        <v>4219</v>
      </c>
    </row>
    <row r="1111" spans="1:28" ht="11.25" customHeight="1">
      <c r="A1111" s="233">
        <v>41255</v>
      </c>
      <c r="B1111" s="228" t="s">
        <v>4331</v>
      </c>
      <c r="C1111" s="5" t="s">
        <v>4332</v>
      </c>
      <c r="D1111" s="5" t="s">
        <v>4333</v>
      </c>
      <c r="E1111" s="1" t="s">
        <v>4334</v>
      </c>
      <c r="F1111" s="1">
        <v>1</v>
      </c>
      <c r="G1111" s="1" t="s">
        <v>4271</v>
      </c>
      <c r="H1111" s="234">
        <v>4100</v>
      </c>
      <c r="I1111" s="235">
        <f t="shared" si="85"/>
        <v>4100</v>
      </c>
      <c r="K1111" s="241">
        <f>3862*1</f>
        <v>3862</v>
      </c>
      <c r="L1111" s="237">
        <v>41255</v>
      </c>
      <c r="M1111" s="1" t="s">
        <v>4252</v>
      </c>
      <c r="N1111" s="235">
        <f t="shared" si="84"/>
        <v>4100</v>
      </c>
      <c r="O1111" s="235">
        <f t="shared" ref="O1111:O1174" si="86">I1111-N1111</f>
        <v>0</v>
      </c>
      <c r="P1111" s="238" t="s">
        <v>4217</v>
      </c>
      <c r="Q1111" s="1" t="s">
        <v>4335</v>
      </c>
      <c r="R1111" s="239" t="s">
        <v>4336</v>
      </c>
      <c r="S1111" s="238" t="s">
        <v>4337</v>
      </c>
      <c r="T1111" s="265" t="s">
        <v>1479</v>
      </c>
      <c r="U1111" s="238" t="s">
        <v>4217</v>
      </c>
      <c r="V1111" s="238" t="s">
        <v>4233</v>
      </c>
      <c r="AA1111" s="240" t="s">
        <v>4233</v>
      </c>
      <c r="AB1111" s="1" t="s">
        <v>4244</v>
      </c>
    </row>
    <row r="1112" spans="1:28" ht="11.25" customHeight="1">
      <c r="A1112" s="233">
        <v>41256</v>
      </c>
      <c r="B1112" s="1" t="s">
        <v>4338</v>
      </c>
      <c r="C1112" s="5" t="s">
        <v>4221</v>
      </c>
      <c r="D1112" s="5" t="s">
        <v>664</v>
      </c>
      <c r="E1112" s="1">
        <v>8246</v>
      </c>
      <c r="F1112" s="1">
        <v>300</v>
      </c>
      <c r="G1112" s="5" t="s">
        <v>5603</v>
      </c>
      <c r="H1112" s="234">
        <v>13.44</v>
      </c>
      <c r="I1112" s="235">
        <f t="shared" si="85"/>
        <v>4032</v>
      </c>
      <c r="K1112" s="241">
        <f>11.7*F1112</f>
        <v>3510</v>
      </c>
      <c r="L1112" s="237">
        <v>41264</v>
      </c>
      <c r="M1112" s="1" t="s">
        <v>4284</v>
      </c>
      <c r="N1112" s="235">
        <f t="shared" si="84"/>
        <v>4032</v>
      </c>
      <c r="O1112" s="235">
        <f t="shared" si="86"/>
        <v>0</v>
      </c>
      <c r="P1112" s="238" t="s">
        <v>4339</v>
      </c>
      <c r="Q1112" s="1" t="s">
        <v>4340</v>
      </c>
      <c r="R1112" s="239" t="s">
        <v>4341</v>
      </c>
      <c r="S1112" s="238" t="s">
        <v>4342</v>
      </c>
      <c r="T1112" s="238" t="s">
        <v>4343</v>
      </c>
      <c r="U1112" s="238" t="s">
        <v>4344</v>
      </c>
      <c r="V1112" s="238" t="s">
        <v>4345</v>
      </c>
      <c r="W1112" s="236">
        <v>6612</v>
      </c>
      <c r="X1112" s="233">
        <v>41256</v>
      </c>
      <c r="Y1112" s="238" t="s">
        <v>4344</v>
      </c>
      <c r="AB1112" s="1" t="s">
        <v>4244</v>
      </c>
    </row>
    <row r="1113" spans="1:28" ht="11.25" customHeight="1">
      <c r="A1113" s="233">
        <v>41256</v>
      </c>
      <c r="B1113" s="1" t="s">
        <v>4338</v>
      </c>
      <c r="C1113" s="5" t="s">
        <v>4221</v>
      </c>
      <c r="D1113" s="1" t="s">
        <v>1219</v>
      </c>
      <c r="E1113" s="1" t="s">
        <v>379</v>
      </c>
      <c r="F1113" s="1">
        <v>600</v>
      </c>
      <c r="G1113" s="5" t="s">
        <v>4271</v>
      </c>
      <c r="H1113" s="234">
        <v>4.3</v>
      </c>
      <c r="I1113" s="235">
        <f t="shared" si="85"/>
        <v>2580</v>
      </c>
      <c r="K1113" s="241">
        <f>3.6*F1113</f>
        <v>2160</v>
      </c>
      <c r="L1113" s="237">
        <v>41264</v>
      </c>
      <c r="M1113" s="1" t="s">
        <v>4284</v>
      </c>
      <c r="N1113" s="235">
        <f t="shared" si="84"/>
        <v>2580</v>
      </c>
      <c r="O1113" s="235">
        <f t="shared" si="86"/>
        <v>0</v>
      </c>
      <c r="P1113" s="238" t="s">
        <v>4339</v>
      </c>
      <c r="Q1113" s="1" t="s">
        <v>4340</v>
      </c>
      <c r="R1113" s="239" t="s">
        <v>4341</v>
      </c>
      <c r="S1113" s="238" t="s">
        <v>4342</v>
      </c>
      <c r="T1113" s="238" t="s">
        <v>4343</v>
      </c>
      <c r="U1113" s="238" t="s">
        <v>4344</v>
      </c>
      <c r="V1113" s="238" t="s">
        <v>4345</v>
      </c>
      <c r="W1113" s="236">
        <v>6612</v>
      </c>
      <c r="X1113" s="233">
        <v>41256</v>
      </c>
      <c r="Y1113" s="238" t="s">
        <v>4344</v>
      </c>
      <c r="AB1113" s="1" t="s">
        <v>4244</v>
      </c>
    </row>
    <row r="1114" spans="1:28" ht="11.25" customHeight="1">
      <c r="A1114" s="233">
        <v>41256</v>
      </c>
      <c r="B1114" s="1" t="s">
        <v>4346</v>
      </c>
      <c r="C1114" s="5" t="s">
        <v>4221</v>
      </c>
      <c r="D1114" s="1" t="s">
        <v>1763</v>
      </c>
      <c r="E1114" s="1">
        <v>9132</v>
      </c>
      <c r="F1114" s="1">
        <v>4800</v>
      </c>
      <c r="G1114" s="5" t="s">
        <v>4223</v>
      </c>
      <c r="H1114" s="234">
        <v>3.5</v>
      </c>
      <c r="I1114" s="235">
        <f t="shared" si="85"/>
        <v>16800</v>
      </c>
      <c r="K1114" s="241">
        <f>2100*2.64+600*2.92+2100*2.64</f>
        <v>12840</v>
      </c>
      <c r="L1114" s="237" t="s">
        <v>4347</v>
      </c>
      <c r="M1114" s="1" t="s">
        <v>4284</v>
      </c>
      <c r="N1114" s="235">
        <f t="shared" si="84"/>
        <v>16800</v>
      </c>
      <c r="O1114" s="235">
        <f t="shared" si="86"/>
        <v>0</v>
      </c>
      <c r="P1114" s="238" t="s">
        <v>4348</v>
      </c>
      <c r="Q1114" s="1" t="s">
        <v>4349</v>
      </c>
      <c r="R1114" s="239" t="s">
        <v>4350</v>
      </c>
      <c r="S1114" s="238" t="s">
        <v>4351</v>
      </c>
      <c r="T1114" s="238" t="s">
        <v>4352</v>
      </c>
      <c r="U1114" s="238" t="s">
        <v>4353</v>
      </c>
      <c r="V1114" s="238" t="s">
        <v>4243</v>
      </c>
      <c r="AB1114" s="1" t="s">
        <v>4244</v>
      </c>
    </row>
    <row r="1115" spans="1:28" ht="11.25" customHeight="1">
      <c r="A1115" s="233">
        <v>41256</v>
      </c>
      <c r="B1115" s="1" t="s">
        <v>4354</v>
      </c>
      <c r="C1115" s="1" t="s">
        <v>4221</v>
      </c>
      <c r="D1115" s="5" t="s">
        <v>4313</v>
      </c>
      <c r="E1115" s="5">
        <v>9032</v>
      </c>
      <c r="F1115" s="1">
        <v>500</v>
      </c>
      <c r="G1115" s="1" t="s">
        <v>4271</v>
      </c>
      <c r="H1115" s="234">
        <v>1.66</v>
      </c>
      <c r="I1115" s="235">
        <f t="shared" si="85"/>
        <v>830</v>
      </c>
      <c r="K1115" s="241">
        <f>1.4929*500</f>
        <v>746.44999999999993</v>
      </c>
      <c r="L1115" s="237">
        <v>41262</v>
      </c>
      <c r="M1115" s="1" t="s">
        <v>4252</v>
      </c>
      <c r="N1115" s="235">
        <f t="shared" si="84"/>
        <v>830</v>
      </c>
      <c r="O1115" s="235">
        <f t="shared" si="86"/>
        <v>0</v>
      </c>
      <c r="P1115" s="238" t="s">
        <v>4355</v>
      </c>
      <c r="Q1115" s="1" t="s">
        <v>4356</v>
      </c>
      <c r="R1115" s="10" t="s">
        <v>4357</v>
      </c>
      <c r="S1115" s="238">
        <v>13896055976</v>
      </c>
      <c r="T1115" s="238" t="s">
        <v>4358</v>
      </c>
      <c r="U1115" s="238" t="s">
        <v>4359</v>
      </c>
      <c r="V1115" s="238" t="s">
        <v>4360</v>
      </c>
      <c r="W1115" s="236">
        <v>3496.5</v>
      </c>
      <c r="X1115" s="233">
        <v>41261</v>
      </c>
      <c r="Y1115" s="238" t="s">
        <v>4361</v>
      </c>
      <c r="AA1115" s="140"/>
      <c r="AB1115" s="1" t="s">
        <v>4244</v>
      </c>
    </row>
    <row r="1116" spans="1:28" ht="11.25" customHeight="1">
      <c r="A1116" s="233">
        <v>41256</v>
      </c>
      <c r="B1116" s="1" t="s">
        <v>4354</v>
      </c>
      <c r="C1116" s="1" t="s">
        <v>4221</v>
      </c>
      <c r="D1116" s="5" t="s">
        <v>854</v>
      </c>
      <c r="E1116" s="5">
        <v>9031</v>
      </c>
      <c r="F1116" s="1">
        <v>500</v>
      </c>
      <c r="G1116" s="232" t="s">
        <v>4312</v>
      </c>
      <c r="H1116" s="234">
        <v>1.66</v>
      </c>
      <c r="I1116" s="235">
        <f t="shared" si="85"/>
        <v>830</v>
      </c>
      <c r="K1116" s="241">
        <f>1.4929*500</f>
        <v>746.44999999999993</v>
      </c>
      <c r="L1116" s="237">
        <v>41262</v>
      </c>
      <c r="M1116" s="1" t="s">
        <v>4252</v>
      </c>
      <c r="N1116" s="235">
        <f t="shared" si="84"/>
        <v>830</v>
      </c>
      <c r="O1116" s="235">
        <f t="shared" si="86"/>
        <v>0</v>
      </c>
      <c r="P1116" s="238" t="s">
        <v>4355</v>
      </c>
      <c r="Q1116" s="1" t="s">
        <v>4356</v>
      </c>
      <c r="R1116" s="10" t="s">
        <v>4357</v>
      </c>
      <c r="S1116" s="238">
        <v>13896055976</v>
      </c>
      <c r="T1116" s="238" t="s">
        <v>4358</v>
      </c>
      <c r="U1116" s="238" t="s">
        <v>4359</v>
      </c>
      <c r="V1116" s="238" t="s">
        <v>4360</v>
      </c>
      <c r="W1116" s="236">
        <v>3496.5</v>
      </c>
      <c r="X1116" s="233">
        <v>41261</v>
      </c>
      <c r="Y1116" s="238" t="s">
        <v>4361</v>
      </c>
      <c r="AA1116" s="140"/>
      <c r="AB1116" s="1" t="s">
        <v>4244</v>
      </c>
    </row>
    <row r="1117" spans="1:28" ht="11.25" customHeight="1">
      <c r="A1117" s="233">
        <v>41256</v>
      </c>
      <c r="B1117" s="1" t="s">
        <v>4354</v>
      </c>
      <c r="C1117" s="1" t="s">
        <v>4221</v>
      </c>
      <c r="D1117" s="5" t="s">
        <v>4301</v>
      </c>
      <c r="E1117" s="5" t="s">
        <v>4362</v>
      </c>
      <c r="F1117" s="1">
        <v>50</v>
      </c>
      <c r="G1117" s="1" t="s">
        <v>236</v>
      </c>
      <c r="H1117" s="234">
        <v>36.729999999999997</v>
      </c>
      <c r="I1117" s="235">
        <f t="shared" si="85"/>
        <v>1836.4999999999998</v>
      </c>
      <c r="K1117" s="241">
        <f>33.111*50</f>
        <v>1655.55</v>
      </c>
      <c r="L1117" s="237">
        <v>41262</v>
      </c>
      <c r="M1117" s="1" t="s">
        <v>4252</v>
      </c>
      <c r="N1117" s="235">
        <f t="shared" si="84"/>
        <v>1836.4999999999998</v>
      </c>
      <c r="O1117" s="235">
        <f t="shared" si="86"/>
        <v>0</v>
      </c>
      <c r="P1117" s="238" t="s">
        <v>4355</v>
      </c>
      <c r="Q1117" s="1" t="s">
        <v>4356</v>
      </c>
      <c r="R1117" s="10" t="s">
        <v>4357</v>
      </c>
      <c r="S1117" s="238">
        <v>13896055976</v>
      </c>
      <c r="T1117" s="238" t="s">
        <v>4358</v>
      </c>
      <c r="U1117" s="238" t="s">
        <v>4359</v>
      </c>
      <c r="V1117" s="238" t="s">
        <v>4360</v>
      </c>
      <c r="W1117" s="236">
        <v>3496.5</v>
      </c>
      <c r="X1117" s="233">
        <v>41261</v>
      </c>
      <c r="Y1117" s="238" t="s">
        <v>4361</v>
      </c>
      <c r="AA1117" s="140"/>
      <c r="AB1117" s="1" t="s">
        <v>4244</v>
      </c>
    </row>
    <row r="1118" spans="1:28" ht="11.25" customHeight="1">
      <c r="A1118" s="233">
        <v>41257</v>
      </c>
      <c r="B1118" s="1" t="s">
        <v>4363</v>
      </c>
      <c r="C1118" s="1" t="s">
        <v>4221</v>
      </c>
      <c r="D1118" s="5" t="s">
        <v>331</v>
      </c>
      <c r="E1118" s="5" t="s">
        <v>4364</v>
      </c>
      <c r="F1118" s="1">
        <v>10</v>
      </c>
      <c r="G1118" s="1" t="s">
        <v>4223</v>
      </c>
      <c r="H1118" s="234">
        <v>3.4</v>
      </c>
      <c r="I1118" s="235">
        <f t="shared" si="85"/>
        <v>34</v>
      </c>
      <c r="K1118" s="241">
        <f>2.25*F1118</f>
        <v>22.5</v>
      </c>
      <c r="L1118" s="237">
        <v>41257</v>
      </c>
      <c r="M1118" s="1" t="s">
        <v>4228</v>
      </c>
      <c r="N1118" s="235">
        <f t="shared" si="84"/>
        <v>34</v>
      </c>
      <c r="O1118" s="235">
        <f t="shared" si="86"/>
        <v>0</v>
      </c>
      <c r="P1118" s="238" t="s">
        <v>4365</v>
      </c>
      <c r="Q1118" s="1" t="s">
        <v>4213</v>
      </c>
      <c r="R1118" s="10" t="s">
        <v>4366</v>
      </c>
      <c r="S1118" s="238">
        <v>18996330888</v>
      </c>
      <c r="T1118" s="238" t="s">
        <v>4367</v>
      </c>
      <c r="U1118" s="238" t="s">
        <v>4217</v>
      </c>
      <c r="V1118" s="238" t="s">
        <v>4243</v>
      </c>
      <c r="AB1118" s="1" t="s">
        <v>4219</v>
      </c>
    </row>
    <row r="1119" spans="1:28" ht="11.25" customHeight="1">
      <c r="A1119" s="233">
        <v>41260</v>
      </c>
      <c r="B1119" s="1" t="s">
        <v>4368</v>
      </c>
      <c r="C1119" s="1" t="s">
        <v>4221</v>
      </c>
      <c r="D1119" s="5" t="s">
        <v>4301</v>
      </c>
      <c r="E1119" s="5" t="s">
        <v>4362</v>
      </c>
      <c r="F1119" s="1">
        <v>10</v>
      </c>
      <c r="G1119" s="1" t="s">
        <v>4369</v>
      </c>
      <c r="H1119" s="234">
        <v>35</v>
      </c>
      <c r="I1119" s="235">
        <f t="shared" si="85"/>
        <v>350</v>
      </c>
      <c r="K1119" s="241">
        <f>33.111*F1119</f>
        <v>331.10999999999996</v>
      </c>
      <c r="L1119" s="237">
        <v>41323</v>
      </c>
      <c r="M1119" s="1" t="s">
        <v>5052</v>
      </c>
      <c r="N1119" s="235">
        <f t="shared" si="84"/>
        <v>350</v>
      </c>
      <c r="O1119" s="235">
        <f t="shared" si="86"/>
        <v>0</v>
      </c>
      <c r="P1119" s="238" t="s">
        <v>4370</v>
      </c>
      <c r="Q1119" s="1" t="s">
        <v>4371</v>
      </c>
      <c r="R1119" s="10" t="s">
        <v>4372</v>
      </c>
      <c r="S1119" s="238">
        <v>18781834169</v>
      </c>
      <c r="T1119" s="238" t="s">
        <v>4373</v>
      </c>
      <c r="U1119" s="238" t="s">
        <v>4374</v>
      </c>
      <c r="AB1119" s="1" t="s">
        <v>4244</v>
      </c>
    </row>
    <row r="1120" spans="1:28" ht="11.25" customHeight="1">
      <c r="A1120" s="233">
        <v>41260</v>
      </c>
      <c r="B1120" s="1" t="s">
        <v>4234</v>
      </c>
      <c r="C1120" s="1" t="s">
        <v>4221</v>
      </c>
      <c r="D1120" s="1" t="s">
        <v>1711</v>
      </c>
      <c r="E1120" s="5">
        <v>8210</v>
      </c>
      <c r="F1120" s="1">
        <v>300</v>
      </c>
      <c r="G1120" s="1" t="s">
        <v>4271</v>
      </c>
      <c r="H1120" s="234">
        <v>4.18</v>
      </c>
      <c r="I1120" s="235">
        <f t="shared" si="85"/>
        <v>1254</v>
      </c>
      <c r="K1120" s="241">
        <f>3.63*F1120</f>
        <v>1089</v>
      </c>
      <c r="L1120" s="237">
        <v>41338</v>
      </c>
      <c r="M1120" s="1" t="s">
        <v>165</v>
      </c>
      <c r="N1120" s="235">
        <f t="shared" si="84"/>
        <v>1254</v>
      </c>
      <c r="O1120" s="235">
        <f t="shared" si="86"/>
        <v>0</v>
      </c>
      <c r="P1120" s="238" t="s">
        <v>4375</v>
      </c>
      <c r="Q1120" s="1" t="s">
        <v>4376</v>
      </c>
      <c r="R1120" s="239" t="s">
        <v>4239</v>
      </c>
      <c r="S1120" s="238" t="s">
        <v>4240</v>
      </c>
      <c r="T1120" s="238" t="s">
        <v>4241</v>
      </c>
      <c r="U1120" s="238" t="s">
        <v>4377</v>
      </c>
      <c r="V1120" s="238" t="s">
        <v>4243</v>
      </c>
      <c r="AB1120" s="1" t="s">
        <v>4244</v>
      </c>
    </row>
    <row r="1121" spans="1:28" ht="11.25" customHeight="1">
      <c r="A1121" s="233">
        <v>41260</v>
      </c>
      <c r="B1121" s="1" t="s">
        <v>4234</v>
      </c>
      <c r="C1121" s="1" t="s">
        <v>4221</v>
      </c>
      <c r="D1121" s="5" t="s">
        <v>2012</v>
      </c>
      <c r="E1121" s="5" t="s">
        <v>4295</v>
      </c>
      <c r="F1121" s="1">
        <v>1500</v>
      </c>
      <c r="G1121" s="1" t="s">
        <v>4970</v>
      </c>
      <c r="H1121" s="234">
        <v>1.59</v>
      </c>
      <c r="I1121" s="235">
        <f t="shared" si="85"/>
        <v>2385</v>
      </c>
      <c r="K1121" s="241">
        <f>1.4*F1121</f>
        <v>2100</v>
      </c>
      <c r="L1121" s="237">
        <v>41338</v>
      </c>
      <c r="M1121" s="1" t="s">
        <v>165</v>
      </c>
      <c r="N1121" s="235">
        <f t="shared" si="84"/>
        <v>2385</v>
      </c>
      <c r="O1121" s="235">
        <f t="shared" si="86"/>
        <v>0</v>
      </c>
      <c r="P1121" s="238" t="s">
        <v>4375</v>
      </c>
      <c r="Q1121" s="1" t="s">
        <v>4376</v>
      </c>
      <c r="R1121" s="239" t="s">
        <v>4239</v>
      </c>
      <c r="S1121" s="238" t="s">
        <v>4240</v>
      </c>
      <c r="T1121" s="238" t="s">
        <v>4241</v>
      </c>
      <c r="U1121" s="238" t="s">
        <v>4377</v>
      </c>
      <c r="V1121" s="238" t="s">
        <v>4243</v>
      </c>
      <c r="AB1121" s="1" t="s">
        <v>4244</v>
      </c>
    </row>
    <row r="1122" spans="1:28" ht="11.25" customHeight="1">
      <c r="A1122" s="233">
        <v>41260</v>
      </c>
      <c r="B1122" s="1" t="s">
        <v>4234</v>
      </c>
      <c r="C1122" s="1" t="s">
        <v>4221</v>
      </c>
      <c r="D1122" s="5" t="s">
        <v>232</v>
      </c>
      <c r="E1122" s="5" t="s">
        <v>4378</v>
      </c>
      <c r="F1122" s="1">
        <v>100</v>
      </c>
      <c r="G1122" s="1" t="s">
        <v>4223</v>
      </c>
      <c r="H1122" s="234">
        <v>1.85</v>
      </c>
      <c r="I1122" s="235">
        <f t="shared" si="85"/>
        <v>185</v>
      </c>
      <c r="K1122" s="241">
        <f>1.7*F1122</f>
        <v>170</v>
      </c>
      <c r="L1122" s="237">
        <v>41338</v>
      </c>
      <c r="M1122" s="1" t="s">
        <v>165</v>
      </c>
      <c r="N1122" s="235">
        <f t="shared" si="84"/>
        <v>185</v>
      </c>
      <c r="O1122" s="235">
        <f t="shared" si="86"/>
        <v>0</v>
      </c>
      <c r="P1122" s="238" t="s">
        <v>4375</v>
      </c>
      <c r="Q1122" s="1" t="s">
        <v>4376</v>
      </c>
      <c r="R1122" s="239" t="s">
        <v>4239</v>
      </c>
      <c r="S1122" s="238" t="s">
        <v>4240</v>
      </c>
      <c r="T1122" s="238" t="s">
        <v>4241</v>
      </c>
      <c r="U1122" s="238" t="s">
        <v>4377</v>
      </c>
      <c r="V1122" s="238" t="s">
        <v>4243</v>
      </c>
      <c r="AB1122" s="1" t="s">
        <v>4244</v>
      </c>
    </row>
    <row r="1123" spans="1:28" ht="11.25" customHeight="1">
      <c r="A1123" s="233">
        <v>41260</v>
      </c>
      <c r="B1123" s="1" t="s">
        <v>4379</v>
      </c>
      <c r="C1123" s="1" t="s">
        <v>4221</v>
      </c>
      <c r="D1123" s="5" t="s">
        <v>4380</v>
      </c>
      <c r="E1123" s="5">
        <v>1110</v>
      </c>
      <c r="F1123" s="1">
        <v>100</v>
      </c>
      <c r="G1123" s="1" t="s">
        <v>4236</v>
      </c>
      <c r="H1123" s="234">
        <v>0.86</v>
      </c>
      <c r="I1123" s="235">
        <f t="shared" si="85"/>
        <v>86</v>
      </c>
      <c r="K1123" s="241">
        <f>0.77*F1123</f>
        <v>77</v>
      </c>
      <c r="L1123" s="237">
        <v>41281</v>
      </c>
      <c r="M1123" s="1" t="s">
        <v>4252</v>
      </c>
      <c r="N1123" s="235">
        <f t="shared" si="84"/>
        <v>86</v>
      </c>
      <c r="O1123" s="235">
        <f t="shared" si="86"/>
        <v>0</v>
      </c>
      <c r="P1123" s="238" t="s">
        <v>4381</v>
      </c>
      <c r="Q1123" s="1" t="s">
        <v>4382</v>
      </c>
      <c r="R1123" s="239" t="s">
        <v>4383</v>
      </c>
      <c r="S1123" s="238">
        <v>13368068212</v>
      </c>
      <c r="T1123" s="238" t="s">
        <v>4217</v>
      </c>
      <c r="U1123" s="238" t="s">
        <v>4217</v>
      </c>
      <c r="V1123" s="238" t="s">
        <v>4384</v>
      </c>
      <c r="W1123" s="236">
        <v>11117.3</v>
      </c>
      <c r="X1123" s="233">
        <v>41268</v>
      </c>
      <c r="Y1123" s="238" t="s">
        <v>4385</v>
      </c>
      <c r="AB1123" s="1" t="s">
        <v>4244</v>
      </c>
    </row>
    <row r="1124" spans="1:28" ht="11.25" customHeight="1">
      <c r="A1124" s="233">
        <v>41260</v>
      </c>
      <c r="B1124" s="1" t="s">
        <v>4386</v>
      </c>
      <c r="C1124" s="1" t="s">
        <v>4221</v>
      </c>
      <c r="D1124" s="1" t="s">
        <v>1210</v>
      </c>
      <c r="E1124" s="1">
        <v>3200</v>
      </c>
      <c r="F1124" s="1">
        <v>200</v>
      </c>
      <c r="G1124" s="1" t="s">
        <v>4271</v>
      </c>
      <c r="H1124" s="234">
        <v>23.5</v>
      </c>
      <c r="I1124" s="235">
        <f t="shared" si="85"/>
        <v>4700</v>
      </c>
      <c r="K1124" s="241">
        <f>20.89*F1124</f>
        <v>4178</v>
      </c>
      <c r="L1124" s="237">
        <v>41295</v>
      </c>
      <c r="M1124" s="1" t="s">
        <v>166</v>
      </c>
      <c r="N1124" s="235">
        <f t="shared" si="84"/>
        <v>4700</v>
      </c>
      <c r="O1124" s="235">
        <f t="shared" si="86"/>
        <v>0</v>
      </c>
      <c r="P1124" s="238" t="s">
        <v>4387</v>
      </c>
      <c r="Q1124" s="1" t="s">
        <v>4297</v>
      </c>
      <c r="R1124" s="239" t="s">
        <v>4388</v>
      </c>
      <c r="S1124" s="238" t="s">
        <v>4389</v>
      </c>
      <c r="T1124" s="238" t="s">
        <v>4390</v>
      </c>
      <c r="U1124" s="238" t="s">
        <v>4217</v>
      </c>
      <c r="V1124" s="238" t="s">
        <v>4391</v>
      </c>
      <c r="W1124" s="236">
        <v>5700</v>
      </c>
      <c r="X1124" s="233">
        <v>41260</v>
      </c>
      <c r="Y1124" s="238" t="s">
        <v>4217</v>
      </c>
      <c r="AB1124" s="1" t="s">
        <v>4244</v>
      </c>
    </row>
    <row r="1125" spans="1:28" ht="14.25" customHeight="1">
      <c r="A1125" s="233">
        <v>41260</v>
      </c>
      <c r="B1125" s="1" t="s">
        <v>4386</v>
      </c>
      <c r="C1125" s="1" t="s">
        <v>4221</v>
      </c>
      <c r="D1125" s="5" t="s">
        <v>4392</v>
      </c>
      <c r="E1125" s="1">
        <v>3700</v>
      </c>
      <c r="F1125" s="1">
        <v>200</v>
      </c>
      <c r="G1125" s="1" t="s">
        <v>229</v>
      </c>
      <c r="H1125" s="234">
        <v>5</v>
      </c>
      <c r="I1125" s="235">
        <f t="shared" si="85"/>
        <v>1000</v>
      </c>
      <c r="K1125" s="241">
        <f>2.865*F1125</f>
        <v>573</v>
      </c>
      <c r="L1125" s="237">
        <v>41295</v>
      </c>
      <c r="M1125" s="1" t="s">
        <v>166</v>
      </c>
      <c r="N1125" s="235">
        <f t="shared" si="84"/>
        <v>1000</v>
      </c>
      <c r="O1125" s="235">
        <f t="shared" si="86"/>
        <v>0</v>
      </c>
      <c r="P1125" s="238" t="s">
        <v>4387</v>
      </c>
      <c r="Q1125" s="1" t="s">
        <v>4297</v>
      </c>
      <c r="R1125" s="239" t="s">
        <v>4388</v>
      </c>
      <c r="S1125" s="238" t="s">
        <v>4389</v>
      </c>
      <c r="T1125" s="238" t="s">
        <v>4390</v>
      </c>
      <c r="U1125" s="238" t="s">
        <v>4217</v>
      </c>
      <c r="V1125" s="238" t="s">
        <v>4391</v>
      </c>
      <c r="W1125" s="236">
        <v>5700</v>
      </c>
      <c r="X1125" s="233">
        <v>41260</v>
      </c>
      <c r="Y1125" s="238" t="s">
        <v>4217</v>
      </c>
      <c r="AB1125" s="1" t="s">
        <v>4244</v>
      </c>
    </row>
    <row r="1126" spans="1:28" ht="11.25" customHeight="1">
      <c r="A1126" s="233">
        <v>41261</v>
      </c>
      <c r="B1126" s="1" t="s">
        <v>480</v>
      </c>
      <c r="C1126" s="1" t="s">
        <v>4221</v>
      </c>
      <c r="D1126" s="5" t="s">
        <v>4313</v>
      </c>
      <c r="E1126" s="1">
        <v>9032</v>
      </c>
      <c r="F1126" s="1">
        <v>200</v>
      </c>
      <c r="G1126" s="1" t="s">
        <v>4271</v>
      </c>
      <c r="H1126" s="234">
        <v>2.2999999999999998</v>
      </c>
      <c r="I1126" s="236">
        <f>H1126*F1126</f>
        <v>459.99999999999994</v>
      </c>
      <c r="K1126" s="241">
        <f>1.4929*F1126</f>
        <v>298.58</v>
      </c>
      <c r="L1126" s="237">
        <v>41261</v>
      </c>
      <c r="M1126" s="1" t="s">
        <v>4228</v>
      </c>
      <c r="N1126" s="235">
        <f t="shared" si="84"/>
        <v>459.99999999999994</v>
      </c>
      <c r="O1126" s="235">
        <f t="shared" si="86"/>
        <v>0</v>
      </c>
      <c r="P1126" s="238" t="s">
        <v>4393</v>
      </c>
      <c r="Q1126" s="1" t="s">
        <v>391</v>
      </c>
      <c r="R1126" s="239" t="s">
        <v>4394</v>
      </c>
      <c r="S1126" s="238" t="s">
        <v>4395</v>
      </c>
      <c r="V1126" s="238" t="s">
        <v>254</v>
      </c>
      <c r="AB1126" s="1" t="s">
        <v>382</v>
      </c>
    </row>
    <row r="1127" spans="1:28" ht="11.25" customHeight="1">
      <c r="A1127" s="233">
        <v>41261</v>
      </c>
      <c r="B1127" s="1" t="s">
        <v>2123</v>
      </c>
      <c r="C1127" s="1" t="s">
        <v>2071</v>
      </c>
      <c r="D1127" s="5" t="s">
        <v>2104</v>
      </c>
      <c r="E1127" s="1">
        <v>6200</v>
      </c>
      <c r="F1127" s="1">
        <v>6</v>
      </c>
      <c r="G1127" s="1" t="s">
        <v>2099</v>
      </c>
      <c r="H1127" s="234">
        <v>59</v>
      </c>
      <c r="I1127" s="235">
        <f>H1127*F1127</f>
        <v>354</v>
      </c>
      <c r="K1127" s="241">
        <f>42.7*F1127</f>
        <v>256.20000000000005</v>
      </c>
      <c r="L1127" s="237">
        <v>41261</v>
      </c>
      <c r="M1127" s="1" t="s">
        <v>2357</v>
      </c>
      <c r="N1127" s="235">
        <f t="shared" si="84"/>
        <v>354</v>
      </c>
      <c r="O1127" s="235">
        <f t="shared" si="86"/>
        <v>0</v>
      </c>
      <c r="P1127" s="238" t="s">
        <v>4396</v>
      </c>
      <c r="Q1127" s="1" t="s">
        <v>391</v>
      </c>
      <c r="R1127" s="239" t="s">
        <v>2122</v>
      </c>
      <c r="S1127" s="238" t="s">
        <v>4397</v>
      </c>
      <c r="T1127" s="238" t="s">
        <v>4398</v>
      </c>
      <c r="V1127" s="238" t="s">
        <v>2159</v>
      </c>
      <c r="AB1127" s="1" t="s">
        <v>2195</v>
      </c>
    </row>
    <row r="1128" spans="1:28" ht="11.25" customHeight="1">
      <c r="A1128" s="233">
        <v>41261</v>
      </c>
      <c r="B1128" s="1" t="s">
        <v>2123</v>
      </c>
      <c r="C1128" s="1" t="s">
        <v>2071</v>
      </c>
      <c r="D1128" s="5" t="s">
        <v>353</v>
      </c>
      <c r="E1128" s="1" t="s">
        <v>2072</v>
      </c>
      <c r="F1128" s="1">
        <v>12</v>
      </c>
      <c r="G1128" s="1" t="s">
        <v>2099</v>
      </c>
      <c r="H1128" s="234">
        <v>22</v>
      </c>
      <c r="I1128" s="235">
        <f>H1128*F1128</f>
        <v>264</v>
      </c>
      <c r="K1128" s="241">
        <f>16.5*12</f>
        <v>198</v>
      </c>
      <c r="L1128" s="237">
        <v>41261</v>
      </c>
      <c r="M1128" s="1" t="s">
        <v>2357</v>
      </c>
      <c r="N1128" s="235">
        <f t="shared" si="84"/>
        <v>264</v>
      </c>
      <c r="O1128" s="235">
        <f t="shared" si="86"/>
        <v>0</v>
      </c>
      <c r="P1128" s="238" t="s">
        <v>4396</v>
      </c>
      <c r="Q1128" s="1" t="s">
        <v>391</v>
      </c>
      <c r="R1128" s="239" t="s">
        <v>2122</v>
      </c>
      <c r="S1128" s="238" t="s">
        <v>4397</v>
      </c>
      <c r="T1128" s="238" t="s">
        <v>4398</v>
      </c>
      <c r="V1128" s="238" t="s">
        <v>2159</v>
      </c>
      <c r="AB1128" s="1" t="s">
        <v>2195</v>
      </c>
    </row>
    <row r="1129" spans="1:28" ht="11.25" customHeight="1">
      <c r="A1129" s="233">
        <v>41261</v>
      </c>
      <c r="B1129" s="1" t="s">
        <v>2123</v>
      </c>
      <c r="C1129" s="1" t="s">
        <v>2071</v>
      </c>
      <c r="D1129" s="5" t="s">
        <v>2219</v>
      </c>
      <c r="E1129" s="1" t="s">
        <v>2076</v>
      </c>
      <c r="F1129" s="1">
        <v>12</v>
      </c>
      <c r="G1129" s="1" t="s">
        <v>231</v>
      </c>
      <c r="H1129" s="234">
        <v>7</v>
      </c>
      <c r="I1129" s="235">
        <f>H1129*F1129</f>
        <v>84</v>
      </c>
      <c r="K1129" s="241">
        <f>4.78*12</f>
        <v>57.36</v>
      </c>
      <c r="L1129" s="237">
        <v>41261</v>
      </c>
      <c r="M1129" s="1" t="s">
        <v>2357</v>
      </c>
      <c r="N1129" s="235">
        <f t="shared" si="84"/>
        <v>84</v>
      </c>
      <c r="O1129" s="235">
        <f t="shared" si="86"/>
        <v>0</v>
      </c>
      <c r="P1129" s="238" t="s">
        <v>4396</v>
      </c>
      <c r="Q1129" s="1" t="s">
        <v>391</v>
      </c>
      <c r="R1129" s="239" t="s">
        <v>2122</v>
      </c>
      <c r="S1129" s="238" t="s">
        <v>4397</v>
      </c>
      <c r="T1129" s="238" t="s">
        <v>4398</v>
      </c>
      <c r="V1129" s="238" t="s">
        <v>2159</v>
      </c>
      <c r="AB1129" s="1" t="s">
        <v>2195</v>
      </c>
    </row>
    <row r="1130" spans="1:28" ht="11.25" customHeight="1">
      <c r="A1130" s="233">
        <v>41261</v>
      </c>
      <c r="B1130" s="1" t="s">
        <v>2123</v>
      </c>
      <c r="C1130" s="1" t="s">
        <v>2071</v>
      </c>
      <c r="D1130" s="5" t="s">
        <v>263</v>
      </c>
      <c r="E1130" s="1">
        <v>501</v>
      </c>
      <c r="F1130" s="1">
        <v>12</v>
      </c>
      <c r="G1130" s="1" t="s">
        <v>2086</v>
      </c>
      <c r="H1130" s="234">
        <v>1.5</v>
      </c>
      <c r="I1130" s="235">
        <f>H1130*F1130</f>
        <v>18</v>
      </c>
      <c r="K1130" s="241">
        <f>1.39*12</f>
        <v>16.68</v>
      </c>
      <c r="L1130" s="237">
        <v>41261</v>
      </c>
      <c r="M1130" s="1" t="s">
        <v>2390</v>
      </c>
      <c r="N1130" s="235">
        <f t="shared" si="84"/>
        <v>18</v>
      </c>
      <c r="O1130" s="235">
        <f t="shared" si="86"/>
        <v>0</v>
      </c>
      <c r="P1130" s="238" t="s">
        <v>4399</v>
      </c>
      <c r="Q1130" s="1" t="s">
        <v>391</v>
      </c>
      <c r="R1130" s="239" t="s">
        <v>2121</v>
      </c>
      <c r="S1130" s="238" t="s">
        <v>2656</v>
      </c>
      <c r="T1130" s="238" t="s">
        <v>2657</v>
      </c>
      <c r="V1130" s="238" t="s">
        <v>2488</v>
      </c>
      <c r="AB1130" s="1" t="s">
        <v>2527</v>
      </c>
    </row>
    <row r="1131" spans="1:28" ht="11.25" customHeight="1">
      <c r="A1131" s="233">
        <v>41261</v>
      </c>
      <c r="B1131" s="1" t="s">
        <v>4111</v>
      </c>
      <c r="C1131" s="1" t="s">
        <v>2080</v>
      </c>
      <c r="D1131" s="1" t="s">
        <v>1210</v>
      </c>
      <c r="E1131" s="1">
        <v>3200</v>
      </c>
      <c r="F1131" s="1">
        <v>50</v>
      </c>
      <c r="G1131" s="1" t="s">
        <v>2086</v>
      </c>
      <c r="H1131" s="234">
        <v>28.2</v>
      </c>
      <c r="I1131" s="235">
        <f>F1131*H1131</f>
        <v>1410</v>
      </c>
      <c r="K1131" s="241">
        <f>23.94*50</f>
        <v>1197</v>
      </c>
      <c r="L1131" s="237">
        <v>41261</v>
      </c>
      <c r="M1131" s="1" t="s">
        <v>2390</v>
      </c>
      <c r="N1131" s="235">
        <f t="shared" si="84"/>
        <v>1410</v>
      </c>
      <c r="O1131" s="235">
        <f t="shared" si="86"/>
        <v>0</v>
      </c>
      <c r="P1131" s="238" t="s">
        <v>4400</v>
      </c>
      <c r="Q1131" s="1" t="s">
        <v>2505</v>
      </c>
      <c r="R1131" s="239" t="s">
        <v>4113</v>
      </c>
      <c r="S1131" s="238" t="s">
        <v>4114</v>
      </c>
      <c r="T1131" s="238" t="s">
        <v>4115</v>
      </c>
      <c r="V1131" s="238" t="s">
        <v>4401</v>
      </c>
      <c r="W1131" s="236">
        <v>1772</v>
      </c>
      <c r="X1131" s="233">
        <v>41261</v>
      </c>
      <c r="Y1131" s="238" t="s">
        <v>3951</v>
      </c>
      <c r="AB1131" s="1" t="s">
        <v>2527</v>
      </c>
    </row>
    <row r="1132" spans="1:28" ht="11.25" customHeight="1">
      <c r="A1132" s="233">
        <v>41261</v>
      </c>
      <c r="B1132" s="1" t="s">
        <v>4111</v>
      </c>
      <c r="C1132" s="1" t="s">
        <v>2080</v>
      </c>
      <c r="D1132" s="5" t="s">
        <v>346</v>
      </c>
      <c r="E1132" s="1">
        <v>3700</v>
      </c>
      <c r="F1132" s="1">
        <v>50</v>
      </c>
      <c r="G1132" s="1" t="s">
        <v>229</v>
      </c>
      <c r="H1132" s="234">
        <v>3.56</v>
      </c>
      <c r="I1132" s="235">
        <f>F1132*H1132</f>
        <v>178</v>
      </c>
      <c r="K1132" s="241">
        <f>3.09*50</f>
        <v>154.5</v>
      </c>
      <c r="L1132" s="237">
        <v>41261</v>
      </c>
      <c r="M1132" s="1" t="s">
        <v>2390</v>
      </c>
      <c r="N1132" s="235">
        <f t="shared" si="84"/>
        <v>178</v>
      </c>
      <c r="O1132" s="235">
        <f t="shared" si="86"/>
        <v>0</v>
      </c>
      <c r="P1132" s="238" t="s">
        <v>4400</v>
      </c>
      <c r="Q1132" s="1" t="s">
        <v>2505</v>
      </c>
      <c r="R1132" s="239" t="s">
        <v>4113</v>
      </c>
      <c r="S1132" s="238" t="s">
        <v>4114</v>
      </c>
      <c r="T1132" s="238" t="s">
        <v>4115</v>
      </c>
      <c r="V1132" s="238" t="s">
        <v>4401</v>
      </c>
      <c r="W1132" s="236">
        <v>1772</v>
      </c>
      <c r="X1132" s="233">
        <v>41261</v>
      </c>
      <c r="Y1132" s="238" t="s">
        <v>3951</v>
      </c>
      <c r="AB1132" s="1" t="s">
        <v>2527</v>
      </c>
    </row>
    <row r="1133" spans="1:28" ht="11.25" customHeight="1">
      <c r="A1133" s="233">
        <v>41261</v>
      </c>
      <c r="B1133" s="1" t="s">
        <v>4111</v>
      </c>
      <c r="C1133" s="1" t="s">
        <v>2080</v>
      </c>
      <c r="D1133" s="5" t="s">
        <v>1874</v>
      </c>
      <c r="E1133" s="1" t="s">
        <v>2615</v>
      </c>
      <c r="F1133" s="1">
        <v>100</v>
      </c>
      <c r="G1133" s="1" t="s">
        <v>2490</v>
      </c>
      <c r="H1133" s="234">
        <v>1.84</v>
      </c>
      <c r="I1133" s="235">
        <f>F1133*H1133</f>
        <v>184</v>
      </c>
      <c r="K1133" s="241">
        <f>1.54*100</f>
        <v>154</v>
      </c>
      <c r="L1133" s="237">
        <v>41261</v>
      </c>
      <c r="M1133" s="1" t="s">
        <v>2390</v>
      </c>
      <c r="N1133" s="235">
        <f t="shared" si="84"/>
        <v>184</v>
      </c>
      <c r="O1133" s="235">
        <f t="shared" si="86"/>
        <v>0</v>
      </c>
      <c r="P1133" s="238" t="s">
        <v>4400</v>
      </c>
      <c r="Q1133" s="1" t="s">
        <v>2505</v>
      </c>
      <c r="R1133" s="239" t="s">
        <v>4113</v>
      </c>
      <c r="S1133" s="238" t="s">
        <v>4114</v>
      </c>
      <c r="T1133" s="238" t="s">
        <v>4115</v>
      </c>
      <c r="V1133" s="238" t="s">
        <v>4401</v>
      </c>
      <c r="W1133" s="236">
        <v>1772</v>
      </c>
      <c r="X1133" s="233">
        <v>41261</v>
      </c>
      <c r="Y1133" s="238" t="s">
        <v>3951</v>
      </c>
      <c r="AB1133" s="1" t="s">
        <v>2527</v>
      </c>
    </row>
    <row r="1134" spans="1:28" ht="11.25" customHeight="1">
      <c r="A1134" s="233">
        <v>41261</v>
      </c>
      <c r="B1134" s="1" t="s">
        <v>4111</v>
      </c>
      <c r="C1134" s="1" t="s">
        <v>2080</v>
      </c>
      <c r="D1134" s="5" t="s">
        <v>1893</v>
      </c>
      <c r="E1134" s="1">
        <v>9031</v>
      </c>
      <c r="F1134" s="1">
        <v>200</v>
      </c>
      <c r="G1134" s="232" t="s">
        <v>3108</v>
      </c>
      <c r="H1134" s="234">
        <v>1.65</v>
      </c>
      <c r="I1134" s="235">
        <f>F1134*H1134</f>
        <v>330</v>
      </c>
      <c r="K1134" s="241">
        <f>1.4929*F1134</f>
        <v>298.58</v>
      </c>
      <c r="L1134" s="237">
        <v>41262</v>
      </c>
      <c r="M1134" s="1" t="s">
        <v>2390</v>
      </c>
      <c r="N1134" s="235">
        <f t="shared" si="84"/>
        <v>330</v>
      </c>
      <c r="O1134" s="235">
        <f t="shared" si="86"/>
        <v>0</v>
      </c>
      <c r="P1134" s="238" t="s">
        <v>4402</v>
      </c>
      <c r="Q1134" s="1" t="s">
        <v>2505</v>
      </c>
      <c r="R1134" s="239" t="s">
        <v>4113</v>
      </c>
      <c r="S1134" s="238" t="s">
        <v>4114</v>
      </c>
      <c r="T1134" s="238" t="s">
        <v>4115</v>
      </c>
      <c r="V1134" s="238" t="s">
        <v>2488</v>
      </c>
      <c r="AB1134" s="1" t="s">
        <v>2527</v>
      </c>
    </row>
    <row r="1135" spans="1:28" ht="11.25" customHeight="1">
      <c r="A1135" s="233">
        <v>41262</v>
      </c>
      <c r="B1135" s="1" t="s">
        <v>3770</v>
      </c>
      <c r="C1135" s="1" t="s">
        <v>2080</v>
      </c>
      <c r="D1135" s="5" t="s">
        <v>2014</v>
      </c>
      <c r="E1135" s="1">
        <v>7502</v>
      </c>
      <c r="F1135" s="1">
        <v>10</v>
      </c>
      <c r="G1135" s="1" t="s">
        <v>2086</v>
      </c>
      <c r="H1135" s="234">
        <v>135</v>
      </c>
      <c r="I1135" s="235">
        <f t="shared" si="85"/>
        <v>1350</v>
      </c>
      <c r="K1135" s="241">
        <f>112*10</f>
        <v>1120</v>
      </c>
      <c r="L1135" s="237">
        <v>41260</v>
      </c>
      <c r="M1135" s="1" t="s">
        <v>2077</v>
      </c>
      <c r="N1135" s="235">
        <f t="shared" si="84"/>
        <v>1350</v>
      </c>
      <c r="O1135" s="235">
        <f t="shared" si="86"/>
        <v>0</v>
      </c>
      <c r="P1135" s="238" t="s">
        <v>4403</v>
      </c>
      <c r="Q1135" s="1" t="s">
        <v>2212</v>
      </c>
      <c r="R1135" s="1" t="s">
        <v>3772</v>
      </c>
      <c r="S1135" s="238" t="s">
        <v>3773</v>
      </c>
      <c r="T1135" s="238" t="s">
        <v>4404</v>
      </c>
      <c r="U1135" s="238" t="s">
        <v>2082</v>
      </c>
      <c r="V1135" s="238" t="s">
        <v>4080</v>
      </c>
      <c r="W1135" s="236">
        <v>5069.0200000000004</v>
      </c>
      <c r="X1135" s="233">
        <v>41263</v>
      </c>
      <c r="Y1135" s="238" t="s">
        <v>4081</v>
      </c>
      <c r="AB1135" s="1" t="s">
        <v>2527</v>
      </c>
    </row>
    <row r="1136" spans="1:28" ht="11.25" customHeight="1">
      <c r="A1136" s="233">
        <v>41262</v>
      </c>
      <c r="B1136" s="1" t="s">
        <v>3770</v>
      </c>
      <c r="C1136" s="1" t="s">
        <v>2080</v>
      </c>
      <c r="D1136" s="5" t="s">
        <v>2015</v>
      </c>
      <c r="E1136" s="1">
        <v>7501</v>
      </c>
      <c r="F1136" s="1">
        <v>10</v>
      </c>
      <c r="G1136" s="1" t="s">
        <v>2086</v>
      </c>
      <c r="H1136" s="234">
        <v>120</v>
      </c>
      <c r="I1136" s="235">
        <f t="shared" si="85"/>
        <v>1200</v>
      </c>
      <c r="K1136" s="241">
        <f>105*10</f>
        <v>1050</v>
      </c>
      <c r="L1136" s="237">
        <v>41260</v>
      </c>
      <c r="M1136" s="1" t="s">
        <v>2077</v>
      </c>
      <c r="N1136" s="235">
        <f t="shared" si="84"/>
        <v>1200</v>
      </c>
      <c r="O1136" s="235">
        <f t="shared" si="86"/>
        <v>0</v>
      </c>
      <c r="P1136" s="238" t="s">
        <v>4403</v>
      </c>
      <c r="Q1136" s="1" t="s">
        <v>2212</v>
      </c>
      <c r="R1136" s="1" t="s">
        <v>3772</v>
      </c>
      <c r="S1136" s="238" t="s">
        <v>3773</v>
      </c>
      <c r="T1136" s="238" t="s">
        <v>4404</v>
      </c>
      <c r="U1136" s="238" t="s">
        <v>2082</v>
      </c>
      <c r="V1136" s="238" t="s">
        <v>4080</v>
      </c>
      <c r="W1136" s="236">
        <v>5069.0200000000004</v>
      </c>
      <c r="X1136" s="233">
        <v>41263</v>
      </c>
      <c r="Y1136" s="238" t="s">
        <v>4081</v>
      </c>
      <c r="AB1136" s="1" t="s">
        <v>2527</v>
      </c>
    </row>
    <row r="1137" spans="1:28" ht="11.25" customHeight="1">
      <c r="A1137" s="233">
        <v>41262</v>
      </c>
      <c r="B1137" s="1" t="s">
        <v>3770</v>
      </c>
      <c r="C1137" s="1" t="s">
        <v>2080</v>
      </c>
      <c r="D1137" s="5" t="s">
        <v>1867</v>
      </c>
      <c r="E1137" s="1">
        <v>6006</v>
      </c>
      <c r="F1137" s="1">
        <v>20</v>
      </c>
      <c r="G1137" s="1" t="s">
        <v>2086</v>
      </c>
      <c r="H1137" s="234">
        <v>51.5</v>
      </c>
      <c r="I1137" s="235">
        <f t="shared" si="85"/>
        <v>1030</v>
      </c>
      <c r="K1137" s="241">
        <f>49.5*20</f>
        <v>990</v>
      </c>
      <c r="L1137" s="237">
        <v>41260</v>
      </c>
      <c r="M1137" s="1" t="s">
        <v>2077</v>
      </c>
      <c r="N1137" s="235">
        <f t="shared" si="84"/>
        <v>1030</v>
      </c>
      <c r="O1137" s="235">
        <f t="shared" si="86"/>
        <v>0</v>
      </c>
      <c r="P1137" s="238" t="s">
        <v>4403</v>
      </c>
      <c r="Q1137" s="1" t="s">
        <v>2212</v>
      </c>
      <c r="R1137" s="1" t="s">
        <v>3772</v>
      </c>
      <c r="S1137" s="238" t="s">
        <v>3773</v>
      </c>
      <c r="T1137" s="238" t="s">
        <v>4404</v>
      </c>
      <c r="U1137" s="238" t="s">
        <v>2082</v>
      </c>
      <c r="V1137" s="238" t="s">
        <v>4080</v>
      </c>
      <c r="W1137" s="236">
        <v>5069.0200000000004</v>
      </c>
      <c r="X1137" s="233">
        <v>41263</v>
      </c>
      <c r="Y1137" s="238" t="s">
        <v>4081</v>
      </c>
      <c r="AB1137" s="1" t="s">
        <v>2527</v>
      </c>
    </row>
    <row r="1138" spans="1:28" ht="11.25" customHeight="1">
      <c r="A1138" s="233">
        <v>41262</v>
      </c>
      <c r="B1138" s="1" t="s">
        <v>3770</v>
      </c>
      <c r="C1138" s="1" t="s">
        <v>2080</v>
      </c>
      <c r="D1138" s="5" t="s">
        <v>353</v>
      </c>
      <c r="E1138" s="1" t="s">
        <v>2492</v>
      </c>
      <c r="F1138" s="1">
        <v>20</v>
      </c>
      <c r="G1138" s="1" t="s">
        <v>2086</v>
      </c>
      <c r="H1138" s="234">
        <v>18.5</v>
      </c>
      <c r="I1138" s="235">
        <f t="shared" si="85"/>
        <v>370</v>
      </c>
      <c r="K1138" s="241">
        <f>16.5*20</f>
        <v>330</v>
      </c>
      <c r="L1138" s="237">
        <v>41260</v>
      </c>
      <c r="M1138" s="1" t="s">
        <v>2077</v>
      </c>
      <c r="N1138" s="235">
        <f t="shared" si="84"/>
        <v>370</v>
      </c>
      <c r="O1138" s="235">
        <f t="shared" si="86"/>
        <v>0</v>
      </c>
      <c r="P1138" s="238" t="s">
        <v>4403</v>
      </c>
      <c r="Q1138" s="1" t="s">
        <v>2212</v>
      </c>
      <c r="R1138" s="1" t="s">
        <v>3772</v>
      </c>
      <c r="S1138" s="238" t="s">
        <v>3773</v>
      </c>
      <c r="T1138" s="238" t="s">
        <v>4404</v>
      </c>
      <c r="U1138" s="238" t="s">
        <v>2082</v>
      </c>
      <c r="V1138" s="238" t="s">
        <v>4080</v>
      </c>
      <c r="W1138" s="236">
        <v>5069.0200000000004</v>
      </c>
      <c r="X1138" s="233">
        <v>41263</v>
      </c>
      <c r="Y1138" s="238" t="s">
        <v>4081</v>
      </c>
      <c r="AB1138" s="1" t="s">
        <v>2527</v>
      </c>
    </row>
    <row r="1139" spans="1:28" ht="11.25" customHeight="1">
      <c r="A1139" s="233">
        <v>41262</v>
      </c>
      <c r="B1139" s="1" t="s">
        <v>3770</v>
      </c>
      <c r="C1139" s="1" t="s">
        <v>2080</v>
      </c>
      <c r="D1139" s="5" t="s">
        <v>1874</v>
      </c>
      <c r="E1139" s="1" t="s">
        <v>2107</v>
      </c>
      <c r="F1139" s="1">
        <v>20</v>
      </c>
      <c r="G1139" s="1" t="s">
        <v>231</v>
      </c>
      <c r="H1139" s="234">
        <v>5.2</v>
      </c>
      <c r="I1139" s="235">
        <f t="shared" si="85"/>
        <v>104</v>
      </c>
      <c r="K1139" s="241">
        <f>4.78*20</f>
        <v>95.600000000000009</v>
      </c>
      <c r="L1139" s="237">
        <v>41260</v>
      </c>
      <c r="M1139" s="1" t="s">
        <v>2077</v>
      </c>
      <c r="N1139" s="235">
        <f t="shared" si="84"/>
        <v>104</v>
      </c>
      <c r="O1139" s="235">
        <f t="shared" si="86"/>
        <v>0</v>
      </c>
      <c r="P1139" s="238" t="s">
        <v>4403</v>
      </c>
      <c r="Q1139" s="1" t="s">
        <v>2212</v>
      </c>
      <c r="R1139" s="1" t="s">
        <v>3772</v>
      </c>
      <c r="S1139" s="238" t="s">
        <v>3773</v>
      </c>
      <c r="T1139" s="238" t="s">
        <v>4404</v>
      </c>
      <c r="U1139" s="238" t="s">
        <v>2082</v>
      </c>
      <c r="V1139" s="238" t="s">
        <v>4080</v>
      </c>
      <c r="W1139" s="236">
        <v>5069.0200000000004</v>
      </c>
      <c r="X1139" s="233">
        <v>41263</v>
      </c>
      <c r="Y1139" s="238" t="s">
        <v>4081</v>
      </c>
      <c r="AB1139" s="1" t="s">
        <v>2527</v>
      </c>
    </row>
    <row r="1140" spans="1:28" ht="11.25" customHeight="1">
      <c r="A1140" s="233">
        <v>41262</v>
      </c>
      <c r="B1140" s="1" t="s">
        <v>3770</v>
      </c>
      <c r="C1140" s="1" t="s">
        <v>2080</v>
      </c>
      <c r="D1140" s="5" t="s">
        <v>1869</v>
      </c>
      <c r="E1140" s="1">
        <v>501</v>
      </c>
      <c r="F1140" s="1">
        <v>20</v>
      </c>
      <c r="G1140" s="1" t="s">
        <v>2086</v>
      </c>
      <c r="H1140" s="234">
        <v>1.5</v>
      </c>
      <c r="I1140" s="235">
        <f t="shared" si="85"/>
        <v>30</v>
      </c>
      <c r="K1140" s="241">
        <f>1.4*20</f>
        <v>28</v>
      </c>
      <c r="L1140" s="237">
        <v>41260</v>
      </c>
      <c r="M1140" s="1" t="s">
        <v>2077</v>
      </c>
      <c r="N1140" s="235">
        <f t="shared" si="84"/>
        <v>30</v>
      </c>
      <c r="O1140" s="235">
        <f t="shared" si="86"/>
        <v>0</v>
      </c>
      <c r="P1140" s="238" t="s">
        <v>4403</v>
      </c>
      <c r="Q1140" s="1" t="s">
        <v>2212</v>
      </c>
      <c r="R1140" s="1" t="s">
        <v>3772</v>
      </c>
      <c r="S1140" s="238" t="s">
        <v>3773</v>
      </c>
      <c r="T1140" s="238" t="s">
        <v>4404</v>
      </c>
      <c r="U1140" s="238" t="s">
        <v>2082</v>
      </c>
      <c r="V1140" s="238" t="s">
        <v>4080</v>
      </c>
      <c r="W1140" s="236">
        <v>5069.0200000000004</v>
      </c>
      <c r="X1140" s="233">
        <v>41263</v>
      </c>
      <c r="Y1140" s="238" t="s">
        <v>4081</v>
      </c>
      <c r="AB1140" s="1" t="s">
        <v>2527</v>
      </c>
    </row>
    <row r="1141" spans="1:28" ht="11.25" customHeight="1">
      <c r="A1141" s="233">
        <v>41262</v>
      </c>
      <c r="B1141" s="1" t="s">
        <v>3770</v>
      </c>
      <c r="C1141" s="1" t="s">
        <v>2080</v>
      </c>
      <c r="D1141" s="5" t="s">
        <v>1902</v>
      </c>
      <c r="E1141" s="1">
        <v>1270</v>
      </c>
      <c r="F1141" s="1">
        <v>100</v>
      </c>
      <c r="G1141" s="1" t="s">
        <v>2398</v>
      </c>
      <c r="H1141" s="234">
        <v>4.55</v>
      </c>
      <c r="I1141" s="235">
        <f t="shared" si="85"/>
        <v>455</v>
      </c>
      <c r="K1141" s="241">
        <f>4.31*100</f>
        <v>430.99999999999994</v>
      </c>
      <c r="L1141" s="237">
        <v>41260</v>
      </c>
      <c r="M1141" s="1" t="s">
        <v>2077</v>
      </c>
      <c r="N1141" s="235">
        <f t="shared" si="84"/>
        <v>455</v>
      </c>
      <c r="O1141" s="235">
        <f t="shared" si="86"/>
        <v>0</v>
      </c>
      <c r="P1141" s="238" t="s">
        <v>4403</v>
      </c>
      <c r="Q1141" s="1" t="s">
        <v>2212</v>
      </c>
      <c r="R1141" s="1" t="s">
        <v>3772</v>
      </c>
      <c r="S1141" s="238" t="s">
        <v>3773</v>
      </c>
      <c r="T1141" s="238" t="s">
        <v>4404</v>
      </c>
      <c r="U1141" s="238" t="s">
        <v>2082</v>
      </c>
      <c r="V1141" s="238" t="s">
        <v>4080</v>
      </c>
      <c r="W1141" s="236">
        <v>5069.0200000000004</v>
      </c>
      <c r="X1141" s="233">
        <v>41263</v>
      </c>
      <c r="Y1141" s="238" t="s">
        <v>4081</v>
      </c>
      <c r="AB1141" s="1" t="s">
        <v>2527</v>
      </c>
    </row>
    <row r="1142" spans="1:28" ht="11.25" customHeight="1">
      <c r="A1142" s="233">
        <v>41262</v>
      </c>
      <c r="B1142" s="1" t="s">
        <v>3770</v>
      </c>
      <c r="C1142" s="1" t="s">
        <v>2080</v>
      </c>
      <c r="D1142" s="5" t="s">
        <v>1948</v>
      </c>
      <c r="E1142" s="1" t="s">
        <v>4405</v>
      </c>
      <c r="F1142" s="1">
        <v>30</v>
      </c>
      <c r="G1142" s="1" t="s">
        <v>2823</v>
      </c>
      <c r="H1142" s="234">
        <v>6</v>
      </c>
      <c r="I1142" s="235">
        <f t="shared" si="85"/>
        <v>180</v>
      </c>
      <c r="K1142" s="241">
        <f>5.69*25</f>
        <v>142.25</v>
      </c>
      <c r="L1142" s="237">
        <v>41260</v>
      </c>
      <c r="M1142" s="1" t="s">
        <v>2077</v>
      </c>
      <c r="N1142" s="235">
        <f t="shared" si="84"/>
        <v>180</v>
      </c>
      <c r="O1142" s="235">
        <f t="shared" si="86"/>
        <v>0</v>
      </c>
      <c r="P1142" s="238" t="s">
        <v>4403</v>
      </c>
      <c r="Q1142" s="1" t="s">
        <v>2212</v>
      </c>
      <c r="R1142" s="1" t="s">
        <v>3772</v>
      </c>
      <c r="S1142" s="238" t="s">
        <v>3773</v>
      </c>
      <c r="T1142" s="238" t="s">
        <v>4404</v>
      </c>
      <c r="U1142" s="238" t="s">
        <v>2082</v>
      </c>
      <c r="V1142" s="238" t="s">
        <v>4080</v>
      </c>
      <c r="W1142" s="236">
        <v>5069.0200000000004</v>
      </c>
      <c r="X1142" s="233">
        <v>41263</v>
      </c>
      <c r="Y1142" s="238" t="s">
        <v>4081</v>
      </c>
      <c r="AB1142" s="1" t="s">
        <v>2527</v>
      </c>
    </row>
    <row r="1143" spans="1:28" ht="11.25" customHeight="1">
      <c r="A1143" s="233">
        <v>41262</v>
      </c>
      <c r="B1143" s="1" t="s">
        <v>3653</v>
      </c>
      <c r="C1143" s="1" t="s">
        <v>2080</v>
      </c>
      <c r="D1143" s="5" t="s">
        <v>1934</v>
      </c>
      <c r="E1143" s="5">
        <v>1110</v>
      </c>
      <c r="F1143" s="1">
        <v>50</v>
      </c>
      <c r="G1143" s="1" t="s">
        <v>2398</v>
      </c>
      <c r="H1143" s="234">
        <v>0.86</v>
      </c>
      <c r="I1143" s="235">
        <f t="shared" ref="I1143:I1152" si="87">F1143*H1143</f>
        <v>43</v>
      </c>
      <c r="K1143" s="241">
        <f>0.77*F1143</f>
        <v>38.5</v>
      </c>
      <c r="L1143" s="237">
        <v>41262</v>
      </c>
      <c r="M1143" s="1" t="s">
        <v>2390</v>
      </c>
      <c r="N1143" s="235">
        <f t="shared" si="84"/>
        <v>43</v>
      </c>
      <c r="O1143" s="235">
        <f t="shared" si="86"/>
        <v>0</v>
      </c>
      <c r="P1143" s="238" t="s">
        <v>4406</v>
      </c>
      <c r="Q1143" s="1" t="s">
        <v>2212</v>
      </c>
      <c r="R1143" s="239" t="s">
        <v>4095</v>
      </c>
      <c r="S1143" s="238" t="s">
        <v>4096</v>
      </c>
      <c r="T1143" s="239" t="s">
        <v>2082</v>
      </c>
      <c r="U1143" s="239" t="s">
        <v>2082</v>
      </c>
      <c r="AB1143" s="1" t="s">
        <v>2527</v>
      </c>
    </row>
    <row r="1144" spans="1:28" ht="11.25" customHeight="1">
      <c r="A1144" s="233">
        <v>41262</v>
      </c>
      <c r="B1144" s="1" t="s">
        <v>3653</v>
      </c>
      <c r="C1144" s="1" t="s">
        <v>2080</v>
      </c>
      <c r="D1144" s="5" t="s">
        <v>2012</v>
      </c>
      <c r="E1144" s="5" t="s">
        <v>2489</v>
      </c>
      <c r="F1144" s="1">
        <v>50</v>
      </c>
      <c r="G1144" s="1" t="s">
        <v>4970</v>
      </c>
      <c r="H1144" s="234">
        <v>1.75</v>
      </c>
      <c r="I1144" s="235">
        <f t="shared" si="87"/>
        <v>87.5</v>
      </c>
      <c r="K1144" s="241">
        <f>1.4*F1144</f>
        <v>70</v>
      </c>
      <c r="L1144" s="237">
        <v>41262</v>
      </c>
      <c r="M1144" s="1" t="s">
        <v>2390</v>
      </c>
      <c r="N1144" s="235">
        <f t="shared" si="84"/>
        <v>87.5</v>
      </c>
      <c r="O1144" s="235">
        <f t="shared" si="86"/>
        <v>0</v>
      </c>
      <c r="P1144" s="238" t="s">
        <v>4406</v>
      </c>
      <c r="Q1144" s="1" t="s">
        <v>2212</v>
      </c>
      <c r="R1144" s="239" t="s">
        <v>4095</v>
      </c>
      <c r="S1144" s="238" t="s">
        <v>4096</v>
      </c>
      <c r="T1144" s="239" t="s">
        <v>2082</v>
      </c>
      <c r="U1144" s="239" t="s">
        <v>2082</v>
      </c>
      <c r="AB1144" s="1" t="s">
        <v>2527</v>
      </c>
    </row>
    <row r="1145" spans="1:28" ht="10.5" customHeight="1">
      <c r="A1145" s="233">
        <v>41262</v>
      </c>
      <c r="B1145" s="1" t="s">
        <v>3653</v>
      </c>
      <c r="C1145" s="1" t="s">
        <v>2080</v>
      </c>
      <c r="D1145" s="5" t="s">
        <v>2012</v>
      </c>
      <c r="E1145" s="5" t="s">
        <v>2489</v>
      </c>
      <c r="F1145" s="1">
        <v>200</v>
      </c>
      <c r="G1145" s="1" t="s">
        <v>4970</v>
      </c>
      <c r="H1145" s="234">
        <v>1.7</v>
      </c>
      <c r="I1145" s="235">
        <f t="shared" si="87"/>
        <v>340</v>
      </c>
      <c r="K1145" s="241">
        <f>1.4*F1145</f>
        <v>280</v>
      </c>
      <c r="L1145" s="237">
        <v>41262</v>
      </c>
      <c r="M1145" s="1" t="s">
        <v>2390</v>
      </c>
      <c r="N1145" s="235">
        <f t="shared" si="84"/>
        <v>340</v>
      </c>
      <c r="O1145" s="235">
        <f t="shared" si="86"/>
        <v>0</v>
      </c>
      <c r="P1145" s="238" t="s">
        <v>4407</v>
      </c>
      <c r="Q1145" s="1" t="s">
        <v>2212</v>
      </c>
      <c r="R1145" s="239" t="s">
        <v>4095</v>
      </c>
      <c r="S1145" s="238" t="s">
        <v>4096</v>
      </c>
      <c r="T1145" s="239" t="s">
        <v>2082</v>
      </c>
      <c r="U1145" s="239" t="s">
        <v>2082</v>
      </c>
      <c r="V1145" s="238" t="s">
        <v>2488</v>
      </c>
      <c r="AB1145" s="1" t="s">
        <v>2527</v>
      </c>
    </row>
    <row r="1146" spans="1:28" ht="10.5" customHeight="1">
      <c r="A1146" s="233">
        <v>41262</v>
      </c>
      <c r="B1146" s="1" t="s">
        <v>4408</v>
      </c>
      <c r="C1146" s="1" t="s">
        <v>2080</v>
      </c>
      <c r="D1146" s="5" t="s">
        <v>1893</v>
      </c>
      <c r="E1146" s="5">
        <v>9032</v>
      </c>
      <c r="F1146" s="1">
        <v>500</v>
      </c>
      <c r="G1146" s="1" t="s">
        <v>2086</v>
      </c>
      <c r="H1146" s="234">
        <v>2.2999999999999998</v>
      </c>
      <c r="I1146" s="235">
        <f t="shared" si="87"/>
        <v>1150</v>
      </c>
      <c r="K1146" s="241">
        <f>1.4929*F1146</f>
        <v>746.44999999999993</v>
      </c>
      <c r="L1146" s="237">
        <v>41262</v>
      </c>
      <c r="M1146" s="1" t="s">
        <v>2390</v>
      </c>
      <c r="N1146" s="235">
        <f t="shared" si="84"/>
        <v>1150</v>
      </c>
      <c r="O1146" s="235">
        <f t="shared" si="86"/>
        <v>0</v>
      </c>
      <c r="P1146" s="238" t="s">
        <v>4409</v>
      </c>
      <c r="Q1146" s="1" t="s">
        <v>2212</v>
      </c>
      <c r="R1146" s="239" t="s">
        <v>4410</v>
      </c>
      <c r="S1146" s="238" t="s">
        <v>4411</v>
      </c>
      <c r="T1146" s="239" t="s">
        <v>2082</v>
      </c>
      <c r="U1146" s="239" t="s">
        <v>2082</v>
      </c>
      <c r="V1146" s="238" t="s">
        <v>2488</v>
      </c>
      <c r="AB1146" s="1" t="s">
        <v>2079</v>
      </c>
    </row>
    <row r="1147" spans="1:28" ht="10.5" customHeight="1">
      <c r="A1147" s="233">
        <v>41262</v>
      </c>
      <c r="B1147" s="1" t="s">
        <v>4408</v>
      </c>
      <c r="C1147" s="1" t="s">
        <v>2080</v>
      </c>
      <c r="D1147" s="1" t="s">
        <v>6623</v>
      </c>
      <c r="E1147" s="5" t="s">
        <v>2798</v>
      </c>
      <c r="F1147" s="1">
        <v>10</v>
      </c>
      <c r="G1147" s="1" t="s">
        <v>2398</v>
      </c>
      <c r="H1147" s="234">
        <v>20</v>
      </c>
      <c r="I1147" s="235">
        <f t="shared" si="87"/>
        <v>200</v>
      </c>
      <c r="K1147" s="261">
        <f>13.91*10</f>
        <v>139.1</v>
      </c>
      <c r="L1147" s="237">
        <v>41262</v>
      </c>
      <c r="M1147" s="1" t="s">
        <v>2390</v>
      </c>
      <c r="N1147" s="235">
        <f t="shared" si="84"/>
        <v>200</v>
      </c>
      <c r="O1147" s="235">
        <f t="shared" si="86"/>
        <v>0</v>
      </c>
      <c r="P1147" s="238" t="s">
        <v>4409</v>
      </c>
      <c r="Q1147" s="1" t="s">
        <v>2212</v>
      </c>
      <c r="R1147" s="239" t="s">
        <v>4410</v>
      </c>
      <c r="S1147" s="238" t="s">
        <v>4411</v>
      </c>
      <c r="T1147" s="239" t="s">
        <v>2082</v>
      </c>
      <c r="U1147" s="239" t="s">
        <v>2082</v>
      </c>
      <c r="V1147" s="238" t="s">
        <v>2488</v>
      </c>
      <c r="Z1147" s="255" t="s">
        <v>2549</v>
      </c>
      <c r="AB1147" s="1" t="s">
        <v>2079</v>
      </c>
    </row>
    <row r="1148" spans="1:28" ht="10.5" customHeight="1">
      <c r="A1148" s="233">
        <v>41262</v>
      </c>
      <c r="B1148" s="1" t="s">
        <v>2644</v>
      </c>
      <c r="C1148" s="1" t="s">
        <v>2080</v>
      </c>
      <c r="D1148" s="5" t="s">
        <v>1940</v>
      </c>
      <c r="E1148" s="1" t="s">
        <v>4412</v>
      </c>
      <c r="F1148" s="1">
        <v>240</v>
      </c>
      <c r="G1148" s="1" t="s">
        <v>3129</v>
      </c>
      <c r="H1148" s="234">
        <v>61.1</v>
      </c>
      <c r="I1148" s="235">
        <f t="shared" si="87"/>
        <v>14664</v>
      </c>
      <c r="K1148" s="241">
        <f>20.89*F1148</f>
        <v>5013.6000000000004</v>
      </c>
      <c r="L1148" s="237">
        <v>41295</v>
      </c>
      <c r="M1148" s="1" t="s">
        <v>166</v>
      </c>
      <c r="N1148" s="235">
        <f t="shared" si="84"/>
        <v>14664</v>
      </c>
      <c r="O1148" s="235">
        <f t="shared" si="86"/>
        <v>0</v>
      </c>
      <c r="P1148" s="238" t="s">
        <v>4413</v>
      </c>
      <c r="Q1148" s="1" t="s">
        <v>2212</v>
      </c>
      <c r="R1148" s="239" t="s">
        <v>4414</v>
      </c>
      <c r="S1148" s="238" t="s">
        <v>4415</v>
      </c>
      <c r="T1148" s="238" t="s">
        <v>4416</v>
      </c>
      <c r="U1148" s="238" t="s">
        <v>2082</v>
      </c>
      <c r="V1148" s="238" t="s">
        <v>4417</v>
      </c>
      <c r="W1148" s="236">
        <v>26074</v>
      </c>
      <c r="X1148" s="233">
        <v>41283</v>
      </c>
      <c r="Y1148" s="238" t="s">
        <v>2082</v>
      </c>
      <c r="AB1148" s="1" t="s">
        <v>2527</v>
      </c>
    </row>
    <row r="1149" spans="1:28" ht="11.25" customHeight="1">
      <c r="A1149" s="233">
        <v>41262</v>
      </c>
      <c r="B1149" s="1" t="s">
        <v>2644</v>
      </c>
      <c r="C1149" s="1" t="s">
        <v>2080</v>
      </c>
      <c r="D1149" s="5" t="s">
        <v>1874</v>
      </c>
      <c r="E1149" s="1" t="s">
        <v>4120</v>
      </c>
      <c r="F1149" s="1">
        <v>7000</v>
      </c>
      <c r="G1149" s="1" t="s">
        <v>2490</v>
      </c>
      <c r="H1149" s="234">
        <v>1.63</v>
      </c>
      <c r="I1149" s="235">
        <f t="shared" si="87"/>
        <v>11410</v>
      </c>
      <c r="K1149" s="241">
        <f>1.24*7000</f>
        <v>8680</v>
      </c>
      <c r="L1149" s="237">
        <v>41295</v>
      </c>
      <c r="M1149" s="1" t="s">
        <v>166</v>
      </c>
      <c r="N1149" s="235">
        <f t="shared" si="84"/>
        <v>11410</v>
      </c>
      <c r="O1149" s="235">
        <f t="shared" si="86"/>
        <v>0</v>
      </c>
      <c r="P1149" s="238" t="s">
        <v>4413</v>
      </c>
      <c r="Q1149" s="1" t="s">
        <v>2212</v>
      </c>
      <c r="R1149" s="239" t="s">
        <v>4414</v>
      </c>
      <c r="S1149" s="238" t="s">
        <v>4415</v>
      </c>
      <c r="T1149" s="238" t="s">
        <v>4416</v>
      </c>
      <c r="U1149" s="238" t="s">
        <v>2082</v>
      </c>
      <c r="V1149" s="238" t="s">
        <v>4417</v>
      </c>
      <c r="W1149" s="236">
        <v>26074</v>
      </c>
      <c r="X1149" s="233">
        <v>41283</v>
      </c>
      <c r="Y1149" s="238" t="s">
        <v>2082</v>
      </c>
      <c r="AB1149" s="1" t="s">
        <v>2527</v>
      </c>
    </row>
    <row r="1150" spans="1:28" ht="11.25" customHeight="1">
      <c r="A1150" s="233">
        <v>41263</v>
      </c>
      <c r="B1150" s="1" t="s">
        <v>3948</v>
      </c>
      <c r="C1150" s="1" t="s">
        <v>2080</v>
      </c>
      <c r="D1150" s="5" t="s">
        <v>1749</v>
      </c>
      <c r="E1150" s="1">
        <v>1621</v>
      </c>
      <c r="F1150" s="1">
        <v>23</v>
      </c>
      <c r="G1150" s="1" t="s">
        <v>2398</v>
      </c>
      <c r="H1150" s="234">
        <v>10.199999999999999</v>
      </c>
      <c r="I1150" s="235">
        <f t="shared" si="87"/>
        <v>234.6</v>
      </c>
      <c r="K1150" s="241">
        <f>8.84*F1150</f>
        <v>203.32</v>
      </c>
      <c r="L1150" s="237">
        <v>41281</v>
      </c>
      <c r="M1150" s="1" t="s">
        <v>2077</v>
      </c>
      <c r="N1150" s="235">
        <f t="shared" si="84"/>
        <v>234.6</v>
      </c>
      <c r="O1150" s="235">
        <f t="shared" si="86"/>
        <v>0</v>
      </c>
      <c r="P1150" s="238" t="s">
        <v>4418</v>
      </c>
      <c r="Q1150" s="1" t="s">
        <v>4419</v>
      </c>
      <c r="R1150" s="239" t="s">
        <v>4004</v>
      </c>
      <c r="S1150" s="238">
        <v>13368068212</v>
      </c>
      <c r="T1150" s="238" t="s">
        <v>2082</v>
      </c>
      <c r="U1150" s="238" t="s">
        <v>2082</v>
      </c>
      <c r="V1150" s="238" t="s">
        <v>4005</v>
      </c>
      <c r="W1150" s="236">
        <v>11117.3</v>
      </c>
      <c r="X1150" s="233">
        <v>41268</v>
      </c>
      <c r="Y1150" s="238" t="s">
        <v>3951</v>
      </c>
      <c r="AB1150" s="1" t="s">
        <v>2527</v>
      </c>
    </row>
    <row r="1151" spans="1:28" ht="11.25" customHeight="1">
      <c r="A1151" s="233">
        <v>41263</v>
      </c>
      <c r="B1151" s="1" t="s">
        <v>3948</v>
      </c>
      <c r="C1151" s="1" t="s">
        <v>2080</v>
      </c>
      <c r="D1151" s="1" t="s">
        <v>1213</v>
      </c>
      <c r="E1151" s="1" t="s">
        <v>2509</v>
      </c>
      <c r="F1151" s="1">
        <v>16</v>
      </c>
      <c r="G1151" s="1" t="s">
        <v>2398</v>
      </c>
      <c r="H1151" s="234">
        <v>13.4</v>
      </c>
      <c r="I1151" s="235">
        <f t="shared" si="87"/>
        <v>214.4</v>
      </c>
      <c r="J1151" s="352">
        <v>12.6</v>
      </c>
      <c r="K1151" s="250">
        <f>12.5*F1151</f>
        <v>200</v>
      </c>
      <c r="L1151" s="237">
        <v>41281</v>
      </c>
      <c r="M1151" s="1" t="s">
        <v>2077</v>
      </c>
      <c r="N1151" s="235">
        <f t="shared" si="84"/>
        <v>214.4</v>
      </c>
      <c r="O1151" s="235">
        <f t="shared" si="86"/>
        <v>0</v>
      </c>
      <c r="P1151" s="238" t="s">
        <v>4420</v>
      </c>
      <c r="Q1151" s="1" t="s">
        <v>4419</v>
      </c>
      <c r="R1151" s="239" t="s">
        <v>4004</v>
      </c>
      <c r="S1151" s="238">
        <v>13368068212</v>
      </c>
      <c r="T1151" s="238" t="s">
        <v>2082</v>
      </c>
      <c r="U1151" s="238" t="s">
        <v>2082</v>
      </c>
      <c r="V1151" s="238" t="s">
        <v>4005</v>
      </c>
      <c r="W1151" s="236">
        <v>11117.3</v>
      </c>
      <c r="X1151" s="233">
        <v>41268</v>
      </c>
      <c r="Y1151" s="238" t="s">
        <v>3951</v>
      </c>
      <c r="AB1151" s="1" t="s">
        <v>2527</v>
      </c>
    </row>
    <row r="1152" spans="1:28" ht="11.25" customHeight="1">
      <c r="A1152" s="233">
        <v>41263</v>
      </c>
      <c r="B1152" s="1" t="s">
        <v>3948</v>
      </c>
      <c r="C1152" s="1" t="s">
        <v>2080</v>
      </c>
      <c r="D1152" s="5" t="s">
        <v>1749</v>
      </c>
      <c r="E1152" s="1">
        <v>1621</v>
      </c>
      <c r="F1152" s="1">
        <v>4</v>
      </c>
      <c r="G1152" s="1" t="s">
        <v>2398</v>
      </c>
      <c r="H1152" s="234">
        <v>10.199999999999999</v>
      </c>
      <c r="I1152" s="235">
        <f t="shared" si="87"/>
        <v>40.799999999999997</v>
      </c>
      <c r="K1152" s="241">
        <f>8.84*F1152</f>
        <v>35.36</v>
      </c>
      <c r="L1152" s="237">
        <v>41281</v>
      </c>
      <c r="M1152" s="1" t="s">
        <v>2077</v>
      </c>
      <c r="N1152" s="235">
        <f t="shared" si="84"/>
        <v>40.799999999999997</v>
      </c>
      <c r="O1152" s="235">
        <f t="shared" si="86"/>
        <v>0</v>
      </c>
      <c r="P1152" s="238" t="s">
        <v>4420</v>
      </c>
      <c r="Q1152" s="1" t="s">
        <v>4419</v>
      </c>
      <c r="R1152" s="239" t="s">
        <v>4004</v>
      </c>
      <c r="S1152" s="238">
        <v>13368068212</v>
      </c>
      <c r="T1152" s="238" t="s">
        <v>2082</v>
      </c>
      <c r="U1152" s="238" t="s">
        <v>2082</v>
      </c>
      <c r="V1152" s="238" t="s">
        <v>4005</v>
      </c>
      <c r="W1152" s="236">
        <v>11117.3</v>
      </c>
      <c r="X1152" s="233">
        <v>41268</v>
      </c>
      <c r="Y1152" s="238" t="s">
        <v>3951</v>
      </c>
      <c r="AB1152" s="1" t="s">
        <v>2527</v>
      </c>
    </row>
    <row r="1153" spans="1:28" ht="11.25" customHeight="1">
      <c r="A1153" s="233">
        <v>41263</v>
      </c>
      <c r="B1153" s="1" t="s">
        <v>2169</v>
      </c>
      <c r="C1153" s="1" t="s">
        <v>2080</v>
      </c>
      <c r="D1153" s="5" t="s">
        <v>1873</v>
      </c>
      <c r="E1153" s="225">
        <v>4941</v>
      </c>
      <c r="F1153" s="225" t="s">
        <v>4421</v>
      </c>
      <c r="G1153" s="225" t="s">
        <v>4422</v>
      </c>
      <c r="H1153" s="234">
        <v>400</v>
      </c>
      <c r="I1153" s="27">
        <f>H1153*5*0.8</f>
        <v>1600</v>
      </c>
      <c r="K1153" s="241">
        <f>359*0.8*5</f>
        <v>1436</v>
      </c>
      <c r="L1153" s="237">
        <v>41331</v>
      </c>
      <c r="M1153" s="1" t="s">
        <v>5240</v>
      </c>
      <c r="N1153" s="235">
        <f t="shared" si="84"/>
        <v>1600</v>
      </c>
      <c r="O1153" s="235">
        <f t="shared" si="86"/>
        <v>0</v>
      </c>
      <c r="P1153" s="238" t="s">
        <v>2082</v>
      </c>
      <c r="Q1153" s="1" t="s">
        <v>3535</v>
      </c>
      <c r="R1153" s="239" t="s">
        <v>1557</v>
      </c>
      <c r="S1153" s="238" t="s">
        <v>1558</v>
      </c>
      <c r="T1153" s="238" t="s">
        <v>1559</v>
      </c>
      <c r="U1153" s="238" t="s">
        <v>4423</v>
      </c>
      <c r="V1153" s="238" t="s">
        <v>4424</v>
      </c>
      <c r="W1153" s="236">
        <v>1600</v>
      </c>
      <c r="X1153" s="233">
        <v>41267</v>
      </c>
      <c r="Y1153" s="238" t="s">
        <v>4425</v>
      </c>
      <c r="AA1153" s="282"/>
      <c r="AB1153" s="1" t="s">
        <v>2826</v>
      </c>
    </row>
    <row r="1154" spans="1:28" ht="11.25" customHeight="1">
      <c r="A1154" s="233">
        <v>41264</v>
      </c>
      <c r="B1154" s="1" t="s">
        <v>4426</v>
      </c>
      <c r="C1154" s="1" t="s">
        <v>2827</v>
      </c>
      <c r="D1154" s="5" t="s">
        <v>4427</v>
      </c>
      <c r="E1154" s="225" t="s">
        <v>4428</v>
      </c>
      <c r="F1154" s="225">
        <v>100</v>
      </c>
      <c r="G1154" s="225" t="s">
        <v>4429</v>
      </c>
      <c r="H1154" s="234">
        <v>36.729999999999997</v>
      </c>
      <c r="I1154" s="27">
        <f>F1154*H1154</f>
        <v>3672.9999999999995</v>
      </c>
      <c r="K1154" s="241">
        <f>33.111*F1154</f>
        <v>3311.1</v>
      </c>
      <c r="L1154" s="237">
        <v>41285</v>
      </c>
      <c r="M1154" s="1" t="s">
        <v>4430</v>
      </c>
      <c r="N1154" s="235">
        <f t="shared" si="84"/>
        <v>3672.9999999999995</v>
      </c>
      <c r="O1154" s="235">
        <f t="shared" si="86"/>
        <v>0</v>
      </c>
      <c r="P1154" s="238" t="s">
        <v>4431</v>
      </c>
      <c r="Q1154" s="1" t="s">
        <v>4432</v>
      </c>
      <c r="R1154" s="10" t="s">
        <v>4433</v>
      </c>
      <c r="S1154" s="238">
        <v>13896055976</v>
      </c>
      <c r="T1154" s="238" t="s">
        <v>4434</v>
      </c>
      <c r="U1154" s="238" t="s">
        <v>4435</v>
      </c>
      <c r="V1154" s="238" t="s">
        <v>4436</v>
      </c>
      <c r="W1154" s="236">
        <v>5142.2</v>
      </c>
      <c r="X1154" s="233">
        <v>41267</v>
      </c>
      <c r="Y1154" s="238" t="s">
        <v>4437</v>
      </c>
      <c r="AA1154" s="140"/>
      <c r="AB1154" s="1" t="s">
        <v>2826</v>
      </c>
    </row>
    <row r="1155" spans="1:28" ht="11.25" customHeight="1">
      <c r="A1155" s="233">
        <v>41264</v>
      </c>
      <c r="B1155" s="1" t="s">
        <v>4426</v>
      </c>
      <c r="C1155" s="1" t="s">
        <v>2827</v>
      </c>
      <c r="D1155" s="5" t="s">
        <v>4438</v>
      </c>
      <c r="E1155" s="1" t="s">
        <v>4439</v>
      </c>
      <c r="F1155" s="225">
        <v>10</v>
      </c>
      <c r="G1155" s="225" t="s">
        <v>4429</v>
      </c>
      <c r="H1155" s="234">
        <v>47.6</v>
      </c>
      <c r="I1155" s="27">
        <f>F1155*H1155</f>
        <v>476</v>
      </c>
      <c r="K1155" s="241">
        <f>42.939*F1155</f>
        <v>429.39</v>
      </c>
      <c r="L1155" s="237">
        <v>41285</v>
      </c>
      <c r="M1155" s="1" t="s">
        <v>4430</v>
      </c>
      <c r="N1155" s="235">
        <f t="shared" ref="N1155:N1214" si="88">I1155</f>
        <v>476</v>
      </c>
      <c r="O1155" s="235">
        <f t="shared" si="86"/>
        <v>0</v>
      </c>
      <c r="P1155" s="238" t="s">
        <v>4431</v>
      </c>
      <c r="Q1155" s="1" t="s">
        <v>4432</v>
      </c>
      <c r="R1155" s="10" t="s">
        <v>4433</v>
      </c>
      <c r="S1155" s="238">
        <v>13896055976</v>
      </c>
      <c r="T1155" s="238" t="s">
        <v>4434</v>
      </c>
      <c r="U1155" s="238" t="s">
        <v>4435</v>
      </c>
      <c r="V1155" s="238" t="s">
        <v>4436</v>
      </c>
      <c r="W1155" s="236">
        <v>5142.2</v>
      </c>
      <c r="X1155" s="233">
        <v>41267</v>
      </c>
      <c r="Y1155" s="238" t="s">
        <v>4437</v>
      </c>
      <c r="AA1155" s="140"/>
      <c r="AB1155" s="1" t="s">
        <v>2826</v>
      </c>
    </row>
    <row r="1156" spans="1:28" ht="11.25" customHeight="1">
      <c r="A1156" s="233">
        <v>41264</v>
      </c>
      <c r="B1156" s="1" t="s">
        <v>4426</v>
      </c>
      <c r="C1156" s="1" t="s">
        <v>2827</v>
      </c>
      <c r="D1156" s="1" t="s">
        <v>4440</v>
      </c>
      <c r="E1156" s="1">
        <v>10434</v>
      </c>
      <c r="F1156" s="225">
        <v>20</v>
      </c>
      <c r="G1156" s="225" t="s">
        <v>4441</v>
      </c>
      <c r="H1156" s="234">
        <v>17.28</v>
      </c>
      <c r="I1156" s="27">
        <f t="shared" ref="I1156:I1165" si="89">F1156*H1156</f>
        <v>345.6</v>
      </c>
      <c r="K1156" s="241">
        <f>14.2*F1156</f>
        <v>284</v>
      </c>
      <c r="L1156" s="237">
        <v>41285</v>
      </c>
      <c r="M1156" s="1" t="s">
        <v>4430</v>
      </c>
      <c r="N1156" s="235">
        <f t="shared" si="88"/>
        <v>345.6</v>
      </c>
      <c r="O1156" s="235">
        <f t="shared" si="86"/>
        <v>0</v>
      </c>
      <c r="P1156" s="238" t="s">
        <v>4431</v>
      </c>
      <c r="Q1156" s="1" t="s">
        <v>4432</v>
      </c>
      <c r="R1156" s="10" t="s">
        <v>4433</v>
      </c>
      <c r="S1156" s="238">
        <v>13896055976</v>
      </c>
      <c r="T1156" s="238" t="s">
        <v>4434</v>
      </c>
      <c r="U1156" s="238" t="s">
        <v>4435</v>
      </c>
      <c r="V1156" s="238" t="s">
        <v>4436</v>
      </c>
      <c r="W1156" s="236">
        <v>5142.2</v>
      </c>
      <c r="X1156" s="233">
        <v>41267</v>
      </c>
      <c r="Y1156" s="238" t="s">
        <v>4437</v>
      </c>
      <c r="AA1156" s="140"/>
      <c r="AB1156" s="1" t="s">
        <v>2826</v>
      </c>
    </row>
    <row r="1157" spans="1:28" ht="11.25" customHeight="1">
      <c r="A1157" s="233">
        <v>41264</v>
      </c>
      <c r="B1157" s="1" t="s">
        <v>4426</v>
      </c>
      <c r="C1157" s="1" t="s">
        <v>2827</v>
      </c>
      <c r="D1157" s="5" t="s">
        <v>4442</v>
      </c>
      <c r="E1157" s="1">
        <v>12308</v>
      </c>
      <c r="F1157" s="225">
        <v>20</v>
      </c>
      <c r="G1157" s="225" t="s">
        <v>4441</v>
      </c>
      <c r="H1157" s="234">
        <v>20.88</v>
      </c>
      <c r="I1157" s="27">
        <f t="shared" si="89"/>
        <v>417.59999999999997</v>
      </c>
      <c r="K1157" s="241">
        <f>18*F1157</f>
        <v>360</v>
      </c>
      <c r="L1157" s="237">
        <v>41285</v>
      </c>
      <c r="M1157" s="1" t="s">
        <v>4430</v>
      </c>
      <c r="N1157" s="235">
        <f t="shared" si="88"/>
        <v>417.59999999999997</v>
      </c>
      <c r="O1157" s="235">
        <f t="shared" si="86"/>
        <v>0</v>
      </c>
      <c r="P1157" s="238" t="s">
        <v>4431</v>
      </c>
      <c r="Q1157" s="1" t="s">
        <v>4432</v>
      </c>
      <c r="R1157" s="10" t="s">
        <v>4433</v>
      </c>
      <c r="S1157" s="238">
        <v>13896055976</v>
      </c>
      <c r="T1157" s="238" t="s">
        <v>4434</v>
      </c>
      <c r="U1157" s="238" t="s">
        <v>4435</v>
      </c>
      <c r="V1157" s="238" t="s">
        <v>4436</v>
      </c>
      <c r="W1157" s="236">
        <v>5142.2</v>
      </c>
      <c r="X1157" s="233">
        <v>41267</v>
      </c>
      <c r="Y1157" s="238" t="s">
        <v>4437</v>
      </c>
      <c r="AA1157" s="140"/>
      <c r="AB1157" s="1" t="s">
        <v>2826</v>
      </c>
    </row>
    <row r="1158" spans="1:28" ht="11.25" customHeight="1">
      <c r="A1158" s="233">
        <v>41264</v>
      </c>
      <c r="B1158" s="1" t="s">
        <v>4426</v>
      </c>
      <c r="C1158" s="1" t="s">
        <v>2827</v>
      </c>
      <c r="D1158" s="5" t="s">
        <v>4443</v>
      </c>
      <c r="E1158" s="1">
        <v>4620</v>
      </c>
      <c r="F1158" s="225">
        <v>10</v>
      </c>
      <c r="G1158" s="225" t="s">
        <v>4444</v>
      </c>
      <c r="H1158" s="234">
        <v>23</v>
      </c>
      <c r="I1158" s="27">
        <f t="shared" si="89"/>
        <v>230</v>
      </c>
      <c r="K1158" s="241">
        <f>17.49*F1158</f>
        <v>174.89999999999998</v>
      </c>
      <c r="L1158" s="237">
        <v>41285</v>
      </c>
      <c r="M1158" s="1" t="s">
        <v>4430</v>
      </c>
      <c r="N1158" s="235">
        <f t="shared" si="88"/>
        <v>230</v>
      </c>
      <c r="O1158" s="235">
        <f t="shared" si="86"/>
        <v>0</v>
      </c>
      <c r="P1158" s="238" t="s">
        <v>4431</v>
      </c>
      <c r="Q1158" s="1" t="s">
        <v>4432</v>
      </c>
      <c r="R1158" s="10" t="s">
        <v>4433</v>
      </c>
      <c r="S1158" s="238">
        <v>13896055976</v>
      </c>
      <c r="T1158" s="238" t="s">
        <v>4434</v>
      </c>
      <c r="U1158" s="238" t="s">
        <v>4435</v>
      </c>
      <c r="V1158" s="238" t="s">
        <v>4436</v>
      </c>
      <c r="W1158" s="236">
        <v>5142.2</v>
      </c>
      <c r="X1158" s="233">
        <v>41267</v>
      </c>
      <c r="Y1158" s="238" t="s">
        <v>4437</v>
      </c>
      <c r="AA1158" s="140"/>
      <c r="AB1158" s="1" t="s">
        <v>2826</v>
      </c>
    </row>
    <row r="1159" spans="1:28" ht="11.25" customHeight="1">
      <c r="A1159" s="233">
        <v>41264</v>
      </c>
      <c r="B1159" s="1" t="s">
        <v>4445</v>
      </c>
      <c r="C1159" s="1" t="s">
        <v>2827</v>
      </c>
      <c r="D1159" s="1" t="s">
        <v>1210</v>
      </c>
      <c r="E1159" s="1">
        <v>3200</v>
      </c>
      <c r="F1159" s="225">
        <v>3</v>
      </c>
      <c r="G1159" s="225" t="s">
        <v>2838</v>
      </c>
      <c r="H1159" s="234">
        <v>26.5</v>
      </c>
      <c r="I1159" s="27">
        <f t="shared" si="89"/>
        <v>79.5</v>
      </c>
      <c r="K1159" s="241">
        <f>23.94*3</f>
        <v>71.820000000000007</v>
      </c>
      <c r="L1159" s="237">
        <v>41267</v>
      </c>
      <c r="M1159" s="1" t="s">
        <v>2829</v>
      </c>
      <c r="N1159" s="235">
        <f t="shared" si="88"/>
        <v>79.5</v>
      </c>
      <c r="O1159" s="235">
        <f t="shared" si="86"/>
        <v>0</v>
      </c>
      <c r="P1159" s="238" t="s">
        <v>4446</v>
      </c>
      <c r="Q1159" s="1" t="s">
        <v>4447</v>
      </c>
      <c r="R1159" s="239" t="s">
        <v>4448</v>
      </c>
      <c r="S1159" s="238" t="s">
        <v>4449</v>
      </c>
      <c r="T1159" s="239" t="s">
        <v>4450</v>
      </c>
      <c r="U1159" s="239" t="s">
        <v>4450</v>
      </c>
      <c r="V1159" s="238" t="s">
        <v>4451</v>
      </c>
      <c r="W1159" s="236">
        <v>6756</v>
      </c>
      <c r="X1159" s="233">
        <v>41295</v>
      </c>
      <c r="Y1159" s="238" t="s">
        <v>4447</v>
      </c>
      <c r="AA1159" s="140"/>
      <c r="AB1159" s="1" t="s">
        <v>2826</v>
      </c>
    </row>
    <row r="1160" spans="1:28" ht="11.25" customHeight="1">
      <c r="A1160" s="233">
        <v>41264</v>
      </c>
      <c r="B1160" s="1" t="s">
        <v>4445</v>
      </c>
      <c r="C1160" s="1" t="s">
        <v>2827</v>
      </c>
      <c r="D1160" s="5" t="s">
        <v>346</v>
      </c>
      <c r="E1160" s="1">
        <v>3700</v>
      </c>
      <c r="F1160" s="225">
        <v>3</v>
      </c>
      <c r="G1160" s="225" t="s">
        <v>2838</v>
      </c>
      <c r="H1160" s="234">
        <v>3.41</v>
      </c>
      <c r="I1160" s="27">
        <f t="shared" si="89"/>
        <v>10.23</v>
      </c>
      <c r="K1160" s="241">
        <f>3.3*F1160</f>
        <v>9.8999999999999986</v>
      </c>
      <c r="L1160" s="237">
        <v>41267</v>
      </c>
      <c r="M1160" s="1" t="s">
        <v>2829</v>
      </c>
      <c r="N1160" s="235">
        <f t="shared" si="88"/>
        <v>10.23</v>
      </c>
      <c r="O1160" s="235">
        <f t="shared" si="86"/>
        <v>0</v>
      </c>
      <c r="P1160" s="238" t="s">
        <v>4446</v>
      </c>
      <c r="Q1160" s="1" t="s">
        <v>4447</v>
      </c>
      <c r="R1160" s="239" t="s">
        <v>4448</v>
      </c>
      <c r="S1160" s="238" t="s">
        <v>4449</v>
      </c>
      <c r="T1160" s="239" t="s">
        <v>4450</v>
      </c>
      <c r="U1160" s="239" t="s">
        <v>4450</v>
      </c>
      <c r="V1160" s="238" t="s">
        <v>4451</v>
      </c>
      <c r="W1160" s="236">
        <v>6756</v>
      </c>
      <c r="X1160" s="233">
        <v>41295</v>
      </c>
      <c r="Y1160" s="238" t="s">
        <v>4447</v>
      </c>
      <c r="AA1160" s="140"/>
      <c r="AB1160" s="1" t="s">
        <v>2826</v>
      </c>
    </row>
    <row r="1161" spans="1:28" ht="11.25" customHeight="1">
      <c r="A1161" s="233">
        <v>41264</v>
      </c>
      <c r="B1161" s="1" t="s">
        <v>4445</v>
      </c>
      <c r="C1161" s="1" t="s">
        <v>2827</v>
      </c>
      <c r="D1161" s="5" t="s">
        <v>4452</v>
      </c>
      <c r="E1161" s="1" t="s">
        <v>4453</v>
      </c>
      <c r="F1161" s="225">
        <v>3</v>
      </c>
      <c r="G1161" s="225" t="s">
        <v>2828</v>
      </c>
      <c r="H1161" s="234">
        <v>1.65</v>
      </c>
      <c r="I1161" s="27">
        <f t="shared" si="89"/>
        <v>4.9499999999999993</v>
      </c>
      <c r="K1161" s="241">
        <f>1.24*F1161</f>
        <v>3.7199999999999998</v>
      </c>
      <c r="L1161" s="237">
        <v>41267</v>
      </c>
      <c r="M1161" s="1" t="s">
        <v>2829</v>
      </c>
      <c r="N1161" s="235">
        <f t="shared" si="88"/>
        <v>4.9499999999999993</v>
      </c>
      <c r="O1161" s="235">
        <f t="shared" si="86"/>
        <v>0</v>
      </c>
      <c r="P1161" s="238" t="s">
        <v>4446</v>
      </c>
      <c r="Q1161" s="1" t="s">
        <v>4447</v>
      </c>
      <c r="R1161" s="239" t="s">
        <v>4448</v>
      </c>
      <c r="S1161" s="238" t="s">
        <v>4449</v>
      </c>
      <c r="T1161" s="239" t="s">
        <v>4450</v>
      </c>
      <c r="U1161" s="239" t="s">
        <v>4450</v>
      </c>
      <c r="V1161" s="238" t="s">
        <v>4451</v>
      </c>
      <c r="W1161" s="236">
        <v>6756</v>
      </c>
      <c r="X1161" s="233">
        <v>41295</v>
      </c>
      <c r="Y1161" s="238" t="s">
        <v>4447</v>
      </c>
      <c r="AA1161" s="140"/>
      <c r="AB1161" s="1" t="s">
        <v>2826</v>
      </c>
    </row>
    <row r="1162" spans="1:28" ht="11.25" customHeight="1">
      <c r="A1162" s="233">
        <v>41264</v>
      </c>
      <c r="B1162" s="1" t="s">
        <v>4445</v>
      </c>
      <c r="C1162" s="1" t="s">
        <v>2827</v>
      </c>
      <c r="D1162" s="5" t="s">
        <v>983</v>
      </c>
      <c r="E1162" s="1">
        <v>6800</v>
      </c>
      <c r="F1162" s="225">
        <v>1</v>
      </c>
      <c r="G1162" s="225" t="s">
        <v>2838</v>
      </c>
      <c r="H1162" s="234">
        <v>435.21</v>
      </c>
      <c r="I1162" s="27">
        <f t="shared" si="89"/>
        <v>435.21</v>
      </c>
      <c r="K1162" s="241">
        <f>418*1</f>
        <v>418</v>
      </c>
      <c r="L1162" s="237">
        <v>41267</v>
      </c>
      <c r="M1162" s="1" t="s">
        <v>2829</v>
      </c>
      <c r="N1162" s="235">
        <f t="shared" si="88"/>
        <v>435.21</v>
      </c>
      <c r="O1162" s="235">
        <f t="shared" si="86"/>
        <v>0</v>
      </c>
      <c r="P1162" s="238" t="s">
        <v>4446</v>
      </c>
      <c r="Q1162" s="1" t="s">
        <v>4447</v>
      </c>
      <c r="R1162" s="239" t="s">
        <v>4448</v>
      </c>
      <c r="S1162" s="238" t="s">
        <v>4449</v>
      </c>
      <c r="T1162" s="239" t="s">
        <v>4450</v>
      </c>
      <c r="U1162" s="239" t="s">
        <v>4450</v>
      </c>
      <c r="V1162" s="238" t="s">
        <v>4451</v>
      </c>
      <c r="W1162" s="236">
        <v>6756</v>
      </c>
      <c r="X1162" s="233">
        <v>41295</v>
      </c>
      <c r="Y1162" s="238" t="s">
        <v>4447</v>
      </c>
      <c r="AA1162" s="140"/>
      <c r="AB1162" s="1" t="s">
        <v>2826</v>
      </c>
    </row>
    <row r="1163" spans="1:28" ht="11.25" customHeight="1">
      <c r="A1163" s="233">
        <v>41264</v>
      </c>
      <c r="B1163" s="1" t="s">
        <v>4445</v>
      </c>
      <c r="C1163" s="1" t="s">
        <v>2827</v>
      </c>
      <c r="D1163" s="5" t="s">
        <v>1710</v>
      </c>
      <c r="E1163" s="1">
        <v>2071</v>
      </c>
      <c r="F1163" s="225">
        <v>2</v>
      </c>
      <c r="G1163" s="225" t="s">
        <v>2828</v>
      </c>
      <c r="H1163" s="234">
        <v>7.83</v>
      </c>
      <c r="I1163" s="27">
        <f t="shared" si="89"/>
        <v>15.66</v>
      </c>
      <c r="K1163" s="241">
        <f>7.344*F1163</f>
        <v>14.688000000000001</v>
      </c>
      <c r="L1163" s="237">
        <v>41267</v>
      </c>
      <c r="M1163" s="1" t="s">
        <v>2829</v>
      </c>
      <c r="N1163" s="235">
        <f t="shared" si="88"/>
        <v>15.66</v>
      </c>
      <c r="O1163" s="235">
        <f t="shared" si="86"/>
        <v>0</v>
      </c>
      <c r="P1163" s="238" t="s">
        <v>4446</v>
      </c>
      <c r="Q1163" s="1" t="s">
        <v>4447</v>
      </c>
      <c r="R1163" s="239" t="s">
        <v>4448</v>
      </c>
      <c r="S1163" s="238" t="s">
        <v>4449</v>
      </c>
      <c r="T1163" s="239" t="s">
        <v>4450</v>
      </c>
      <c r="U1163" s="239" t="s">
        <v>4450</v>
      </c>
      <c r="V1163" s="238" t="s">
        <v>4451</v>
      </c>
      <c r="W1163" s="236">
        <v>6756</v>
      </c>
      <c r="X1163" s="233">
        <v>41295</v>
      </c>
      <c r="Y1163" s="238" t="s">
        <v>4447</v>
      </c>
      <c r="AA1163" s="140"/>
      <c r="AB1163" s="1" t="s">
        <v>2826</v>
      </c>
    </row>
    <row r="1164" spans="1:28" ht="11.25" customHeight="1">
      <c r="A1164" s="233">
        <v>41264</v>
      </c>
      <c r="B1164" s="1" t="s">
        <v>4454</v>
      </c>
      <c r="C1164" s="1" t="s">
        <v>2827</v>
      </c>
      <c r="D1164" s="5" t="s">
        <v>1710</v>
      </c>
      <c r="E1164" s="1">
        <v>2071</v>
      </c>
      <c r="F1164" s="225">
        <v>10</v>
      </c>
      <c r="G1164" s="225" t="s">
        <v>2828</v>
      </c>
      <c r="H1164" s="234">
        <v>10</v>
      </c>
      <c r="I1164" s="27">
        <f t="shared" si="89"/>
        <v>100</v>
      </c>
      <c r="K1164" s="241">
        <f>7.344*F1164</f>
        <v>73.44</v>
      </c>
      <c r="L1164" s="237">
        <v>41271</v>
      </c>
      <c r="M1164" s="1" t="s">
        <v>4455</v>
      </c>
      <c r="N1164" s="235">
        <f t="shared" si="88"/>
        <v>100</v>
      </c>
      <c r="O1164" s="235">
        <f t="shared" si="86"/>
        <v>0</v>
      </c>
      <c r="P1164" s="238" t="s">
        <v>4456</v>
      </c>
      <c r="Q1164" s="1" t="s">
        <v>4457</v>
      </c>
      <c r="R1164" s="239" t="s">
        <v>4458</v>
      </c>
      <c r="S1164" s="238" t="s">
        <v>4459</v>
      </c>
      <c r="T1164" s="238" t="s">
        <v>4460</v>
      </c>
      <c r="AA1164" s="140"/>
      <c r="AB1164" s="1" t="s">
        <v>2826</v>
      </c>
    </row>
    <row r="1165" spans="1:28" ht="11.25" customHeight="1">
      <c r="A1165" s="233">
        <v>41264</v>
      </c>
      <c r="B1165" s="1" t="s">
        <v>4454</v>
      </c>
      <c r="C1165" s="1" t="s">
        <v>2827</v>
      </c>
      <c r="D1165" s="5" t="s">
        <v>4462</v>
      </c>
      <c r="E1165" s="1">
        <v>6200</v>
      </c>
      <c r="F1165" s="225">
        <v>5</v>
      </c>
      <c r="G1165" s="225" t="s">
        <v>2838</v>
      </c>
      <c r="H1165" s="234">
        <v>48.5</v>
      </c>
      <c r="I1165" s="27">
        <f t="shared" si="89"/>
        <v>242.5</v>
      </c>
      <c r="K1165" s="241">
        <f>42.7*5</f>
        <v>213.5</v>
      </c>
      <c r="L1165" s="237">
        <v>41271</v>
      </c>
      <c r="M1165" s="1" t="s">
        <v>4455</v>
      </c>
      <c r="N1165" s="235">
        <f t="shared" si="88"/>
        <v>242.5</v>
      </c>
      <c r="O1165" s="235">
        <f t="shared" si="86"/>
        <v>0</v>
      </c>
      <c r="P1165" s="238" t="s">
        <v>4456</v>
      </c>
      <c r="Q1165" s="1" t="s">
        <v>4457</v>
      </c>
      <c r="R1165" s="239" t="s">
        <v>4458</v>
      </c>
      <c r="S1165" s="238" t="s">
        <v>4459</v>
      </c>
      <c r="T1165" s="238" t="s">
        <v>4460</v>
      </c>
      <c r="AA1165" s="140"/>
      <c r="AB1165" s="1" t="s">
        <v>2826</v>
      </c>
    </row>
    <row r="1166" spans="1:28" ht="11.25" customHeight="1">
      <c r="A1166" s="233">
        <v>41267</v>
      </c>
      <c r="B1166" s="1" t="s">
        <v>4463</v>
      </c>
      <c r="C1166" s="1" t="s">
        <v>2827</v>
      </c>
      <c r="D1166" s="5" t="s">
        <v>4464</v>
      </c>
      <c r="E1166" s="1">
        <v>70070798122</v>
      </c>
      <c r="F1166" s="1">
        <v>2</v>
      </c>
      <c r="G1166" s="1" t="s">
        <v>2838</v>
      </c>
      <c r="H1166" s="234">
        <v>814.5</v>
      </c>
      <c r="I1166" s="235">
        <f t="shared" ref="I1166:I1174" si="90">F1166*H1166</f>
        <v>1629</v>
      </c>
      <c r="K1166" s="241">
        <f>781*2</f>
        <v>1562</v>
      </c>
      <c r="L1166" s="237">
        <v>41281</v>
      </c>
      <c r="M1166" s="1" t="s">
        <v>2829</v>
      </c>
      <c r="N1166" s="235">
        <f t="shared" si="88"/>
        <v>1629</v>
      </c>
      <c r="O1166" s="235">
        <f t="shared" si="86"/>
        <v>0</v>
      </c>
      <c r="P1166" s="238" t="s">
        <v>4450</v>
      </c>
      <c r="Q1166" s="1" t="s">
        <v>4465</v>
      </c>
      <c r="R1166" s="239" t="s">
        <v>4466</v>
      </c>
      <c r="S1166" s="238">
        <v>13368068212</v>
      </c>
      <c r="T1166" s="238" t="s">
        <v>4450</v>
      </c>
      <c r="U1166" s="238" t="s">
        <v>4450</v>
      </c>
      <c r="V1166" s="238" t="s">
        <v>4467</v>
      </c>
      <c r="W1166" s="236">
        <v>11117.3</v>
      </c>
      <c r="X1166" s="233">
        <v>41268</v>
      </c>
      <c r="Y1166" s="238" t="s">
        <v>4437</v>
      </c>
      <c r="AB1166" s="1" t="s">
        <v>2826</v>
      </c>
    </row>
    <row r="1167" spans="1:28" ht="11.25" customHeight="1">
      <c r="A1167" s="233">
        <v>41267</v>
      </c>
      <c r="B1167" s="1" t="s">
        <v>4463</v>
      </c>
      <c r="C1167" s="1" t="s">
        <v>2827</v>
      </c>
      <c r="D1167" s="5" t="s">
        <v>4468</v>
      </c>
      <c r="E1167" s="1">
        <v>70071533023</v>
      </c>
      <c r="F1167" s="1">
        <v>2</v>
      </c>
      <c r="G1167" s="1" t="s">
        <v>4469</v>
      </c>
      <c r="H1167" s="234">
        <v>333.75</v>
      </c>
      <c r="I1167" s="235">
        <f t="shared" si="90"/>
        <v>667.5</v>
      </c>
      <c r="K1167" s="241">
        <f>378*2</f>
        <v>756</v>
      </c>
      <c r="L1167" s="237">
        <v>41281</v>
      </c>
      <c r="M1167" s="1" t="s">
        <v>2829</v>
      </c>
      <c r="N1167" s="235">
        <f t="shared" si="88"/>
        <v>667.5</v>
      </c>
      <c r="O1167" s="235">
        <f t="shared" si="86"/>
        <v>0</v>
      </c>
      <c r="P1167" s="238" t="s">
        <v>4450</v>
      </c>
      <c r="Q1167" s="1" t="s">
        <v>4465</v>
      </c>
      <c r="R1167" s="239" t="s">
        <v>4466</v>
      </c>
      <c r="S1167" s="238">
        <v>13368068212</v>
      </c>
      <c r="T1167" s="238" t="s">
        <v>4450</v>
      </c>
      <c r="U1167" s="238" t="s">
        <v>4450</v>
      </c>
      <c r="V1167" s="238" t="s">
        <v>4467</v>
      </c>
      <c r="W1167" s="236">
        <v>11117.3</v>
      </c>
      <c r="X1167" s="233">
        <v>41268</v>
      </c>
      <c r="Y1167" s="238" t="s">
        <v>4437</v>
      </c>
      <c r="AB1167" s="1" t="s">
        <v>2826</v>
      </c>
    </row>
    <row r="1168" spans="1:28" ht="11.25" customHeight="1">
      <c r="A1168" s="233">
        <v>41267</v>
      </c>
      <c r="B1168" s="1" t="s">
        <v>4463</v>
      </c>
      <c r="C1168" s="1" t="s">
        <v>2827</v>
      </c>
      <c r="D1168" s="5" t="s">
        <v>4470</v>
      </c>
      <c r="E1168" s="1">
        <v>70070799161</v>
      </c>
      <c r="F1168" s="1">
        <v>2</v>
      </c>
      <c r="G1168" s="1" t="s">
        <v>2838</v>
      </c>
      <c r="H1168" s="234">
        <v>1404</v>
      </c>
      <c r="I1168" s="235">
        <f t="shared" si="90"/>
        <v>2808</v>
      </c>
      <c r="K1168" s="241">
        <f>1347*2</f>
        <v>2694</v>
      </c>
      <c r="L1168" s="237">
        <v>41281</v>
      </c>
      <c r="M1168" s="1" t="s">
        <v>2829</v>
      </c>
      <c r="N1168" s="235">
        <f t="shared" si="88"/>
        <v>2808</v>
      </c>
      <c r="O1168" s="235">
        <f t="shared" si="86"/>
        <v>0</v>
      </c>
      <c r="P1168" s="238" t="s">
        <v>4450</v>
      </c>
      <c r="Q1168" s="1" t="s">
        <v>4465</v>
      </c>
      <c r="R1168" s="239" t="s">
        <v>4466</v>
      </c>
      <c r="S1168" s="238">
        <v>13368068212</v>
      </c>
      <c r="T1168" s="238" t="s">
        <v>4450</v>
      </c>
      <c r="U1168" s="238" t="s">
        <v>4450</v>
      </c>
      <c r="V1168" s="238" t="s">
        <v>4467</v>
      </c>
      <c r="W1168" s="236">
        <v>11117.3</v>
      </c>
      <c r="X1168" s="233">
        <v>41268</v>
      </c>
      <c r="Y1168" s="238" t="s">
        <v>4437</v>
      </c>
      <c r="AB1168" s="1" t="s">
        <v>2826</v>
      </c>
    </row>
    <row r="1169" spans="1:28" ht="12" customHeight="1">
      <c r="A1169" s="233">
        <v>41267</v>
      </c>
      <c r="B1169" s="1" t="s">
        <v>4463</v>
      </c>
      <c r="C1169" s="1" t="s">
        <v>2827</v>
      </c>
      <c r="D1169" s="5" t="s">
        <v>4471</v>
      </c>
      <c r="E1169" s="1" t="s">
        <v>4472</v>
      </c>
      <c r="F1169" s="1">
        <v>200</v>
      </c>
      <c r="G1169" s="1" t="s">
        <v>4441</v>
      </c>
      <c r="H1169" s="234">
        <v>10.5</v>
      </c>
      <c r="I1169" s="235">
        <f t="shared" si="90"/>
        <v>2100</v>
      </c>
      <c r="K1169" s="241">
        <f>10*200</f>
        <v>2000</v>
      </c>
      <c r="L1169" s="237">
        <v>41281</v>
      </c>
      <c r="M1169" s="1" t="s">
        <v>2829</v>
      </c>
      <c r="N1169" s="235">
        <f t="shared" si="88"/>
        <v>2100</v>
      </c>
      <c r="O1169" s="235">
        <f t="shared" si="86"/>
        <v>0</v>
      </c>
      <c r="P1169" s="238" t="s">
        <v>4450</v>
      </c>
      <c r="Q1169" s="1" t="s">
        <v>4465</v>
      </c>
      <c r="R1169" s="239" t="s">
        <v>4466</v>
      </c>
      <c r="S1169" s="238">
        <v>13368068212</v>
      </c>
      <c r="T1169" s="238" t="s">
        <v>4450</v>
      </c>
      <c r="U1169" s="238" t="s">
        <v>4450</v>
      </c>
      <c r="V1169" s="238" t="s">
        <v>4467</v>
      </c>
      <c r="W1169" s="236">
        <v>11117.3</v>
      </c>
      <c r="X1169" s="233">
        <v>41268</v>
      </c>
      <c r="Y1169" s="238" t="s">
        <v>4437</v>
      </c>
      <c r="AB1169" s="1" t="s">
        <v>2826</v>
      </c>
    </row>
    <row r="1170" spans="1:28" ht="12" customHeight="1">
      <c r="A1170" s="233">
        <v>41267</v>
      </c>
      <c r="B1170" s="1" t="s">
        <v>4463</v>
      </c>
      <c r="C1170" s="1" t="s">
        <v>2827</v>
      </c>
      <c r="D1170" s="5" t="s">
        <v>1716</v>
      </c>
      <c r="E1170" s="1">
        <v>8576</v>
      </c>
      <c r="F1170" s="1">
        <v>80</v>
      </c>
      <c r="G1170" s="1" t="s">
        <v>2838</v>
      </c>
      <c r="H1170" s="234">
        <v>29.5</v>
      </c>
      <c r="I1170" s="235">
        <f t="shared" si="90"/>
        <v>2360</v>
      </c>
      <c r="K1170" s="241">
        <f>28.5*F1170</f>
        <v>2280</v>
      </c>
      <c r="L1170" s="237">
        <v>41281</v>
      </c>
      <c r="M1170" s="1" t="s">
        <v>2829</v>
      </c>
      <c r="N1170" s="235">
        <f t="shared" si="88"/>
        <v>2360</v>
      </c>
      <c r="O1170" s="235">
        <f t="shared" si="86"/>
        <v>0</v>
      </c>
      <c r="P1170" s="238" t="s">
        <v>4450</v>
      </c>
      <c r="Q1170" s="1" t="s">
        <v>4465</v>
      </c>
      <c r="R1170" s="239" t="s">
        <v>4466</v>
      </c>
      <c r="S1170" s="238">
        <v>13368068212</v>
      </c>
      <c r="T1170" s="238" t="s">
        <v>4450</v>
      </c>
      <c r="U1170" s="238" t="s">
        <v>4450</v>
      </c>
      <c r="V1170" s="238" t="s">
        <v>4467</v>
      </c>
      <c r="W1170" s="236">
        <v>11117.3</v>
      </c>
      <c r="X1170" s="233">
        <v>41268</v>
      </c>
      <c r="Y1170" s="238" t="s">
        <v>4437</v>
      </c>
      <c r="AB1170" s="1" t="s">
        <v>2826</v>
      </c>
    </row>
    <row r="1171" spans="1:28" ht="12" customHeight="1">
      <c r="A1171" s="233">
        <v>41267</v>
      </c>
      <c r="B1171" s="1" t="s">
        <v>4463</v>
      </c>
      <c r="C1171" s="1" t="s">
        <v>2827</v>
      </c>
      <c r="D1171" s="1" t="s">
        <v>1213</v>
      </c>
      <c r="E1171" s="1" t="s">
        <v>4473</v>
      </c>
      <c r="F1171" s="1">
        <v>40</v>
      </c>
      <c r="G1171" s="1" t="s">
        <v>4441</v>
      </c>
      <c r="H1171" s="234">
        <v>13.4</v>
      </c>
      <c r="I1171" s="235">
        <f t="shared" si="90"/>
        <v>536</v>
      </c>
      <c r="K1171" s="250">
        <f>12.5*40</f>
        <v>500</v>
      </c>
      <c r="L1171" s="237">
        <v>41281</v>
      </c>
      <c r="M1171" s="1" t="s">
        <v>2829</v>
      </c>
      <c r="N1171" s="235">
        <f t="shared" si="88"/>
        <v>536</v>
      </c>
      <c r="O1171" s="235">
        <f t="shared" si="86"/>
        <v>0</v>
      </c>
      <c r="P1171" s="238" t="s">
        <v>4450</v>
      </c>
      <c r="Q1171" s="1" t="s">
        <v>4465</v>
      </c>
      <c r="R1171" s="239" t="s">
        <v>4466</v>
      </c>
      <c r="S1171" s="238">
        <v>13368068212</v>
      </c>
      <c r="T1171" s="238" t="s">
        <v>4450</v>
      </c>
      <c r="U1171" s="238" t="s">
        <v>4450</v>
      </c>
      <c r="V1171" s="238" t="s">
        <v>4467</v>
      </c>
      <c r="W1171" s="236">
        <v>11117.3</v>
      </c>
      <c r="X1171" s="233">
        <v>41268</v>
      </c>
      <c r="Y1171" s="238" t="s">
        <v>4437</v>
      </c>
      <c r="AB1171" s="1" t="s">
        <v>2826</v>
      </c>
    </row>
    <row r="1172" spans="1:28" ht="11.25" customHeight="1">
      <c r="A1172" s="233">
        <v>41267</v>
      </c>
      <c r="B1172" s="1" t="s">
        <v>4474</v>
      </c>
      <c r="C1172" s="1" t="s">
        <v>2827</v>
      </c>
      <c r="D1172" s="5" t="s">
        <v>4452</v>
      </c>
      <c r="E1172" s="1" t="s">
        <v>4475</v>
      </c>
      <c r="F1172" s="1">
        <v>100</v>
      </c>
      <c r="G1172" s="1" t="s">
        <v>231</v>
      </c>
      <c r="H1172" s="234">
        <v>5.2</v>
      </c>
      <c r="I1172" s="235">
        <f t="shared" si="90"/>
        <v>520</v>
      </c>
      <c r="K1172" s="241">
        <f>4.78*100</f>
        <v>478</v>
      </c>
      <c r="L1172" s="237">
        <v>41338</v>
      </c>
      <c r="M1172" s="1" t="s">
        <v>165</v>
      </c>
      <c r="N1172" s="235">
        <f t="shared" si="88"/>
        <v>520</v>
      </c>
      <c r="O1172" s="235">
        <f t="shared" si="86"/>
        <v>0</v>
      </c>
      <c r="P1172" s="238" t="s">
        <v>4476</v>
      </c>
      <c r="Q1172" s="1" t="s">
        <v>4477</v>
      </c>
      <c r="R1172" s="239" t="s">
        <v>4478</v>
      </c>
      <c r="S1172" s="238" t="s">
        <v>4479</v>
      </c>
      <c r="T1172" s="238" t="s">
        <v>4480</v>
      </c>
      <c r="U1172" s="238" t="s">
        <v>4481</v>
      </c>
      <c r="V1172" s="238" t="s">
        <v>4461</v>
      </c>
      <c r="AB1172" s="1" t="s">
        <v>2826</v>
      </c>
    </row>
    <row r="1173" spans="1:28" ht="11.25" customHeight="1">
      <c r="A1173" s="233">
        <v>41267</v>
      </c>
      <c r="B1173" s="1" t="s">
        <v>4474</v>
      </c>
      <c r="C1173" s="1" t="s">
        <v>2827</v>
      </c>
      <c r="D1173" s="5" t="s">
        <v>4482</v>
      </c>
      <c r="E1173" s="1" t="s">
        <v>4483</v>
      </c>
      <c r="F1173" s="1">
        <v>200</v>
      </c>
      <c r="G1173" s="1" t="s">
        <v>2828</v>
      </c>
      <c r="H1173" s="234">
        <v>5.6</v>
      </c>
      <c r="I1173" s="235">
        <f t="shared" si="90"/>
        <v>1120</v>
      </c>
      <c r="K1173" s="241">
        <f>4.89*F1173</f>
        <v>977.99999999999989</v>
      </c>
      <c r="L1173" s="237">
        <v>41338</v>
      </c>
      <c r="M1173" s="1" t="s">
        <v>165</v>
      </c>
      <c r="N1173" s="235">
        <f t="shared" si="88"/>
        <v>1120</v>
      </c>
      <c r="O1173" s="235">
        <f t="shared" si="86"/>
        <v>0</v>
      </c>
      <c r="P1173" s="238" t="s">
        <v>4476</v>
      </c>
      <c r="Q1173" s="1" t="s">
        <v>4477</v>
      </c>
      <c r="R1173" s="239" t="s">
        <v>4478</v>
      </c>
      <c r="S1173" s="238" t="s">
        <v>4479</v>
      </c>
      <c r="T1173" s="238" t="s">
        <v>4480</v>
      </c>
      <c r="U1173" s="238" t="s">
        <v>4481</v>
      </c>
      <c r="V1173" s="238" t="s">
        <v>4461</v>
      </c>
      <c r="AB1173" s="1" t="s">
        <v>2826</v>
      </c>
    </row>
    <row r="1174" spans="1:28" ht="11.25" customHeight="1">
      <c r="A1174" s="233">
        <v>41267</v>
      </c>
      <c r="B1174" s="1" t="s">
        <v>4474</v>
      </c>
      <c r="C1174" s="1" t="s">
        <v>2827</v>
      </c>
      <c r="D1174" s="5" t="s">
        <v>2012</v>
      </c>
      <c r="E1174" s="1" t="s">
        <v>4484</v>
      </c>
      <c r="F1174" s="1">
        <v>500</v>
      </c>
      <c r="G1174" s="1" t="s">
        <v>4970</v>
      </c>
      <c r="H1174" s="234">
        <v>1.59</v>
      </c>
      <c r="I1174" s="235">
        <f t="shared" si="90"/>
        <v>795</v>
      </c>
      <c r="K1174" s="241">
        <f>1.4*F1174</f>
        <v>700</v>
      </c>
      <c r="L1174" s="237">
        <v>41338</v>
      </c>
      <c r="M1174" s="1" t="s">
        <v>165</v>
      </c>
      <c r="N1174" s="235">
        <f t="shared" si="88"/>
        <v>795</v>
      </c>
      <c r="O1174" s="235">
        <f t="shared" si="86"/>
        <v>0</v>
      </c>
      <c r="P1174" s="238" t="s">
        <v>4476</v>
      </c>
      <c r="Q1174" s="1" t="s">
        <v>4477</v>
      </c>
      <c r="R1174" s="239" t="s">
        <v>4478</v>
      </c>
      <c r="S1174" s="238" t="s">
        <v>4479</v>
      </c>
      <c r="T1174" s="238" t="s">
        <v>4480</v>
      </c>
      <c r="U1174" s="238" t="s">
        <v>4481</v>
      </c>
      <c r="V1174" s="238" t="s">
        <v>4461</v>
      </c>
      <c r="AB1174" s="1" t="s">
        <v>2826</v>
      </c>
    </row>
    <row r="1175" spans="1:28" ht="11.25" customHeight="1">
      <c r="A1175" s="233">
        <v>41268</v>
      </c>
      <c r="B1175" s="1" t="s">
        <v>955</v>
      </c>
      <c r="C1175" s="276" t="s">
        <v>678</v>
      </c>
      <c r="D1175" s="1" t="s">
        <v>1213</v>
      </c>
      <c r="E1175" s="5" t="s">
        <v>4485</v>
      </c>
      <c r="F1175" s="1">
        <v>50</v>
      </c>
      <c r="G1175" s="1" t="s">
        <v>4441</v>
      </c>
      <c r="H1175" s="234">
        <v>21</v>
      </c>
      <c r="I1175" s="235">
        <f t="shared" ref="I1175:I1184" si="91">F1175*H1175</f>
        <v>1050</v>
      </c>
      <c r="K1175" s="250">
        <f>12.5*F1175</f>
        <v>625</v>
      </c>
      <c r="L1175" s="237">
        <v>41268</v>
      </c>
      <c r="M1175" s="1" t="s">
        <v>2829</v>
      </c>
      <c r="N1175" s="235">
        <f t="shared" si="88"/>
        <v>1050</v>
      </c>
      <c r="O1175" s="235">
        <f t="shared" ref="O1175:O1180" si="92">I1175-N1175</f>
        <v>0</v>
      </c>
      <c r="P1175" s="238" t="s">
        <v>4450</v>
      </c>
      <c r="Q1175" s="1" t="s">
        <v>4486</v>
      </c>
      <c r="R1175" s="239" t="s">
        <v>4487</v>
      </c>
      <c r="S1175" s="238" t="s">
        <v>957</v>
      </c>
      <c r="T1175" s="238" t="s">
        <v>958</v>
      </c>
      <c r="U1175" s="238" t="s">
        <v>4488</v>
      </c>
      <c r="V1175" s="238" t="s">
        <v>4489</v>
      </c>
      <c r="W1175" s="236">
        <v>1050</v>
      </c>
      <c r="X1175" s="233">
        <v>41268</v>
      </c>
      <c r="Y1175" s="238" t="s">
        <v>4490</v>
      </c>
      <c r="AB1175" s="1" t="s">
        <v>2826</v>
      </c>
    </row>
    <row r="1176" spans="1:28" ht="11.25" customHeight="1">
      <c r="A1176" s="233">
        <v>41268</v>
      </c>
      <c r="B1176" s="1" t="s">
        <v>4445</v>
      </c>
      <c r="C1176" s="1" t="s">
        <v>2827</v>
      </c>
      <c r="D1176" s="1" t="s">
        <v>1213</v>
      </c>
      <c r="E1176" s="1" t="s">
        <v>4473</v>
      </c>
      <c r="F1176" s="1">
        <v>20</v>
      </c>
      <c r="G1176" s="1" t="s">
        <v>4441</v>
      </c>
      <c r="H1176" s="234">
        <v>13.4</v>
      </c>
      <c r="I1176" s="235">
        <f t="shared" si="91"/>
        <v>268</v>
      </c>
      <c r="K1176" s="250">
        <f>12.5*10+12.6*10</f>
        <v>251</v>
      </c>
      <c r="L1176" s="237">
        <v>41292</v>
      </c>
      <c r="M1176" s="1" t="s">
        <v>2829</v>
      </c>
      <c r="N1176" s="235">
        <f t="shared" si="88"/>
        <v>268</v>
      </c>
      <c r="O1176" s="235">
        <f t="shared" si="92"/>
        <v>0</v>
      </c>
      <c r="P1176" s="238" t="s">
        <v>4491</v>
      </c>
      <c r="Q1176" s="1" t="s">
        <v>4447</v>
      </c>
      <c r="R1176" s="239" t="s">
        <v>4448</v>
      </c>
      <c r="S1176" s="238" t="s">
        <v>4449</v>
      </c>
      <c r="T1176" s="239" t="s">
        <v>4450</v>
      </c>
      <c r="U1176" s="239" t="s">
        <v>4450</v>
      </c>
      <c r="V1176" s="238" t="s">
        <v>4451</v>
      </c>
      <c r="W1176" s="236">
        <v>6756</v>
      </c>
      <c r="X1176" s="233">
        <v>41295</v>
      </c>
      <c r="Y1176" s="238" t="s">
        <v>4447</v>
      </c>
      <c r="AB1176" s="1" t="s">
        <v>2826</v>
      </c>
    </row>
    <row r="1177" spans="1:28" ht="11.25" customHeight="1">
      <c r="A1177" s="233">
        <v>41268</v>
      </c>
      <c r="B1177" s="1" t="s">
        <v>4492</v>
      </c>
      <c r="C1177" s="1" t="s">
        <v>2827</v>
      </c>
      <c r="D1177" s="5" t="s">
        <v>4493</v>
      </c>
      <c r="E1177" s="1">
        <v>1110</v>
      </c>
      <c r="F1177" s="1">
        <v>2500</v>
      </c>
      <c r="G1177" s="1" t="s">
        <v>4441</v>
      </c>
      <c r="H1177" s="234">
        <v>0.82</v>
      </c>
      <c r="I1177" s="235">
        <f t="shared" si="91"/>
        <v>2050</v>
      </c>
      <c r="K1177" s="241">
        <f>0.73*F1177</f>
        <v>1825</v>
      </c>
      <c r="L1177" s="237">
        <v>41268</v>
      </c>
      <c r="M1177" s="1" t="s">
        <v>2839</v>
      </c>
      <c r="N1177" s="235">
        <f t="shared" si="88"/>
        <v>2050</v>
      </c>
      <c r="O1177" s="235">
        <f t="shared" si="92"/>
        <v>0</v>
      </c>
      <c r="P1177" s="238" t="s">
        <v>4494</v>
      </c>
      <c r="Q1177" s="1" t="s">
        <v>4495</v>
      </c>
      <c r="R1177" s="1" t="s">
        <v>4496</v>
      </c>
      <c r="S1177" s="238" t="s">
        <v>4497</v>
      </c>
      <c r="T1177" s="238" t="s">
        <v>4498</v>
      </c>
      <c r="U1177" s="238" t="s">
        <v>4499</v>
      </c>
      <c r="V1177" s="238" t="s">
        <v>4461</v>
      </c>
      <c r="AB1177" s="1" t="s">
        <v>2826</v>
      </c>
    </row>
    <row r="1178" spans="1:28" ht="11.25" customHeight="1">
      <c r="A1178" s="233">
        <v>41268</v>
      </c>
      <c r="B1178" s="1" t="s">
        <v>4500</v>
      </c>
      <c r="C1178" s="1" t="s">
        <v>2827</v>
      </c>
      <c r="D1178" s="5" t="s">
        <v>4501</v>
      </c>
      <c r="E1178" s="1">
        <v>9032</v>
      </c>
      <c r="F1178" s="1">
        <v>100</v>
      </c>
      <c r="G1178" s="1" t="s">
        <v>2838</v>
      </c>
      <c r="H1178" s="234">
        <v>2.7</v>
      </c>
      <c r="I1178" s="235">
        <f t="shared" si="91"/>
        <v>270</v>
      </c>
      <c r="K1178" s="241">
        <f>1.4929*F1178</f>
        <v>149.29</v>
      </c>
      <c r="N1178" s="235">
        <v>0</v>
      </c>
      <c r="O1178" s="235">
        <f t="shared" si="92"/>
        <v>270</v>
      </c>
      <c r="P1178" s="238" t="s">
        <v>4502</v>
      </c>
      <c r="Q1178" s="1" t="s">
        <v>4457</v>
      </c>
      <c r="R1178" s="239" t="s">
        <v>5479</v>
      </c>
      <c r="S1178" s="238" t="s">
        <v>5480</v>
      </c>
      <c r="T1178" s="238" t="s">
        <v>4503</v>
      </c>
      <c r="U1178" s="238" t="s">
        <v>4450</v>
      </c>
      <c r="V1178" s="238" t="s">
        <v>5508</v>
      </c>
      <c r="W1178" s="236">
        <v>4580</v>
      </c>
      <c r="X1178" s="233">
        <v>41346</v>
      </c>
      <c r="AB1178" s="1" t="s">
        <v>4504</v>
      </c>
    </row>
    <row r="1179" spans="1:28" ht="11.25" customHeight="1">
      <c r="A1179" s="233">
        <v>41268</v>
      </c>
      <c r="B1179" s="1" t="s">
        <v>4500</v>
      </c>
      <c r="C1179" s="1" t="s">
        <v>2827</v>
      </c>
      <c r="D1179" s="1" t="s">
        <v>4440</v>
      </c>
      <c r="E1179" s="1">
        <v>10434</v>
      </c>
      <c r="F1179" s="1">
        <v>15</v>
      </c>
      <c r="G1179" s="1" t="s">
        <v>4441</v>
      </c>
      <c r="H1179" s="234">
        <v>23</v>
      </c>
      <c r="I1179" s="235">
        <f t="shared" si="91"/>
        <v>345</v>
      </c>
      <c r="K1179" s="241">
        <f>13.8*F1179</f>
        <v>207</v>
      </c>
      <c r="N1179" s="235">
        <v>0</v>
      </c>
      <c r="O1179" s="235">
        <f t="shared" si="92"/>
        <v>345</v>
      </c>
      <c r="P1179" s="238" t="s">
        <v>4502</v>
      </c>
      <c r="Q1179" s="1" t="s">
        <v>4457</v>
      </c>
      <c r="R1179" s="239" t="s">
        <v>5479</v>
      </c>
      <c r="S1179" s="238" t="s">
        <v>5480</v>
      </c>
      <c r="T1179" s="238" t="s">
        <v>4503</v>
      </c>
      <c r="U1179" s="238" t="s">
        <v>4450</v>
      </c>
      <c r="V1179" s="238" t="s">
        <v>5508</v>
      </c>
      <c r="W1179" s="236">
        <v>4580</v>
      </c>
      <c r="X1179" s="233">
        <v>41346</v>
      </c>
      <c r="AB1179" s="1" t="s">
        <v>4504</v>
      </c>
    </row>
    <row r="1180" spans="1:28" ht="11.25" customHeight="1">
      <c r="A1180" s="233">
        <v>41268</v>
      </c>
      <c r="B1180" s="1" t="s">
        <v>4500</v>
      </c>
      <c r="C1180" s="1" t="s">
        <v>2827</v>
      </c>
      <c r="D1180" s="5" t="s">
        <v>4505</v>
      </c>
      <c r="E1180" s="1">
        <v>1270</v>
      </c>
      <c r="F1180" s="1">
        <v>20</v>
      </c>
      <c r="G1180" s="1" t="s">
        <v>4441</v>
      </c>
      <c r="H1180" s="234">
        <v>6.5</v>
      </c>
      <c r="I1180" s="235">
        <f t="shared" si="91"/>
        <v>130</v>
      </c>
      <c r="K1180" s="241">
        <f>4.31*F1180</f>
        <v>86.199999999999989</v>
      </c>
      <c r="N1180" s="235">
        <v>0</v>
      </c>
      <c r="O1180" s="235">
        <f t="shared" si="92"/>
        <v>130</v>
      </c>
      <c r="P1180" s="238" t="s">
        <v>4502</v>
      </c>
      <c r="Q1180" s="1" t="s">
        <v>4457</v>
      </c>
      <c r="R1180" s="239" t="s">
        <v>5479</v>
      </c>
      <c r="S1180" s="238" t="s">
        <v>5480</v>
      </c>
      <c r="T1180" s="238" t="s">
        <v>4503</v>
      </c>
      <c r="U1180" s="238" t="s">
        <v>4450</v>
      </c>
      <c r="V1180" s="238" t="s">
        <v>5508</v>
      </c>
      <c r="W1180" s="236">
        <v>4580</v>
      </c>
      <c r="X1180" s="233">
        <v>41346</v>
      </c>
      <c r="AB1180" s="1" t="s">
        <v>4504</v>
      </c>
    </row>
    <row r="1181" spans="1:28" ht="11.25" customHeight="1">
      <c r="A1181" s="233">
        <v>41270</v>
      </c>
      <c r="B1181" s="1" t="s">
        <v>4454</v>
      </c>
      <c r="C1181" s="1" t="s">
        <v>2827</v>
      </c>
      <c r="D1181" s="5" t="s">
        <v>4462</v>
      </c>
      <c r="E1181" s="1" t="s">
        <v>4506</v>
      </c>
      <c r="F1181" s="1">
        <v>2</v>
      </c>
      <c r="G1181" s="1" t="s">
        <v>2838</v>
      </c>
      <c r="H1181" s="234">
        <v>46</v>
      </c>
      <c r="I1181" s="235">
        <f t="shared" si="91"/>
        <v>92</v>
      </c>
      <c r="K1181" s="254">
        <f>41.85*F1181</f>
        <v>83.7</v>
      </c>
      <c r="L1181" s="237">
        <v>41271</v>
      </c>
      <c r="M1181" s="1" t="s">
        <v>4455</v>
      </c>
      <c r="N1181" s="235">
        <f t="shared" si="88"/>
        <v>92</v>
      </c>
      <c r="O1181" s="235">
        <f t="shared" ref="O1181:O1221" si="93">I1181-N1181</f>
        <v>0</v>
      </c>
      <c r="P1181" s="238" t="s">
        <v>4507</v>
      </c>
      <c r="Q1181" s="1" t="s">
        <v>4447</v>
      </c>
      <c r="R1181" s="239" t="s">
        <v>4458</v>
      </c>
      <c r="S1181" s="238" t="s">
        <v>4459</v>
      </c>
      <c r="T1181" s="238" t="s">
        <v>4460</v>
      </c>
      <c r="V1181" s="238" t="s">
        <v>4461</v>
      </c>
      <c r="Z1181" s="255" t="s">
        <v>4508</v>
      </c>
      <c r="AB1181" s="1" t="s">
        <v>2826</v>
      </c>
    </row>
    <row r="1182" spans="1:28" ht="11.25" customHeight="1">
      <c r="A1182" s="233">
        <v>41270</v>
      </c>
      <c r="B1182" s="1" t="s">
        <v>4454</v>
      </c>
      <c r="C1182" s="1" t="s">
        <v>2827</v>
      </c>
      <c r="D1182" s="5" t="s">
        <v>353</v>
      </c>
      <c r="E1182" s="1" t="s">
        <v>4509</v>
      </c>
      <c r="F1182" s="1">
        <v>4</v>
      </c>
      <c r="G1182" s="1" t="s">
        <v>2838</v>
      </c>
      <c r="H1182" s="234">
        <v>17.62</v>
      </c>
      <c r="I1182" s="235">
        <f t="shared" si="91"/>
        <v>70.48</v>
      </c>
      <c r="K1182" s="241">
        <f>16.5*F1182</f>
        <v>66</v>
      </c>
      <c r="L1182" s="237">
        <v>41271</v>
      </c>
      <c r="M1182" s="1" t="s">
        <v>4455</v>
      </c>
      <c r="N1182" s="235">
        <f t="shared" si="88"/>
        <v>70.48</v>
      </c>
      <c r="O1182" s="235">
        <f t="shared" si="93"/>
        <v>0</v>
      </c>
      <c r="P1182" s="238" t="s">
        <v>4507</v>
      </c>
      <c r="Q1182" s="1" t="s">
        <v>4447</v>
      </c>
      <c r="R1182" s="239" t="s">
        <v>4458</v>
      </c>
      <c r="S1182" s="238" t="s">
        <v>4459</v>
      </c>
      <c r="T1182" s="238" t="s">
        <v>4460</v>
      </c>
      <c r="V1182" s="238" t="s">
        <v>4461</v>
      </c>
      <c r="AB1182" s="1" t="s">
        <v>2826</v>
      </c>
    </row>
    <row r="1183" spans="1:28" ht="11.25" customHeight="1">
      <c r="A1183" s="233">
        <v>41270</v>
      </c>
      <c r="B1183" s="1" t="s">
        <v>4454</v>
      </c>
      <c r="C1183" s="1" t="s">
        <v>2827</v>
      </c>
      <c r="D1183" s="5" t="s">
        <v>4452</v>
      </c>
      <c r="E1183" s="1" t="s">
        <v>4475</v>
      </c>
      <c r="F1183" s="1">
        <v>4</v>
      </c>
      <c r="G1183" s="1" t="s">
        <v>231</v>
      </c>
      <c r="H1183" s="234">
        <v>1.43</v>
      </c>
      <c r="I1183" s="235">
        <f t="shared" si="91"/>
        <v>5.72</v>
      </c>
      <c r="K1183" s="241">
        <v>5.56</v>
      </c>
      <c r="L1183" s="237">
        <v>41271</v>
      </c>
      <c r="M1183" s="1" t="s">
        <v>4455</v>
      </c>
      <c r="N1183" s="235">
        <f t="shared" si="88"/>
        <v>5.72</v>
      </c>
      <c r="O1183" s="235">
        <f t="shared" si="93"/>
        <v>0</v>
      </c>
      <c r="P1183" s="238" t="s">
        <v>4507</v>
      </c>
      <c r="Q1183" s="1" t="s">
        <v>4447</v>
      </c>
      <c r="R1183" s="239" t="s">
        <v>4458</v>
      </c>
      <c r="S1183" s="238" t="s">
        <v>4459</v>
      </c>
      <c r="T1183" s="238" t="s">
        <v>4460</v>
      </c>
      <c r="V1183" s="238" t="s">
        <v>4461</v>
      </c>
      <c r="AB1183" s="1" t="s">
        <v>2826</v>
      </c>
    </row>
    <row r="1184" spans="1:28" ht="11.25" customHeight="1">
      <c r="A1184" s="233">
        <v>41270</v>
      </c>
      <c r="B1184" s="1" t="s">
        <v>4454</v>
      </c>
      <c r="C1184" s="1" t="s">
        <v>2827</v>
      </c>
      <c r="D1184" s="5" t="s">
        <v>4510</v>
      </c>
      <c r="E1184" s="1">
        <v>501</v>
      </c>
      <c r="F1184" s="1">
        <v>4</v>
      </c>
      <c r="G1184" s="1" t="s">
        <v>2838</v>
      </c>
      <c r="H1184" s="234">
        <v>5</v>
      </c>
      <c r="I1184" s="235">
        <f t="shared" si="91"/>
        <v>20</v>
      </c>
      <c r="K1184" s="241">
        <v>19.12</v>
      </c>
      <c r="L1184" s="237">
        <v>41271</v>
      </c>
      <c r="M1184" s="1" t="s">
        <v>4455</v>
      </c>
      <c r="N1184" s="235">
        <f t="shared" si="88"/>
        <v>20</v>
      </c>
      <c r="O1184" s="235">
        <f t="shared" si="93"/>
        <v>0</v>
      </c>
      <c r="P1184" s="238" t="s">
        <v>4507</v>
      </c>
      <c r="Q1184" s="1" t="s">
        <v>4447</v>
      </c>
      <c r="R1184" s="239" t="s">
        <v>4458</v>
      </c>
      <c r="S1184" s="238" t="s">
        <v>4459</v>
      </c>
      <c r="T1184" s="238" t="s">
        <v>4460</v>
      </c>
      <c r="V1184" s="238" t="s">
        <v>4461</v>
      </c>
      <c r="AB1184" s="1" t="s">
        <v>2826</v>
      </c>
    </row>
    <row r="1185" spans="1:28" ht="11.25" customHeight="1">
      <c r="A1185" s="233">
        <v>41270</v>
      </c>
      <c r="B1185" s="1" t="s">
        <v>4511</v>
      </c>
      <c r="C1185" s="5" t="s">
        <v>2827</v>
      </c>
      <c r="D1185" s="5" t="s">
        <v>4427</v>
      </c>
      <c r="E1185" s="1" t="s">
        <v>4428</v>
      </c>
      <c r="F1185" s="5">
        <v>2</v>
      </c>
      <c r="G1185" s="1" t="s">
        <v>4429</v>
      </c>
      <c r="H1185" s="234">
        <v>45</v>
      </c>
      <c r="I1185" s="236">
        <f>H1185*F1185</f>
        <v>90</v>
      </c>
      <c r="K1185" s="241">
        <f>33.111*2</f>
        <v>66.221999999999994</v>
      </c>
      <c r="L1185" s="237">
        <v>41270</v>
      </c>
      <c r="M1185" s="1" t="s">
        <v>4455</v>
      </c>
      <c r="N1185" s="235">
        <f t="shared" si="88"/>
        <v>90</v>
      </c>
      <c r="O1185" s="235">
        <f t="shared" si="93"/>
        <v>0</v>
      </c>
      <c r="P1185" s="238" t="s">
        <v>4512</v>
      </c>
      <c r="Q1185" s="225" t="s">
        <v>4513</v>
      </c>
      <c r="R1185" s="239" t="s">
        <v>4514</v>
      </c>
      <c r="S1185" s="238" t="s">
        <v>4515</v>
      </c>
      <c r="T1185" s="238" t="s">
        <v>4516</v>
      </c>
      <c r="U1185" s="238" t="s">
        <v>5466</v>
      </c>
      <c r="V1185" s="238" t="s">
        <v>4461</v>
      </c>
      <c r="AB1185" s="225" t="s">
        <v>4517</v>
      </c>
    </row>
    <row r="1186" spans="1:28" ht="11.25" customHeight="1">
      <c r="A1186" s="233">
        <v>41271</v>
      </c>
      <c r="B1186" s="1" t="s">
        <v>5159</v>
      </c>
      <c r="C1186" s="5" t="s">
        <v>2827</v>
      </c>
      <c r="D1186" s="1" t="s">
        <v>4518</v>
      </c>
      <c r="E1186" s="1">
        <v>8247</v>
      </c>
      <c r="F1186" s="5">
        <v>120</v>
      </c>
      <c r="G1186" s="1" t="s">
        <v>684</v>
      </c>
      <c r="H1186" s="234">
        <v>13.5</v>
      </c>
      <c r="I1186" s="236">
        <f>F1186*H1186</f>
        <v>1620</v>
      </c>
      <c r="K1186" s="241">
        <f>12.35*F1186</f>
        <v>1482</v>
      </c>
      <c r="L1186" s="237">
        <v>41271</v>
      </c>
      <c r="M1186" s="1" t="s">
        <v>2829</v>
      </c>
      <c r="N1186" s="235">
        <f t="shared" si="88"/>
        <v>1620</v>
      </c>
      <c r="O1186" s="235">
        <f t="shared" si="93"/>
        <v>0</v>
      </c>
      <c r="P1186" s="238" t="s">
        <v>4886</v>
      </c>
      <c r="Q1186" s="225" t="s">
        <v>4519</v>
      </c>
      <c r="R1186" s="239" t="s">
        <v>5378</v>
      </c>
      <c r="S1186" s="238" t="s">
        <v>4520</v>
      </c>
      <c r="T1186" s="238" t="s">
        <v>4521</v>
      </c>
      <c r="U1186" s="238" t="s">
        <v>4522</v>
      </c>
      <c r="V1186" s="238" t="s">
        <v>6026</v>
      </c>
      <c r="W1186" s="236">
        <v>6912</v>
      </c>
      <c r="X1186" s="233">
        <v>41371</v>
      </c>
      <c r="Y1186" s="238" t="s">
        <v>6027</v>
      </c>
      <c r="AB1186" s="225" t="s">
        <v>4523</v>
      </c>
    </row>
    <row r="1187" spans="1:28" ht="13.5" customHeight="1">
      <c r="A1187" s="233">
        <v>41271</v>
      </c>
      <c r="B1187" s="1" t="s">
        <v>4524</v>
      </c>
      <c r="C1187" s="1" t="s">
        <v>2827</v>
      </c>
      <c r="D1187" s="5" t="s">
        <v>4525</v>
      </c>
      <c r="E1187" s="1" t="s">
        <v>4526</v>
      </c>
      <c r="F1187" s="1">
        <v>6</v>
      </c>
      <c r="G1187" s="1" t="s">
        <v>2838</v>
      </c>
      <c r="H1187" s="234">
        <v>137</v>
      </c>
      <c r="I1187" s="235">
        <f>F1187*H1187</f>
        <v>822</v>
      </c>
      <c r="K1187" s="241">
        <f>127*6</f>
        <v>762</v>
      </c>
      <c r="L1187" s="237">
        <v>41305</v>
      </c>
      <c r="M1187" s="264" t="s">
        <v>166</v>
      </c>
      <c r="N1187" s="235">
        <f t="shared" si="88"/>
        <v>822</v>
      </c>
      <c r="O1187" s="235">
        <f t="shared" si="93"/>
        <v>0</v>
      </c>
      <c r="P1187" s="238" t="s">
        <v>4450</v>
      </c>
      <c r="Q1187" s="1" t="s">
        <v>4527</v>
      </c>
      <c r="R1187" s="239" t="s">
        <v>4528</v>
      </c>
      <c r="S1187" s="238" t="s">
        <v>4529</v>
      </c>
      <c r="T1187" s="238" t="s">
        <v>4530</v>
      </c>
      <c r="U1187" s="238" t="s">
        <v>4531</v>
      </c>
      <c r="V1187" s="238" t="s">
        <v>5537</v>
      </c>
      <c r="W1187" s="236">
        <v>2806.8</v>
      </c>
      <c r="X1187" s="233">
        <v>41347</v>
      </c>
      <c r="Y1187" s="238" t="s">
        <v>5538</v>
      </c>
      <c r="AB1187" s="225" t="s">
        <v>4523</v>
      </c>
    </row>
    <row r="1188" spans="1:28" ht="11.25" customHeight="1">
      <c r="A1188" s="233">
        <v>41274</v>
      </c>
      <c r="B1188" s="5" t="s">
        <v>2111</v>
      </c>
      <c r="C1188" s="1" t="s">
        <v>2827</v>
      </c>
      <c r="D1188" s="5" t="s">
        <v>4427</v>
      </c>
      <c r="E1188" s="1" t="s">
        <v>4428</v>
      </c>
      <c r="F1188" s="225">
        <v>100</v>
      </c>
      <c r="G1188" s="225" t="s">
        <v>4429</v>
      </c>
      <c r="H1188" s="234">
        <v>36.729999999999997</v>
      </c>
      <c r="I1188" s="27">
        <f t="shared" ref="I1188:I1227" si="94">F1188*H1188</f>
        <v>3672.9999999999995</v>
      </c>
      <c r="K1188" s="241">
        <f>27.144*100</f>
        <v>2714.3999999999996</v>
      </c>
      <c r="L1188" s="237">
        <v>41250</v>
      </c>
      <c r="M1188" s="1" t="s">
        <v>2839</v>
      </c>
      <c r="N1188" s="235">
        <f t="shared" si="88"/>
        <v>3672.9999999999995</v>
      </c>
      <c r="O1188" s="235">
        <f t="shared" si="93"/>
        <v>0</v>
      </c>
      <c r="P1188" s="238" t="s">
        <v>5827</v>
      </c>
      <c r="Q1188" s="1" t="s">
        <v>5841</v>
      </c>
      <c r="R1188" s="239" t="s">
        <v>414</v>
      </c>
      <c r="S1188" s="238" t="s">
        <v>415</v>
      </c>
      <c r="T1188" s="238" t="s">
        <v>3788</v>
      </c>
      <c r="U1188" s="238" t="s">
        <v>5842</v>
      </c>
      <c r="V1188" s="246" t="s">
        <v>175</v>
      </c>
      <c r="AA1188" s="140"/>
      <c r="AB1188" s="1" t="s">
        <v>2826</v>
      </c>
    </row>
    <row r="1189" spans="1:28" ht="11.25" customHeight="1">
      <c r="A1189" s="233">
        <v>41274</v>
      </c>
      <c r="B1189" s="5" t="s">
        <v>2111</v>
      </c>
      <c r="C1189" s="1" t="s">
        <v>2827</v>
      </c>
      <c r="D1189" s="5" t="s">
        <v>4438</v>
      </c>
      <c r="E1189" s="1" t="s">
        <v>4439</v>
      </c>
      <c r="F1189" s="225">
        <v>50</v>
      </c>
      <c r="G1189" s="225" t="s">
        <v>4429</v>
      </c>
      <c r="H1189" s="234">
        <v>47.6</v>
      </c>
      <c r="I1189" s="27">
        <f t="shared" si="94"/>
        <v>2380</v>
      </c>
      <c r="K1189" s="241">
        <f>34.866*50</f>
        <v>1743.3</v>
      </c>
      <c r="L1189" s="237">
        <v>41250</v>
      </c>
      <c r="M1189" s="1" t="s">
        <v>2839</v>
      </c>
      <c r="N1189" s="235">
        <f t="shared" si="88"/>
        <v>2380</v>
      </c>
      <c r="O1189" s="235">
        <f t="shared" si="93"/>
        <v>0</v>
      </c>
      <c r="P1189" s="238" t="s">
        <v>5827</v>
      </c>
      <c r="Q1189" s="1" t="s">
        <v>5841</v>
      </c>
      <c r="R1189" s="239" t="s">
        <v>414</v>
      </c>
      <c r="S1189" s="238" t="s">
        <v>415</v>
      </c>
      <c r="T1189" s="238" t="s">
        <v>3788</v>
      </c>
      <c r="U1189" s="238" t="s">
        <v>5842</v>
      </c>
      <c r="V1189" s="246" t="s">
        <v>175</v>
      </c>
      <c r="AA1189" s="140"/>
      <c r="AB1189" s="1" t="s">
        <v>2826</v>
      </c>
    </row>
    <row r="1190" spans="1:28" ht="11.25" customHeight="1">
      <c r="A1190" s="233">
        <v>41274</v>
      </c>
      <c r="B1190" s="5" t="s">
        <v>2111</v>
      </c>
      <c r="C1190" s="1" t="s">
        <v>2827</v>
      </c>
      <c r="D1190" s="225" t="s">
        <v>4532</v>
      </c>
      <c r="E1190" s="1" t="s">
        <v>4533</v>
      </c>
      <c r="F1190" s="225">
        <v>2</v>
      </c>
      <c r="G1190" s="225" t="s">
        <v>4429</v>
      </c>
      <c r="H1190" s="234">
        <v>218.18</v>
      </c>
      <c r="I1190" s="27">
        <f t="shared" si="94"/>
        <v>436.36</v>
      </c>
      <c r="K1190" s="241">
        <f>181.36*2</f>
        <v>362.72</v>
      </c>
      <c r="L1190" s="237">
        <v>41250</v>
      </c>
      <c r="M1190" s="1" t="s">
        <v>2839</v>
      </c>
      <c r="N1190" s="235">
        <f t="shared" si="88"/>
        <v>436.36</v>
      </c>
      <c r="O1190" s="235">
        <f t="shared" si="93"/>
        <v>0</v>
      </c>
      <c r="P1190" s="238" t="s">
        <v>5827</v>
      </c>
      <c r="Q1190" s="1" t="s">
        <v>5841</v>
      </c>
      <c r="R1190" s="239" t="s">
        <v>414</v>
      </c>
      <c r="S1190" s="238" t="s">
        <v>415</v>
      </c>
      <c r="T1190" s="238" t="s">
        <v>3788</v>
      </c>
      <c r="U1190" s="238" t="s">
        <v>5842</v>
      </c>
      <c r="V1190" s="246" t="s">
        <v>175</v>
      </c>
      <c r="AA1190" s="140"/>
      <c r="AB1190" s="1" t="s">
        <v>2826</v>
      </c>
    </row>
    <row r="1191" spans="1:28" ht="11.25" customHeight="1">
      <c r="A1191" s="233">
        <v>41274</v>
      </c>
      <c r="B1191" s="5" t="s">
        <v>2111</v>
      </c>
      <c r="C1191" s="1" t="s">
        <v>2827</v>
      </c>
      <c r="D1191" s="5" t="s">
        <v>4534</v>
      </c>
      <c r="E1191" s="1" t="s">
        <v>4535</v>
      </c>
      <c r="F1191" s="225">
        <v>10</v>
      </c>
      <c r="G1191" s="225" t="s">
        <v>4429</v>
      </c>
      <c r="H1191" s="234">
        <v>129.72999999999999</v>
      </c>
      <c r="I1191" s="27">
        <f t="shared" si="94"/>
        <v>1297.3</v>
      </c>
      <c r="K1191" s="241">
        <f>107.64*10</f>
        <v>1076.4000000000001</v>
      </c>
      <c r="L1191" s="237">
        <v>41250</v>
      </c>
      <c r="M1191" s="1" t="s">
        <v>2839</v>
      </c>
      <c r="N1191" s="235">
        <f t="shared" si="88"/>
        <v>1297.3</v>
      </c>
      <c r="O1191" s="235">
        <f t="shared" si="93"/>
        <v>0</v>
      </c>
      <c r="P1191" s="238" t="s">
        <v>5827</v>
      </c>
      <c r="Q1191" s="1" t="s">
        <v>5841</v>
      </c>
      <c r="R1191" s="239" t="s">
        <v>414</v>
      </c>
      <c r="S1191" s="238" t="s">
        <v>415</v>
      </c>
      <c r="T1191" s="238" t="s">
        <v>3788</v>
      </c>
      <c r="U1191" s="238" t="s">
        <v>5842</v>
      </c>
      <c r="V1191" s="246" t="s">
        <v>175</v>
      </c>
      <c r="AA1191" s="140"/>
      <c r="AB1191" s="1" t="s">
        <v>2826</v>
      </c>
    </row>
    <row r="1192" spans="1:28" ht="11.25" customHeight="1">
      <c r="A1192" s="233">
        <v>41274</v>
      </c>
      <c r="B1192" s="5" t="s">
        <v>2111</v>
      </c>
      <c r="C1192" s="1" t="s">
        <v>2827</v>
      </c>
      <c r="D1192" s="5" t="s">
        <v>4501</v>
      </c>
      <c r="E1192" s="1">
        <v>9031</v>
      </c>
      <c r="F1192" s="225">
        <v>500</v>
      </c>
      <c r="G1192" s="232" t="s">
        <v>4536</v>
      </c>
      <c r="H1192" s="234">
        <v>1.73</v>
      </c>
      <c r="I1192" s="27">
        <f t="shared" si="94"/>
        <v>865</v>
      </c>
      <c r="K1192" s="241">
        <f>1.4929*500</f>
        <v>746.44999999999993</v>
      </c>
      <c r="L1192" s="237">
        <v>41250</v>
      </c>
      <c r="M1192" s="1" t="s">
        <v>2839</v>
      </c>
      <c r="N1192" s="235">
        <f t="shared" si="88"/>
        <v>865</v>
      </c>
      <c r="O1192" s="235">
        <f t="shared" si="93"/>
        <v>0</v>
      </c>
      <c r="P1192" s="238" t="s">
        <v>5827</v>
      </c>
      <c r="Q1192" s="1" t="s">
        <v>5841</v>
      </c>
      <c r="R1192" s="239" t="s">
        <v>414</v>
      </c>
      <c r="S1192" s="238" t="s">
        <v>415</v>
      </c>
      <c r="T1192" s="238" t="s">
        <v>3788</v>
      </c>
      <c r="U1192" s="238" t="s">
        <v>5842</v>
      </c>
      <c r="V1192" s="246" t="s">
        <v>175</v>
      </c>
      <c r="AA1192" s="140"/>
      <c r="AB1192" s="1" t="s">
        <v>2826</v>
      </c>
    </row>
    <row r="1193" spans="1:28" ht="11.25" customHeight="1">
      <c r="A1193" s="233">
        <v>41274</v>
      </c>
      <c r="B1193" s="5" t="s">
        <v>2111</v>
      </c>
      <c r="C1193" s="1" t="s">
        <v>2827</v>
      </c>
      <c r="D1193" s="5" t="s">
        <v>4501</v>
      </c>
      <c r="E1193" s="1">
        <v>9032</v>
      </c>
      <c r="F1193" s="225">
        <v>500</v>
      </c>
      <c r="G1193" s="1" t="s">
        <v>2838</v>
      </c>
      <c r="H1193" s="234">
        <v>1.73</v>
      </c>
      <c r="I1193" s="27">
        <f t="shared" si="94"/>
        <v>865</v>
      </c>
      <c r="K1193" s="241">
        <f>1.4929*500</f>
        <v>746.44999999999993</v>
      </c>
      <c r="L1193" s="237">
        <v>41250</v>
      </c>
      <c r="M1193" s="1" t="s">
        <v>2839</v>
      </c>
      <c r="N1193" s="235">
        <f t="shared" si="88"/>
        <v>865</v>
      </c>
      <c r="O1193" s="235">
        <f t="shared" si="93"/>
        <v>0</v>
      </c>
      <c r="P1193" s="238" t="s">
        <v>5827</v>
      </c>
      <c r="Q1193" s="1" t="s">
        <v>5841</v>
      </c>
      <c r="R1193" s="239" t="s">
        <v>414</v>
      </c>
      <c r="S1193" s="238" t="s">
        <v>415</v>
      </c>
      <c r="T1193" s="238" t="s">
        <v>3788</v>
      </c>
      <c r="U1193" s="238" t="s">
        <v>5842</v>
      </c>
      <c r="V1193" s="246" t="s">
        <v>175</v>
      </c>
      <c r="AA1193" s="140"/>
      <c r="AB1193" s="1" t="s">
        <v>2826</v>
      </c>
    </row>
    <row r="1194" spans="1:28" ht="11.25" customHeight="1">
      <c r="A1194" s="233">
        <v>41274</v>
      </c>
      <c r="B1194" s="5" t="s">
        <v>2111</v>
      </c>
      <c r="C1194" s="1" t="s">
        <v>2827</v>
      </c>
      <c r="D1194" s="1" t="s">
        <v>4538</v>
      </c>
      <c r="E1194" s="1">
        <v>10435</v>
      </c>
      <c r="F1194" s="225">
        <v>20</v>
      </c>
      <c r="G1194" s="225" t="s">
        <v>4441</v>
      </c>
      <c r="H1194" s="234">
        <v>17.28</v>
      </c>
      <c r="I1194" s="27">
        <f t="shared" si="94"/>
        <v>345.6</v>
      </c>
      <c r="K1194" s="241">
        <f>14.8*20</f>
        <v>296</v>
      </c>
      <c r="L1194" s="237">
        <v>41250</v>
      </c>
      <c r="M1194" s="1" t="s">
        <v>2839</v>
      </c>
      <c r="N1194" s="235">
        <f t="shared" si="88"/>
        <v>345.6</v>
      </c>
      <c r="O1194" s="235">
        <f t="shared" si="93"/>
        <v>0</v>
      </c>
      <c r="P1194" s="238" t="s">
        <v>5827</v>
      </c>
      <c r="Q1194" s="1" t="s">
        <v>5841</v>
      </c>
      <c r="R1194" s="239" t="s">
        <v>414</v>
      </c>
      <c r="S1194" s="238" t="s">
        <v>415</v>
      </c>
      <c r="T1194" s="238" t="s">
        <v>3788</v>
      </c>
      <c r="U1194" s="238" t="s">
        <v>5842</v>
      </c>
      <c r="V1194" s="246" t="s">
        <v>175</v>
      </c>
      <c r="AA1194" s="140"/>
      <c r="AB1194" s="1" t="s">
        <v>2826</v>
      </c>
    </row>
    <row r="1195" spans="1:28" ht="11.25" customHeight="1">
      <c r="A1195" s="233">
        <v>41274</v>
      </c>
      <c r="B1195" s="5" t="s">
        <v>2111</v>
      </c>
      <c r="C1195" s="1" t="s">
        <v>2827</v>
      </c>
      <c r="D1195" s="5" t="s">
        <v>4539</v>
      </c>
      <c r="E1195" s="1" t="s">
        <v>4540</v>
      </c>
      <c r="F1195" s="225">
        <v>60</v>
      </c>
      <c r="G1195" s="225" t="s">
        <v>2838</v>
      </c>
      <c r="H1195" s="234">
        <v>13.67</v>
      </c>
      <c r="I1195" s="27">
        <f t="shared" si="94"/>
        <v>820.2</v>
      </c>
      <c r="K1195" s="241">
        <f>10.94*60</f>
        <v>656.4</v>
      </c>
      <c r="L1195" s="237">
        <v>41250</v>
      </c>
      <c r="M1195" s="1" t="s">
        <v>2839</v>
      </c>
      <c r="N1195" s="235">
        <f t="shared" si="88"/>
        <v>820.2</v>
      </c>
      <c r="O1195" s="235">
        <f t="shared" si="93"/>
        <v>0</v>
      </c>
      <c r="P1195" s="238" t="s">
        <v>5827</v>
      </c>
      <c r="Q1195" s="1" t="s">
        <v>5841</v>
      </c>
      <c r="R1195" s="239" t="s">
        <v>414</v>
      </c>
      <c r="S1195" s="238" t="s">
        <v>415</v>
      </c>
      <c r="T1195" s="238" t="s">
        <v>3788</v>
      </c>
      <c r="U1195" s="238" t="s">
        <v>5842</v>
      </c>
      <c r="V1195" s="246" t="s">
        <v>175</v>
      </c>
      <c r="AA1195" s="140"/>
      <c r="AB1195" s="1" t="s">
        <v>2826</v>
      </c>
    </row>
    <row r="1196" spans="1:28" ht="11.25" customHeight="1">
      <c r="A1196" s="233">
        <v>41274</v>
      </c>
      <c r="B1196" s="5" t="s">
        <v>2111</v>
      </c>
      <c r="C1196" s="1" t="s">
        <v>2827</v>
      </c>
      <c r="D1196" s="5" t="s">
        <v>4541</v>
      </c>
      <c r="E1196" s="1" t="s">
        <v>4542</v>
      </c>
      <c r="F1196" s="225">
        <v>100</v>
      </c>
      <c r="G1196" s="225" t="s">
        <v>2828</v>
      </c>
      <c r="H1196" s="234">
        <v>1.55</v>
      </c>
      <c r="I1196" s="27">
        <f t="shared" si="94"/>
        <v>155</v>
      </c>
      <c r="K1196" s="241">
        <f>1.17*100</f>
        <v>117</v>
      </c>
      <c r="L1196" s="237">
        <v>41250</v>
      </c>
      <c r="M1196" s="1" t="s">
        <v>2839</v>
      </c>
      <c r="N1196" s="235">
        <f t="shared" si="88"/>
        <v>155</v>
      </c>
      <c r="O1196" s="235">
        <f t="shared" si="93"/>
        <v>0</v>
      </c>
      <c r="P1196" s="238" t="s">
        <v>5827</v>
      </c>
      <c r="Q1196" s="1" t="s">
        <v>5841</v>
      </c>
      <c r="R1196" s="239" t="s">
        <v>414</v>
      </c>
      <c r="S1196" s="238" t="s">
        <v>415</v>
      </c>
      <c r="T1196" s="238" t="s">
        <v>3788</v>
      </c>
      <c r="U1196" s="238" t="s">
        <v>5842</v>
      </c>
      <c r="V1196" s="246" t="s">
        <v>175</v>
      </c>
      <c r="AA1196" s="140"/>
      <c r="AB1196" s="1" t="s">
        <v>2826</v>
      </c>
    </row>
    <row r="1197" spans="1:28" ht="11.25" customHeight="1">
      <c r="A1197" s="233">
        <v>41274</v>
      </c>
      <c r="B1197" s="5" t="s">
        <v>2111</v>
      </c>
      <c r="C1197" s="1" t="s">
        <v>2827</v>
      </c>
      <c r="D1197" s="5" t="s">
        <v>4452</v>
      </c>
      <c r="E1197" s="1" t="s">
        <v>4475</v>
      </c>
      <c r="F1197" s="225">
        <v>10</v>
      </c>
      <c r="G1197" s="1" t="s">
        <v>231</v>
      </c>
      <c r="H1197" s="234">
        <v>6.26</v>
      </c>
      <c r="I1197" s="27">
        <f t="shared" si="94"/>
        <v>62.599999999999994</v>
      </c>
      <c r="K1197" s="241">
        <f>4.75*10</f>
        <v>47.5</v>
      </c>
      <c r="L1197" s="237">
        <v>41250</v>
      </c>
      <c r="M1197" s="1" t="s">
        <v>2839</v>
      </c>
      <c r="N1197" s="235">
        <f t="shared" si="88"/>
        <v>62.599999999999994</v>
      </c>
      <c r="O1197" s="235">
        <f t="shared" si="93"/>
        <v>0</v>
      </c>
      <c r="P1197" s="238" t="s">
        <v>5827</v>
      </c>
      <c r="Q1197" s="1" t="s">
        <v>5841</v>
      </c>
      <c r="R1197" s="239" t="s">
        <v>414</v>
      </c>
      <c r="S1197" s="238" t="s">
        <v>415</v>
      </c>
      <c r="T1197" s="238" t="s">
        <v>3788</v>
      </c>
      <c r="U1197" s="238" t="s">
        <v>5842</v>
      </c>
      <c r="V1197" s="246" t="s">
        <v>175</v>
      </c>
      <c r="AA1197" s="140"/>
      <c r="AB1197" s="1" t="s">
        <v>2826</v>
      </c>
    </row>
    <row r="1198" spans="1:28" ht="11.25" customHeight="1">
      <c r="A1198" s="233">
        <v>41274</v>
      </c>
      <c r="B1198" s="1" t="s">
        <v>4543</v>
      </c>
      <c r="C1198" s="1" t="s">
        <v>2827</v>
      </c>
      <c r="D1198" s="5" t="s">
        <v>4427</v>
      </c>
      <c r="E1198" s="1" t="s">
        <v>4428</v>
      </c>
      <c r="F1198" s="1">
        <v>3000</v>
      </c>
      <c r="G1198" s="1" t="s">
        <v>4429</v>
      </c>
      <c r="H1198" s="234">
        <v>32</v>
      </c>
      <c r="I1198" s="235">
        <f t="shared" si="94"/>
        <v>96000</v>
      </c>
      <c r="K1198" s="241">
        <f>27.144*3000</f>
        <v>81432</v>
      </c>
      <c r="L1198" s="237">
        <v>41268</v>
      </c>
      <c r="M1198" s="1" t="s">
        <v>2829</v>
      </c>
      <c r="N1198" s="235">
        <f t="shared" si="88"/>
        <v>96000</v>
      </c>
      <c r="O1198" s="235">
        <f t="shared" si="93"/>
        <v>0</v>
      </c>
      <c r="P1198" s="238" t="s">
        <v>4544</v>
      </c>
      <c r="Q1198" s="1" t="s">
        <v>4519</v>
      </c>
      <c r="R1198" s="239" t="s">
        <v>4545</v>
      </c>
      <c r="S1198" s="238" t="s">
        <v>4546</v>
      </c>
      <c r="T1198" s="238" t="s">
        <v>4547</v>
      </c>
      <c r="U1198" s="238" t="s">
        <v>4548</v>
      </c>
      <c r="V1198" s="238" t="s">
        <v>4549</v>
      </c>
      <c r="W1198" s="236">
        <v>97640</v>
      </c>
      <c r="X1198" s="233">
        <v>41297</v>
      </c>
      <c r="Y1198" s="238" t="s">
        <v>4550</v>
      </c>
      <c r="AB1198" s="1" t="s">
        <v>2826</v>
      </c>
    </row>
    <row r="1199" spans="1:28" ht="11.25" customHeight="1">
      <c r="A1199" s="233">
        <v>41274</v>
      </c>
      <c r="B1199" s="1" t="s">
        <v>4551</v>
      </c>
      <c r="C1199" s="1" t="s">
        <v>2827</v>
      </c>
      <c r="D1199" s="5" t="s">
        <v>4552</v>
      </c>
      <c r="E1199" s="1">
        <v>82501</v>
      </c>
      <c r="F1199" s="1">
        <v>24</v>
      </c>
      <c r="G1199" s="1" t="s">
        <v>2838</v>
      </c>
      <c r="H1199" s="234">
        <v>118</v>
      </c>
      <c r="I1199" s="235">
        <f t="shared" si="94"/>
        <v>2832</v>
      </c>
      <c r="K1199" s="241">
        <f>113.9*24</f>
        <v>2733.6000000000004</v>
      </c>
      <c r="L1199" s="237">
        <v>41269</v>
      </c>
      <c r="M1199" s="1" t="s">
        <v>2829</v>
      </c>
      <c r="N1199" s="235">
        <f t="shared" si="88"/>
        <v>2832</v>
      </c>
      <c r="O1199" s="235">
        <f t="shared" si="93"/>
        <v>0</v>
      </c>
      <c r="P1199" s="238" t="s">
        <v>4553</v>
      </c>
      <c r="Q1199" s="1" t="s">
        <v>4519</v>
      </c>
      <c r="R1199" s="239" t="s">
        <v>4528</v>
      </c>
      <c r="S1199" s="238" t="s">
        <v>4529</v>
      </c>
      <c r="T1199" s="238" t="s">
        <v>4521</v>
      </c>
      <c r="U1199" s="238" t="s">
        <v>4554</v>
      </c>
      <c r="V1199" s="238" t="s">
        <v>4555</v>
      </c>
      <c r="W1199" s="236">
        <v>26733.98</v>
      </c>
      <c r="X1199" s="233">
        <v>41295</v>
      </c>
      <c r="Y1199" s="238" t="s">
        <v>4556</v>
      </c>
      <c r="AB1199" s="1" t="s">
        <v>2826</v>
      </c>
    </row>
    <row r="1200" spans="1:28" ht="11.25" customHeight="1">
      <c r="A1200" s="233">
        <v>41274</v>
      </c>
      <c r="B1200" s="1" t="s">
        <v>4551</v>
      </c>
      <c r="C1200" s="1" t="s">
        <v>2827</v>
      </c>
      <c r="D1200" s="5" t="s">
        <v>4525</v>
      </c>
      <c r="E1200" s="1">
        <v>82518</v>
      </c>
      <c r="F1200" s="1">
        <v>14</v>
      </c>
      <c r="G1200" s="1" t="s">
        <v>2838</v>
      </c>
      <c r="H1200" s="234">
        <v>140.30000000000001</v>
      </c>
      <c r="I1200" s="235">
        <f t="shared" si="94"/>
        <v>1964.2000000000003</v>
      </c>
      <c r="K1200" s="241">
        <f>127*F1200</f>
        <v>1778</v>
      </c>
      <c r="L1200" s="237">
        <v>41269</v>
      </c>
      <c r="M1200" s="1" t="s">
        <v>2829</v>
      </c>
      <c r="N1200" s="235">
        <f t="shared" si="88"/>
        <v>1964.2000000000003</v>
      </c>
      <c r="O1200" s="235">
        <f t="shared" si="93"/>
        <v>0</v>
      </c>
      <c r="P1200" s="238" t="s">
        <v>4553</v>
      </c>
      <c r="Q1200" s="1" t="s">
        <v>4519</v>
      </c>
      <c r="R1200" s="239" t="s">
        <v>4528</v>
      </c>
      <c r="S1200" s="238" t="s">
        <v>4529</v>
      </c>
      <c r="T1200" s="238" t="s">
        <v>4521</v>
      </c>
      <c r="U1200" s="238" t="s">
        <v>4554</v>
      </c>
      <c r="V1200" s="238" t="s">
        <v>4555</v>
      </c>
      <c r="W1200" s="236">
        <v>26733.98</v>
      </c>
      <c r="X1200" s="233">
        <v>41295</v>
      </c>
      <c r="Y1200" s="238" t="s">
        <v>4556</v>
      </c>
      <c r="AB1200" s="1" t="s">
        <v>2826</v>
      </c>
    </row>
    <row r="1201" spans="1:29" ht="11.25" customHeight="1">
      <c r="A1201" s="233">
        <v>41274</v>
      </c>
      <c r="B1201" s="1" t="s">
        <v>4551</v>
      </c>
      <c r="C1201" s="1" t="s">
        <v>2827</v>
      </c>
      <c r="D1201" s="5" t="s">
        <v>4537</v>
      </c>
      <c r="E1201" s="1">
        <v>1426</v>
      </c>
      <c r="F1201" s="1">
        <v>33</v>
      </c>
      <c r="G1201" s="1" t="s">
        <v>4441</v>
      </c>
      <c r="H1201" s="234">
        <v>20</v>
      </c>
      <c r="I1201" s="235">
        <f t="shared" si="94"/>
        <v>660</v>
      </c>
      <c r="K1201" s="241">
        <f>19.8*30+19.422*3</f>
        <v>652.26599999999996</v>
      </c>
      <c r="L1201" s="237">
        <v>41269</v>
      </c>
      <c r="M1201" s="1" t="s">
        <v>2829</v>
      </c>
      <c r="N1201" s="235">
        <f t="shared" si="88"/>
        <v>660</v>
      </c>
      <c r="O1201" s="235">
        <f t="shared" si="93"/>
        <v>0</v>
      </c>
      <c r="P1201" s="238" t="s">
        <v>4553</v>
      </c>
      <c r="Q1201" s="1" t="s">
        <v>4519</v>
      </c>
      <c r="R1201" s="239" t="s">
        <v>4528</v>
      </c>
      <c r="S1201" s="238" t="s">
        <v>4529</v>
      </c>
      <c r="T1201" s="238" t="s">
        <v>4521</v>
      </c>
      <c r="U1201" s="238" t="s">
        <v>4554</v>
      </c>
      <c r="V1201" s="238" t="s">
        <v>4555</v>
      </c>
      <c r="W1201" s="236">
        <v>26733.98</v>
      </c>
      <c r="X1201" s="233">
        <v>41295</v>
      </c>
      <c r="Y1201" s="238" t="s">
        <v>4556</v>
      </c>
      <c r="AB1201" s="1" t="s">
        <v>2826</v>
      </c>
    </row>
    <row r="1202" spans="1:29" ht="11.25" customHeight="1">
      <c r="A1202" s="233">
        <v>41274</v>
      </c>
      <c r="B1202" s="1" t="s">
        <v>4551</v>
      </c>
      <c r="C1202" s="1" t="s">
        <v>2827</v>
      </c>
      <c r="D1202" s="5" t="s">
        <v>4557</v>
      </c>
      <c r="E1202" s="1">
        <v>8577</v>
      </c>
      <c r="F1202" s="1">
        <v>170</v>
      </c>
      <c r="G1202" s="1" t="s">
        <v>2828</v>
      </c>
      <c r="H1202" s="234">
        <v>29</v>
      </c>
      <c r="I1202" s="235">
        <f t="shared" si="94"/>
        <v>4930</v>
      </c>
      <c r="K1202" s="241">
        <f>28.3*170</f>
        <v>4811</v>
      </c>
      <c r="L1202" s="237">
        <v>41269</v>
      </c>
      <c r="M1202" s="1" t="s">
        <v>2829</v>
      </c>
      <c r="N1202" s="235">
        <f t="shared" si="88"/>
        <v>4930</v>
      </c>
      <c r="O1202" s="235">
        <f t="shared" si="93"/>
        <v>0</v>
      </c>
      <c r="P1202" s="238" t="s">
        <v>4553</v>
      </c>
      <c r="Q1202" s="1" t="s">
        <v>4519</v>
      </c>
      <c r="R1202" s="239" t="s">
        <v>4528</v>
      </c>
      <c r="S1202" s="238" t="s">
        <v>4529</v>
      </c>
      <c r="T1202" s="238" t="s">
        <v>4521</v>
      </c>
      <c r="U1202" s="238" t="s">
        <v>4554</v>
      </c>
      <c r="V1202" s="238" t="s">
        <v>4555</v>
      </c>
      <c r="W1202" s="236">
        <v>26733.98</v>
      </c>
      <c r="X1202" s="233">
        <v>41295</v>
      </c>
      <c r="Y1202" s="238" t="s">
        <v>4556</v>
      </c>
      <c r="AB1202" s="1" t="s">
        <v>2826</v>
      </c>
    </row>
    <row r="1203" spans="1:29" ht="11.25" customHeight="1">
      <c r="A1203" s="233">
        <v>41274</v>
      </c>
      <c r="B1203" s="1" t="s">
        <v>4551</v>
      </c>
      <c r="C1203" s="1" t="s">
        <v>2827</v>
      </c>
      <c r="D1203" s="5" t="s">
        <v>4558</v>
      </c>
      <c r="E1203" s="1" t="s">
        <v>4559</v>
      </c>
      <c r="F1203" s="1">
        <v>600</v>
      </c>
      <c r="G1203" s="1" t="s">
        <v>4441</v>
      </c>
      <c r="H1203" s="234">
        <v>4.0999999999999996</v>
      </c>
      <c r="I1203" s="235">
        <f t="shared" si="94"/>
        <v>2460</v>
      </c>
      <c r="K1203" s="241">
        <f>3.7*600</f>
        <v>2220</v>
      </c>
      <c r="L1203" s="237">
        <v>41269</v>
      </c>
      <c r="M1203" s="1" t="s">
        <v>2829</v>
      </c>
      <c r="N1203" s="235">
        <f t="shared" si="88"/>
        <v>2460</v>
      </c>
      <c r="O1203" s="235">
        <f t="shared" si="93"/>
        <v>0</v>
      </c>
      <c r="P1203" s="238" t="s">
        <v>4553</v>
      </c>
      <c r="Q1203" s="1" t="s">
        <v>4519</v>
      </c>
      <c r="R1203" s="239" t="s">
        <v>4528</v>
      </c>
      <c r="S1203" s="238" t="s">
        <v>4529</v>
      </c>
      <c r="T1203" s="238" t="s">
        <v>4521</v>
      </c>
      <c r="U1203" s="238" t="s">
        <v>4554</v>
      </c>
      <c r="V1203" s="238" t="s">
        <v>4555</v>
      </c>
      <c r="W1203" s="236">
        <v>26733.98</v>
      </c>
      <c r="X1203" s="233">
        <v>41295</v>
      </c>
      <c r="Y1203" s="238" t="s">
        <v>4556</v>
      </c>
      <c r="AB1203" s="1" t="s">
        <v>2826</v>
      </c>
    </row>
    <row r="1204" spans="1:29" ht="11.25" customHeight="1">
      <c r="A1204" s="233">
        <v>41274</v>
      </c>
      <c r="B1204" s="1" t="s">
        <v>4551</v>
      </c>
      <c r="C1204" s="1" t="s">
        <v>2827</v>
      </c>
      <c r="D1204" s="5" t="s">
        <v>4539</v>
      </c>
      <c r="E1204" s="1" t="s">
        <v>4509</v>
      </c>
      <c r="F1204" s="1">
        <v>240</v>
      </c>
      <c r="G1204" s="1" t="s">
        <v>2838</v>
      </c>
      <c r="H1204" s="234">
        <v>17.100000000000001</v>
      </c>
      <c r="I1204" s="235">
        <f t="shared" si="94"/>
        <v>4104</v>
      </c>
      <c r="K1204" s="241">
        <f>16.5*F1204</f>
        <v>3960</v>
      </c>
      <c r="L1204" s="237">
        <v>41269</v>
      </c>
      <c r="M1204" s="1" t="s">
        <v>2829</v>
      </c>
      <c r="N1204" s="235">
        <f t="shared" si="88"/>
        <v>4104</v>
      </c>
      <c r="O1204" s="235">
        <f t="shared" si="93"/>
        <v>0</v>
      </c>
      <c r="P1204" s="238" t="s">
        <v>4553</v>
      </c>
      <c r="Q1204" s="1" t="s">
        <v>4519</v>
      </c>
      <c r="R1204" s="239" t="s">
        <v>4528</v>
      </c>
      <c r="S1204" s="238" t="s">
        <v>4529</v>
      </c>
      <c r="T1204" s="238" t="s">
        <v>4521</v>
      </c>
      <c r="U1204" s="238" t="s">
        <v>4554</v>
      </c>
      <c r="V1204" s="238" t="s">
        <v>4555</v>
      </c>
      <c r="W1204" s="236">
        <v>26733.98</v>
      </c>
      <c r="X1204" s="233">
        <v>41295</v>
      </c>
      <c r="Y1204" s="238" t="s">
        <v>4556</v>
      </c>
      <c r="AB1204" s="1" t="s">
        <v>2826</v>
      </c>
    </row>
    <row r="1205" spans="1:29" ht="11.25" customHeight="1">
      <c r="A1205" s="233">
        <v>41274</v>
      </c>
      <c r="B1205" s="1" t="s">
        <v>4551</v>
      </c>
      <c r="C1205" s="1" t="s">
        <v>2827</v>
      </c>
      <c r="D1205" s="5" t="s">
        <v>4560</v>
      </c>
      <c r="E1205" s="1">
        <v>4680</v>
      </c>
      <c r="F1205" s="1">
        <v>4</v>
      </c>
      <c r="G1205" s="1" t="s">
        <v>4444</v>
      </c>
      <c r="H1205" s="234">
        <v>85.41</v>
      </c>
      <c r="I1205" s="235">
        <f t="shared" si="94"/>
        <v>341.64</v>
      </c>
      <c r="K1205" s="241">
        <f>81.5*4</f>
        <v>326</v>
      </c>
      <c r="L1205" s="237">
        <v>41269</v>
      </c>
      <c r="M1205" s="1" t="s">
        <v>2829</v>
      </c>
      <c r="N1205" s="235">
        <f t="shared" si="88"/>
        <v>341.64</v>
      </c>
      <c r="O1205" s="235">
        <f t="shared" si="93"/>
        <v>0</v>
      </c>
      <c r="P1205" s="238" t="s">
        <v>4553</v>
      </c>
      <c r="Q1205" s="1" t="s">
        <v>4519</v>
      </c>
      <c r="R1205" s="239" t="s">
        <v>4528</v>
      </c>
      <c r="S1205" s="238" t="s">
        <v>4529</v>
      </c>
      <c r="T1205" s="238" t="s">
        <v>4521</v>
      </c>
      <c r="U1205" s="238" t="s">
        <v>4554</v>
      </c>
      <c r="V1205" s="238" t="s">
        <v>4555</v>
      </c>
      <c r="W1205" s="236">
        <v>26733.98</v>
      </c>
      <c r="X1205" s="233">
        <v>41295</v>
      </c>
      <c r="Y1205" s="238" t="s">
        <v>4556</v>
      </c>
      <c r="AB1205" s="1" t="s">
        <v>2826</v>
      </c>
    </row>
    <row r="1206" spans="1:29" ht="11.25" customHeight="1">
      <c r="A1206" s="233">
        <v>41274</v>
      </c>
      <c r="B1206" s="1" t="s">
        <v>4551</v>
      </c>
      <c r="C1206" s="1" t="s">
        <v>2827</v>
      </c>
      <c r="D1206" s="5" t="s">
        <v>4561</v>
      </c>
      <c r="E1206" s="1">
        <v>4680</v>
      </c>
      <c r="F1206" s="1">
        <v>2</v>
      </c>
      <c r="G1206" s="1" t="s">
        <v>4444</v>
      </c>
      <c r="H1206" s="234">
        <v>83.07</v>
      </c>
      <c r="I1206" s="235">
        <f t="shared" si="94"/>
        <v>166.14</v>
      </c>
      <c r="K1206" s="241">
        <f>81.5*2</f>
        <v>163</v>
      </c>
      <c r="L1206" s="237">
        <v>41269</v>
      </c>
      <c r="M1206" s="1" t="s">
        <v>2829</v>
      </c>
      <c r="N1206" s="235">
        <f t="shared" si="88"/>
        <v>166.14</v>
      </c>
      <c r="O1206" s="235">
        <f t="shared" si="93"/>
        <v>0</v>
      </c>
      <c r="P1206" s="238" t="s">
        <v>4553</v>
      </c>
      <c r="Q1206" s="1" t="s">
        <v>4519</v>
      </c>
      <c r="R1206" s="239" t="s">
        <v>4528</v>
      </c>
      <c r="S1206" s="238" t="s">
        <v>4529</v>
      </c>
      <c r="T1206" s="238" t="s">
        <v>4521</v>
      </c>
      <c r="U1206" s="238" t="s">
        <v>4554</v>
      </c>
      <c r="V1206" s="238" t="s">
        <v>4555</v>
      </c>
      <c r="W1206" s="236">
        <v>26733.98</v>
      </c>
      <c r="X1206" s="233">
        <v>41295</v>
      </c>
      <c r="Y1206" s="238" t="s">
        <v>4556</v>
      </c>
      <c r="AB1206" s="1" t="s">
        <v>2826</v>
      </c>
    </row>
    <row r="1207" spans="1:29" ht="12" customHeight="1">
      <c r="A1207" s="233">
        <v>41278</v>
      </c>
      <c r="B1207" s="1" t="s">
        <v>4562</v>
      </c>
      <c r="C1207" s="383" t="s">
        <v>4563</v>
      </c>
      <c r="D1207" s="5" t="s">
        <v>4564</v>
      </c>
      <c r="E1207" s="225">
        <v>6179</v>
      </c>
      <c r="F1207" s="1">
        <v>2</v>
      </c>
      <c r="G1207" s="1" t="s">
        <v>4469</v>
      </c>
      <c r="H1207" s="234">
        <v>550</v>
      </c>
      <c r="I1207" s="235">
        <f t="shared" si="94"/>
        <v>1100</v>
      </c>
      <c r="K1207" s="241">
        <f>468*2</f>
        <v>936</v>
      </c>
      <c r="L1207" s="237">
        <v>41634</v>
      </c>
      <c r="M1207" s="1" t="s">
        <v>166</v>
      </c>
      <c r="N1207" s="235">
        <f t="shared" si="88"/>
        <v>1100</v>
      </c>
      <c r="O1207" s="235">
        <f t="shared" si="93"/>
        <v>0</v>
      </c>
      <c r="P1207" s="238" t="s">
        <v>4565</v>
      </c>
      <c r="Q1207" s="1" t="s">
        <v>4447</v>
      </c>
      <c r="R1207" s="1" t="s">
        <v>4566</v>
      </c>
      <c r="S1207" s="238" t="s">
        <v>4567</v>
      </c>
      <c r="T1207" s="238" t="s">
        <v>4568</v>
      </c>
      <c r="U1207" s="238" t="s">
        <v>4450</v>
      </c>
      <c r="V1207" s="238" t="s">
        <v>5542</v>
      </c>
      <c r="W1207" s="236">
        <v>4281.6000000000004</v>
      </c>
      <c r="X1207" s="233">
        <v>41347</v>
      </c>
      <c r="Y1207" s="238" t="s">
        <v>1562</v>
      </c>
      <c r="AB1207" s="1" t="s">
        <v>2826</v>
      </c>
    </row>
    <row r="1208" spans="1:29" ht="11.25" customHeight="1">
      <c r="A1208" s="233">
        <v>41278</v>
      </c>
      <c r="B1208" s="1" t="s">
        <v>4562</v>
      </c>
      <c r="C1208" s="1" t="s">
        <v>2827</v>
      </c>
      <c r="D1208" s="1" t="s">
        <v>1210</v>
      </c>
      <c r="E1208" s="1">
        <v>3200</v>
      </c>
      <c r="F1208" s="1">
        <v>2</v>
      </c>
      <c r="G1208" s="1" t="s">
        <v>2838</v>
      </c>
      <c r="H1208" s="234">
        <v>27.7</v>
      </c>
      <c r="I1208" s="235">
        <f t="shared" si="94"/>
        <v>55.4</v>
      </c>
      <c r="K1208" s="241">
        <f>23.94*2</f>
        <v>47.88</v>
      </c>
      <c r="L1208" s="237">
        <v>41339</v>
      </c>
      <c r="M1208" s="1" t="s">
        <v>166</v>
      </c>
      <c r="N1208" s="235">
        <f t="shared" si="88"/>
        <v>55.4</v>
      </c>
      <c r="O1208" s="235">
        <f t="shared" si="93"/>
        <v>0</v>
      </c>
      <c r="P1208" s="238" t="s">
        <v>4565</v>
      </c>
      <c r="Q1208" s="1" t="s">
        <v>4447</v>
      </c>
      <c r="R1208" s="1" t="s">
        <v>4566</v>
      </c>
      <c r="S1208" s="238" t="s">
        <v>4567</v>
      </c>
      <c r="T1208" s="238" t="s">
        <v>4568</v>
      </c>
      <c r="U1208" s="238" t="s">
        <v>4450</v>
      </c>
      <c r="V1208" s="238" t="s">
        <v>5542</v>
      </c>
      <c r="W1208" s="236">
        <v>4281.6000000000004</v>
      </c>
      <c r="X1208" s="233">
        <v>41347</v>
      </c>
      <c r="Y1208" s="238" t="s">
        <v>1562</v>
      </c>
      <c r="AB1208" s="1" t="s">
        <v>2826</v>
      </c>
    </row>
    <row r="1209" spans="1:29" ht="11.25" customHeight="1">
      <c r="A1209" s="233">
        <v>41278</v>
      </c>
      <c r="B1209" s="1" t="s">
        <v>4562</v>
      </c>
      <c r="C1209" s="1" t="s">
        <v>2827</v>
      </c>
      <c r="D1209" s="5" t="s">
        <v>4539</v>
      </c>
      <c r="E1209" s="1" t="s">
        <v>4540</v>
      </c>
      <c r="F1209" s="1">
        <v>2</v>
      </c>
      <c r="G1209" s="1" t="s">
        <v>2838</v>
      </c>
      <c r="H1209" s="234">
        <v>13.1</v>
      </c>
      <c r="I1209" s="235">
        <f t="shared" si="94"/>
        <v>26.2</v>
      </c>
      <c r="K1209" s="241">
        <f>10.94*2</f>
        <v>21.88</v>
      </c>
      <c r="L1209" s="237">
        <v>41339</v>
      </c>
      <c r="M1209" s="1" t="s">
        <v>166</v>
      </c>
      <c r="N1209" s="235">
        <f t="shared" si="88"/>
        <v>26.2</v>
      </c>
      <c r="O1209" s="235">
        <f t="shared" si="93"/>
        <v>0</v>
      </c>
      <c r="P1209" s="238" t="s">
        <v>4565</v>
      </c>
      <c r="Q1209" s="1" t="s">
        <v>4447</v>
      </c>
      <c r="R1209" s="1" t="s">
        <v>4566</v>
      </c>
      <c r="S1209" s="238" t="s">
        <v>4567</v>
      </c>
      <c r="T1209" s="238" t="s">
        <v>4568</v>
      </c>
      <c r="U1209" s="238" t="s">
        <v>4450</v>
      </c>
      <c r="V1209" s="238" t="s">
        <v>5542</v>
      </c>
      <c r="W1209" s="236">
        <v>4281.6000000000004</v>
      </c>
      <c r="X1209" s="233">
        <v>41347</v>
      </c>
      <c r="Y1209" s="238" t="s">
        <v>1562</v>
      </c>
      <c r="AB1209" s="1" t="s">
        <v>2826</v>
      </c>
    </row>
    <row r="1210" spans="1:29" ht="11.25" customHeight="1">
      <c r="A1210" s="233">
        <v>41278</v>
      </c>
      <c r="B1210" s="228" t="s">
        <v>1488</v>
      </c>
      <c r="C1210" s="1" t="s">
        <v>2827</v>
      </c>
      <c r="D1210" s="1" t="s">
        <v>1213</v>
      </c>
      <c r="E1210" s="1" t="s">
        <v>4473</v>
      </c>
      <c r="F1210" s="1">
        <v>100</v>
      </c>
      <c r="G1210" s="1" t="s">
        <v>4441</v>
      </c>
      <c r="H1210" s="234">
        <v>13.4</v>
      </c>
      <c r="I1210" s="235">
        <f t="shared" si="94"/>
        <v>1340</v>
      </c>
      <c r="K1210" s="250">
        <f>12.5*100</f>
        <v>1250</v>
      </c>
      <c r="L1210" s="237">
        <v>41278</v>
      </c>
      <c r="M1210" s="228" t="s">
        <v>2829</v>
      </c>
      <c r="N1210" s="235">
        <f t="shared" si="88"/>
        <v>1340</v>
      </c>
      <c r="O1210" s="235">
        <f t="shared" si="93"/>
        <v>0</v>
      </c>
      <c r="P1210" s="238" t="s">
        <v>4569</v>
      </c>
      <c r="Q1210" s="1" t="s">
        <v>4570</v>
      </c>
      <c r="R1210" s="239" t="s">
        <v>4571</v>
      </c>
      <c r="S1210" s="238" t="s">
        <v>4572</v>
      </c>
      <c r="T1210" s="238" t="s">
        <v>1471</v>
      </c>
      <c r="U1210" s="238" t="s">
        <v>4573</v>
      </c>
      <c r="V1210" s="238" t="s">
        <v>4574</v>
      </c>
      <c r="W1210" s="236">
        <v>4217.3999999999996</v>
      </c>
      <c r="X1210" s="233">
        <v>41288</v>
      </c>
      <c r="Y1210" s="238" t="s">
        <v>5250</v>
      </c>
      <c r="AB1210" s="1" t="s">
        <v>2826</v>
      </c>
    </row>
    <row r="1211" spans="1:29" ht="12" customHeight="1">
      <c r="A1211" s="233">
        <v>41278</v>
      </c>
      <c r="B1211" s="228" t="s">
        <v>1488</v>
      </c>
      <c r="C1211" s="1" t="s">
        <v>2827</v>
      </c>
      <c r="D1211" s="5" t="s">
        <v>4575</v>
      </c>
      <c r="E1211" s="225" t="s">
        <v>4576</v>
      </c>
      <c r="F1211" s="1">
        <v>2</v>
      </c>
      <c r="G1211" s="1" t="s">
        <v>4444</v>
      </c>
      <c r="H1211" s="234">
        <v>90</v>
      </c>
      <c r="I1211" s="235">
        <f t="shared" si="94"/>
        <v>180</v>
      </c>
      <c r="K1211" s="241">
        <f>86*2</f>
        <v>172</v>
      </c>
      <c r="L1211" s="237">
        <v>41278</v>
      </c>
      <c r="M1211" s="228" t="s">
        <v>2829</v>
      </c>
      <c r="N1211" s="235">
        <f t="shared" si="88"/>
        <v>180</v>
      </c>
      <c r="O1211" s="235">
        <f t="shared" si="93"/>
        <v>0</v>
      </c>
      <c r="P1211" s="238" t="s">
        <v>4569</v>
      </c>
      <c r="Q1211" s="1" t="s">
        <v>4570</v>
      </c>
      <c r="R1211" s="239" t="s">
        <v>4571</v>
      </c>
      <c r="S1211" s="238" t="s">
        <v>4572</v>
      </c>
      <c r="T1211" s="238" t="s">
        <v>1471</v>
      </c>
      <c r="U1211" s="238" t="s">
        <v>4573</v>
      </c>
      <c r="V1211" s="238" t="s">
        <v>4574</v>
      </c>
      <c r="W1211" s="236">
        <v>4217.3999999999996</v>
      </c>
      <c r="X1211" s="233">
        <v>41288</v>
      </c>
      <c r="Y1211" s="238" t="s">
        <v>5250</v>
      </c>
      <c r="AB1211" s="1" t="s">
        <v>2826</v>
      </c>
    </row>
    <row r="1212" spans="1:29" ht="12" customHeight="1">
      <c r="A1212" s="233">
        <v>41279</v>
      </c>
      <c r="B1212" s="1" t="s">
        <v>4577</v>
      </c>
      <c r="C1212" s="383" t="s">
        <v>2827</v>
      </c>
      <c r="D1212" s="5" t="s">
        <v>4452</v>
      </c>
      <c r="E1212" s="1" t="s">
        <v>4453</v>
      </c>
      <c r="F1212" s="1">
        <v>60</v>
      </c>
      <c r="G1212" s="225" t="s">
        <v>2828</v>
      </c>
      <c r="H1212" s="234">
        <v>2.7</v>
      </c>
      <c r="I1212" s="235">
        <f t="shared" si="94"/>
        <v>162</v>
      </c>
      <c r="K1212" s="241">
        <f>1.24*60</f>
        <v>74.400000000000006</v>
      </c>
      <c r="L1212" s="237">
        <v>41279</v>
      </c>
      <c r="M1212" s="1" t="s">
        <v>4455</v>
      </c>
      <c r="N1212" s="235">
        <f t="shared" si="88"/>
        <v>162</v>
      </c>
      <c r="O1212" s="235">
        <f t="shared" si="93"/>
        <v>0</v>
      </c>
      <c r="P1212" s="238" t="s">
        <v>4578</v>
      </c>
      <c r="Q1212" s="1" t="s">
        <v>4447</v>
      </c>
      <c r="R1212" s="1"/>
      <c r="AB1212" s="1" t="s">
        <v>4504</v>
      </c>
      <c r="AC1212" s="1" t="s">
        <v>4579</v>
      </c>
    </row>
    <row r="1213" spans="1:29" ht="11.25" customHeight="1">
      <c r="A1213" s="233">
        <v>41279</v>
      </c>
      <c r="B1213" s="1" t="s">
        <v>4445</v>
      </c>
      <c r="C1213" s="1" t="s">
        <v>2827</v>
      </c>
      <c r="D1213" s="5" t="s">
        <v>4493</v>
      </c>
      <c r="E1213" s="1">
        <v>1110</v>
      </c>
      <c r="F1213" s="1">
        <v>300</v>
      </c>
      <c r="G1213" s="1" t="s">
        <v>4441</v>
      </c>
      <c r="H1213" s="234">
        <v>0.86</v>
      </c>
      <c r="I1213" s="235">
        <f t="shared" si="94"/>
        <v>258</v>
      </c>
      <c r="K1213" s="241">
        <f>0.72*300</f>
        <v>216</v>
      </c>
      <c r="L1213" s="237">
        <v>41292</v>
      </c>
      <c r="M1213" s="1" t="s">
        <v>2829</v>
      </c>
      <c r="N1213" s="235">
        <f t="shared" si="88"/>
        <v>258</v>
      </c>
      <c r="O1213" s="235">
        <f t="shared" si="93"/>
        <v>0</v>
      </c>
      <c r="P1213" s="238" t="s">
        <v>4580</v>
      </c>
      <c r="Q1213" s="1" t="s">
        <v>4447</v>
      </c>
      <c r="R1213" s="239" t="s">
        <v>4448</v>
      </c>
      <c r="S1213" s="238" t="s">
        <v>4449</v>
      </c>
      <c r="T1213" s="239" t="s">
        <v>4450</v>
      </c>
      <c r="U1213" s="238" t="s">
        <v>4580</v>
      </c>
      <c r="V1213" s="238" t="s">
        <v>4451</v>
      </c>
      <c r="W1213" s="236">
        <v>6756</v>
      </c>
      <c r="X1213" s="233">
        <v>41295</v>
      </c>
      <c r="Y1213" s="238" t="s">
        <v>4447</v>
      </c>
      <c r="AB1213" s="1" t="s">
        <v>2826</v>
      </c>
    </row>
    <row r="1214" spans="1:29" ht="11.25" customHeight="1">
      <c r="A1214" s="233">
        <v>41279</v>
      </c>
      <c r="B1214" s="1" t="s">
        <v>4581</v>
      </c>
      <c r="C1214" s="1" t="s">
        <v>2827</v>
      </c>
      <c r="D1214" s="5" t="s">
        <v>4582</v>
      </c>
      <c r="E1214" s="225" t="s">
        <v>4583</v>
      </c>
      <c r="F1214" s="1">
        <v>150</v>
      </c>
      <c r="G1214" s="1" t="s">
        <v>2838</v>
      </c>
      <c r="H1214" s="234">
        <v>40.6</v>
      </c>
      <c r="I1214" s="235">
        <f t="shared" si="94"/>
        <v>6090</v>
      </c>
      <c r="K1214" s="241">
        <f>28.75*150</f>
        <v>4312.5</v>
      </c>
      <c r="L1214" s="237">
        <v>41327</v>
      </c>
      <c r="M1214" s="1" t="s">
        <v>166</v>
      </c>
      <c r="N1214" s="235">
        <f t="shared" si="88"/>
        <v>6090</v>
      </c>
      <c r="O1214" s="235">
        <f t="shared" si="93"/>
        <v>0</v>
      </c>
      <c r="P1214" s="238" t="s">
        <v>4584</v>
      </c>
      <c r="Q1214" s="1" t="s">
        <v>4585</v>
      </c>
      <c r="R1214" s="1" t="s">
        <v>4586</v>
      </c>
      <c r="S1214" s="238" t="s">
        <v>4587</v>
      </c>
      <c r="T1214" s="238" t="s">
        <v>4588</v>
      </c>
      <c r="U1214" s="238" t="s">
        <v>4589</v>
      </c>
      <c r="V1214" s="238" t="s">
        <v>4590</v>
      </c>
      <c r="W1214" s="236">
        <v>8135</v>
      </c>
      <c r="X1214" s="233">
        <v>41295</v>
      </c>
      <c r="Y1214" s="238" t="s">
        <v>4882</v>
      </c>
      <c r="AB1214" s="1" t="s">
        <v>4504</v>
      </c>
    </row>
    <row r="1215" spans="1:29" ht="11.25" customHeight="1">
      <c r="A1215" s="233">
        <v>41279</v>
      </c>
      <c r="B1215" s="1" t="s">
        <v>4581</v>
      </c>
      <c r="C1215" s="1" t="s">
        <v>2827</v>
      </c>
      <c r="D1215" s="5" t="s">
        <v>4591</v>
      </c>
      <c r="E1215" s="1">
        <v>7502</v>
      </c>
      <c r="F1215" s="1">
        <v>10</v>
      </c>
      <c r="G1215" s="1" t="s">
        <v>2838</v>
      </c>
      <c r="H1215" s="234">
        <v>182</v>
      </c>
      <c r="I1215" s="235">
        <f t="shared" si="94"/>
        <v>1820</v>
      </c>
      <c r="K1215" s="241">
        <f>122.8*8+106*2</f>
        <v>1194.4000000000001</v>
      </c>
      <c r="L1215" s="237">
        <v>41327</v>
      </c>
      <c r="M1215" s="1" t="s">
        <v>166</v>
      </c>
      <c r="N1215" s="235">
        <f t="shared" ref="N1215:N1278" si="95">I1215</f>
        <v>1820</v>
      </c>
      <c r="O1215" s="235">
        <f t="shared" si="93"/>
        <v>0</v>
      </c>
      <c r="P1215" s="238" t="s">
        <v>4584</v>
      </c>
      <c r="Q1215" s="1" t="s">
        <v>4585</v>
      </c>
      <c r="R1215" s="239" t="s">
        <v>4586</v>
      </c>
      <c r="S1215" s="238" t="s">
        <v>4587</v>
      </c>
      <c r="T1215" s="238" t="s">
        <v>4588</v>
      </c>
      <c r="U1215" s="238" t="s">
        <v>4589</v>
      </c>
      <c r="V1215" s="238" t="s">
        <v>4590</v>
      </c>
      <c r="W1215" s="236">
        <v>8135</v>
      </c>
      <c r="X1215" s="233">
        <v>41295</v>
      </c>
      <c r="Y1215" s="238" t="s">
        <v>4882</v>
      </c>
      <c r="AB1215" s="1" t="s">
        <v>4504</v>
      </c>
    </row>
    <row r="1216" spans="1:29" ht="11.25" customHeight="1">
      <c r="A1216" s="233">
        <v>41279</v>
      </c>
      <c r="B1216" s="1" t="s">
        <v>4581</v>
      </c>
      <c r="C1216" s="1" t="s">
        <v>2827</v>
      </c>
      <c r="D1216" s="5" t="s">
        <v>1221</v>
      </c>
      <c r="E1216" s="1" t="s">
        <v>4592</v>
      </c>
      <c r="F1216" s="1">
        <v>5</v>
      </c>
      <c r="G1216" s="1" t="s">
        <v>2838</v>
      </c>
      <c r="H1216" s="234">
        <v>45</v>
      </c>
      <c r="I1216" s="235">
        <f t="shared" si="94"/>
        <v>225</v>
      </c>
      <c r="K1216" s="254">
        <f>34.8*5</f>
        <v>174</v>
      </c>
      <c r="L1216" s="237">
        <v>41327</v>
      </c>
      <c r="M1216" s="1" t="s">
        <v>166</v>
      </c>
      <c r="N1216" s="235">
        <f t="shared" si="95"/>
        <v>225</v>
      </c>
      <c r="O1216" s="235">
        <f t="shared" si="93"/>
        <v>0</v>
      </c>
      <c r="P1216" s="238" t="s">
        <v>4584</v>
      </c>
      <c r="Q1216" s="1" t="s">
        <v>4585</v>
      </c>
      <c r="R1216" s="239" t="s">
        <v>4586</v>
      </c>
      <c r="S1216" s="238" t="s">
        <v>4587</v>
      </c>
      <c r="T1216" s="238" t="s">
        <v>4588</v>
      </c>
      <c r="U1216" s="238" t="s">
        <v>4589</v>
      </c>
      <c r="V1216" s="238" t="s">
        <v>4590</v>
      </c>
      <c r="W1216" s="236">
        <v>8135</v>
      </c>
      <c r="X1216" s="233">
        <v>41295</v>
      </c>
      <c r="Y1216" s="238" t="s">
        <v>4882</v>
      </c>
      <c r="Z1216" s="255" t="s">
        <v>4508</v>
      </c>
      <c r="AB1216" s="1" t="s">
        <v>4504</v>
      </c>
    </row>
    <row r="1217" spans="1:28" ht="11.25" customHeight="1">
      <c r="A1217" s="233">
        <v>41279</v>
      </c>
      <c r="B1217" s="5" t="s">
        <v>1457</v>
      </c>
      <c r="C1217" s="1" t="s">
        <v>2827</v>
      </c>
      <c r="D1217" s="5" t="s">
        <v>4593</v>
      </c>
      <c r="E1217" s="1" t="s">
        <v>4594</v>
      </c>
      <c r="F1217" s="1">
        <v>150</v>
      </c>
      <c r="G1217" s="1" t="s">
        <v>2828</v>
      </c>
      <c r="H1217" s="234">
        <v>20</v>
      </c>
      <c r="I1217" s="235">
        <f t="shared" si="94"/>
        <v>3000</v>
      </c>
      <c r="K1217" s="241">
        <f>17*150</f>
        <v>2550</v>
      </c>
      <c r="L1217" s="237">
        <v>41279</v>
      </c>
      <c r="M1217" s="1" t="s">
        <v>4455</v>
      </c>
      <c r="N1217" s="235">
        <f t="shared" si="95"/>
        <v>3000</v>
      </c>
      <c r="O1217" s="235">
        <f t="shared" si="93"/>
        <v>0</v>
      </c>
      <c r="P1217" s="238" t="s">
        <v>4595</v>
      </c>
      <c r="Q1217" s="1" t="s">
        <v>4596</v>
      </c>
      <c r="R1217" s="239" t="s">
        <v>4597</v>
      </c>
      <c r="S1217" s="238" t="s">
        <v>4598</v>
      </c>
      <c r="T1217" s="238" t="s">
        <v>4450</v>
      </c>
      <c r="U1217" s="238" t="s">
        <v>4450</v>
      </c>
      <c r="V1217" s="246" t="s">
        <v>4461</v>
      </c>
      <c r="AB1217" s="1" t="s">
        <v>2826</v>
      </c>
    </row>
    <row r="1218" spans="1:28" ht="11.25" customHeight="1">
      <c r="A1218" s="233">
        <v>41279</v>
      </c>
      <c r="B1218" s="1" t="s">
        <v>4463</v>
      </c>
      <c r="C1218" s="1" t="s">
        <v>2827</v>
      </c>
      <c r="D1218" s="5" t="s">
        <v>4599</v>
      </c>
      <c r="E1218" s="1" t="s">
        <v>4600</v>
      </c>
      <c r="F1218" s="1">
        <v>30</v>
      </c>
      <c r="G1218" s="1" t="s">
        <v>2838</v>
      </c>
      <c r="H1218" s="234">
        <v>50.5</v>
      </c>
      <c r="I1218" s="235">
        <f t="shared" si="94"/>
        <v>1515</v>
      </c>
      <c r="K1218" s="241">
        <f>49.5*30</f>
        <v>1485</v>
      </c>
      <c r="L1218" s="237">
        <v>41330</v>
      </c>
      <c r="M1218" s="1" t="s">
        <v>5155</v>
      </c>
      <c r="N1218" s="235">
        <f t="shared" si="95"/>
        <v>1515</v>
      </c>
      <c r="O1218" s="235">
        <f t="shared" si="93"/>
        <v>0</v>
      </c>
      <c r="P1218" s="238" t="s">
        <v>4601</v>
      </c>
      <c r="Q1218" s="1" t="s">
        <v>4465</v>
      </c>
      <c r="R1218" s="239" t="s">
        <v>4466</v>
      </c>
      <c r="S1218" s="238">
        <v>13368068212</v>
      </c>
      <c r="T1218" s="238" t="s">
        <v>4450</v>
      </c>
      <c r="U1218" s="238" t="s">
        <v>4450</v>
      </c>
      <c r="V1218" s="238" t="s">
        <v>4969</v>
      </c>
      <c r="W1218" s="236">
        <v>51540.38</v>
      </c>
      <c r="X1218" s="233">
        <v>41309</v>
      </c>
      <c r="Y1218" s="238" t="s">
        <v>3866</v>
      </c>
      <c r="AB1218" s="1" t="s">
        <v>1561</v>
      </c>
    </row>
    <row r="1219" spans="1:28" ht="11.25" customHeight="1">
      <c r="A1219" s="233">
        <v>41279</v>
      </c>
      <c r="B1219" s="1" t="s">
        <v>1569</v>
      </c>
      <c r="C1219" s="1" t="s">
        <v>1329</v>
      </c>
      <c r="D1219" s="5" t="s">
        <v>1663</v>
      </c>
      <c r="E1219" s="1" t="s">
        <v>1659</v>
      </c>
      <c r="F1219" s="1">
        <v>10</v>
      </c>
      <c r="G1219" s="1" t="s">
        <v>827</v>
      </c>
      <c r="H1219" s="234">
        <v>72</v>
      </c>
      <c r="I1219" s="235">
        <f t="shared" si="94"/>
        <v>720</v>
      </c>
      <c r="K1219" s="241">
        <f>69.5*10</f>
        <v>695</v>
      </c>
      <c r="L1219" s="237">
        <v>41309</v>
      </c>
      <c r="M1219" s="1" t="s">
        <v>166</v>
      </c>
      <c r="N1219" s="235">
        <f t="shared" si="95"/>
        <v>720</v>
      </c>
      <c r="O1219" s="235">
        <f t="shared" si="93"/>
        <v>0</v>
      </c>
      <c r="P1219" s="238" t="s">
        <v>1661</v>
      </c>
      <c r="Q1219" s="1" t="s">
        <v>1571</v>
      </c>
      <c r="R1219" s="239" t="s">
        <v>1570</v>
      </c>
      <c r="S1219" s="238">
        <v>13368068212</v>
      </c>
      <c r="T1219" s="238" t="s">
        <v>167</v>
      </c>
      <c r="U1219" s="238" t="s">
        <v>167</v>
      </c>
      <c r="V1219" s="238" t="s">
        <v>1857</v>
      </c>
      <c r="W1219" s="236">
        <v>15120</v>
      </c>
      <c r="X1219" s="233">
        <v>41303</v>
      </c>
      <c r="Y1219" s="238" t="s">
        <v>3866</v>
      </c>
      <c r="AB1219" s="1" t="s">
        <v>1561</v>
      </c>
    </row>
    <row r="1220" spans="1:28" ht="12" customHeight="1">
      <c r="A1220" s="233">
        <v>41280</v>
      </c>
      <c r="B1220" s="1" t="s">
        <v>1563</v>
      </c>
      <c r="C1220" s="383" t="s">
        <v>162</v>
      </c>
      <c r="D1220" s="1" t="s">
        <v>1764</v>
      </c>
      <c r="E1220" s="1" t="s">
        <v>181</v>
      </c>
      <c r="F1220" s="225">
        <v>500</v>
      </c>
      <c r="G1220" s="1" t="s">
        <v>170</v>
      </c>
      <c r="H1220" s="234">
        <v>2.5</v>
      </c>
      <c r="I1220" s="235">
        <f t="shared" si="94"/>
        <v>1250</v>
      </c>
      <c r="K1220" s="241">
        <f>1.65*500</f>
        <v>825</v>
      </c>
      <c r="N1220" s="235">
        <v>0</v>
      </c>
      <c r="O1220" s="235">
        <f t="shared" si="93"/>
        <v>1250</v>
      </c>
      <c r="P1220" s="238" t="s">
        <v>1674</v>
      </c>
      <c r="Q1220" s="1" t="s">
        <v>1562</v>
      </c>
      <c r="R1220" s="239" t="s">
        <v>1389</v>
      </c>
      <c r="S1220" s="238" t="s">
        <v>4122</v>
      </c>
      <c r="T1220" s="238" t="s">
        <v>2256</v>
      </c>
      <c r="U1220" s="238" t="s">
        <v>2257</v>
      </c>
      <c r="V1220" s="238" t="s">
        <v>5699</v>
      </c>
      <c r="W1220" s="236">
        <v>2150</v>
      </c>
      <c r="X1220" s="233">
        <v>41354</v>
      </c>
      <c r="Y1220" s="238" t="s">
        <v>5700</v>
      </c>
      <c r="AB1220" s="1" t="s">
        <v>3793</v>
      </c>
    </row>
    <row r="1221" spans="1:28" ht="12" customHeight="1">
      <c r="A1221" s="233">
        <v>41280</v>
      </c>
      <c r="B1221" s="1" t="s">
        <v>2260</v>
      </c>
      <c r="C1221" s="383" t="s">
        <v>2240</v>
      </c>
      <c r="D1221" s="5" t="s">
        <v>4602</v>
      </c>
      <c r="E1221" s="1">
        <v>4620</v>
      </c>
      <c r="F1221" s="225">
        <v>10</v>
      </c>
      <c r="G1221" s="1" t="s">
        <v>3796</v>
      </c>
      <c r="H1221" s="234">
        <v>22.5</v>
      </c>
      <c r="I1221" s="235">
        <f t="shared" si="94"/>
        <v>225</v>
      </c>
      <c r="K1221" s="241">
        <f>17.79*10</f>
        <v>177.89999999999998</v>
      </c>
      <c r="N1221" s="235">
        <v>0</v>
      </c>
      <c r="O1221" s="235">
        <f t="shared" si="93"/>
        <v>225</v>
      </c>
      <c r="P1221" s="238" t="s">
        <v>4603</v>
      </c>
      <c r="Q1221" s="1" t="s">
        <v>3798</v>
      </c>
      <c r="R1221" s="239" t="s">
        <v>1389</v>
      </c>
      <c r="S1221" s="238" t="s">
        <v>4122</v>
      </c>
      <c r="T1221" s="238" t="s">
        <v>2256</v>
      </c>
      <c r="U1221" s="238" t="s">
        <v>2257</v>
      </c>
      <c r="V1221" s="238" t="s">
        <v>5699</v>
      </c>
      <c r="W1221" s="236">
        <v>2150</v>
      </c>
      <c r="X1221" s="233">
        <v>41354</v>
      </c>
      <c r="Y1221" s="238" t="s">
        <v>5700</v>
      </c>
      <c r="AB1221" s="1" t="s">
        <v>3793</v>
      </c>
    </row>
    <row r="1222" spans="1:28" ht="11.25" customHeight="1">
      <c r="A1222" s="233">
        <v>41280</v>
      </c>
      <c r="B1222" s="1" t="s">
        <v>4604</v>
      </c>
      <c r="C1222" s="1" t="s">
        <v>2240</v>
      </c>
      <c r="D1222" s="5" t="s">
        <v>4605</v>
      </c>
      <c r="E1222" s="1" t="s">
        <v>4606</v>
      </c>
      <c r="F1222" s="1">
        <v>70</v>
      </c>
      <c r="G1222" s="1" t="s">
        <v>3811</v>
      </c>
      <c r="H1222" s="234">
        <v>125</v>
      </c>
      <c r="I1222" s="235">
        <f t="shared" si="94"/>
        <v>8750</v>
      </c>
      <c r="K1222" s="241">
        <f>85*70</f>
        <v>5950</v>
      </c>
      <c r="L1222" s="237">
        <v>41291</v>
      </c>
      <c r="M1222" s="1" t="s">
        <v>2243</v>
      </c>
      <c r="N1222" s="235">
        <f t="shared" si="95"/>
        <v>8750</v>
      </c>
      <c r="O1222" s="235">
        <f t="shared" ref="O1222:O1268" si="96">I1222-N1222</f>
        <v>0</v>
      </c>
      <c r="P1222" s="238" t="s">
        <v>2257</v>
      </c>
      <c r="Q1222" s="1" t="s">
        <v>3857</v>
      </c>
      <c r="R1222" s="239" t="s">
        <v>4607</v>
      </c>
      <c r="S1222" s="238" t="s">
        <v>4607</v>
      </c>
      <c r="T1222" s="238" t="s">
        <v>2257</v>
      </c>
      <c r="U1222" s="238" t="s">
        <v>2257</v>
      </c>
      <c r="V1222" s="238" t="s">
        <v>4608</v>
      </c>
      <c r="AB1222" s="1" t="s">
        <v>3793</v>
      </c>
    </row>
    <row r="1223" spans="1:28" ht="11.25" customHeight="1">
      <c r="A1223" s="233">
        <v>41280</v>
      </c>
      <c r="B1223" s="1" t="s">
        <v>4604</v>
      </c>
      <c r="C1223" s="1" t="s">
        <v>2240</v>
      </c>
      <c r="D1223" s="5" t="s">
        <v>4609</v>
      </c>
      <c r="E1223" s="1" t="s">
        <v>4610</v>
      </c>
      <c r="F1223" s="1">
        <v>70</v>
      </c>
      <c r="G1223" s="1" t="s">
        <v>3811</v>
      </c>
      <c r="H1223" s="234">
        <v>48</v>
      </c>
      <c r="I1223" s="235">
        <f t="shared" si="94"/>
        <v>3360</v>
      </c>
      <c r="K1223" s="241">
        <f>25*70</f>
        <v>1750</v>
      </c>
      <c r="L1223" s="237">
        <v>41291</v>
      </c>
      <c r="M1223" s="1" t="s">
        <v>2243</v>
      </c>
      <c r="N1223" s="235">
        <f t="shared" si="95"/>
        <v>3360</v>
      </c>
      <c r="O1223" s="235">
        <f t="shared" si="96"/>
        <v>0</v>
      </c>
      <c r="P1223" s="238" t="s">
        <v>2257</v>
      </c>
      <c r="Q1223" s="1" t="s">
        <v>3857</v>
      </c>
      <c r="R1223" s="239" t="s">
        <v>4607</v>
      </c>
      <c r="S1223" s="238" t="s">
        <v>4607</v>
      </c>
      <c r="T1223" s="238" t="s">
        <v>2257</v>
      </c>
      <c r="U1223" s="238" t="s">
        <v>2257</v>
      </c>
      <c r="V1223" s="238" t="s">
        <v>4608</v>
      </c>
      <c r="AB1223" s="1" t="s">
        <v>3793</v>
      </c>
    </row>
    <row r="1224" spans="1:28" ht="12" customHeight="1">
      <c r="A1224" s="233">
        <v>41280</v>
      </c>
      <c r="B1224" s="1" t="s">
        <v>4604</v>
      </c>
      <c r="C1224" s="1" t="s">
        <v>2240</v>
      </c>
      <c r="D1224" s="5" t="s">
        <v>4611</v>
      </c>
      <c r="E1224" s="225" t="s">
        <v>4612</v>
      </c>
      <c r="F1224" s="1">
        <v>70</v>
      </c>
      <c r="G1224" s="1" t="s">
        <v>4613</v>
      </c>
      <c r="H1224" s="234">
        <v>42</v>
      </c>
      <c r="I1224" s="235">
        <f t="shared" si="94"/>
        <v>2940</v>
      </c>
      <c r="K1224" s="241">
        <f>17.82*70</f>
        <v>1247.4000000000001</v>
      </c>
      <c r="L1224" s="237">
        <v>41291</v>
      </c>
      <c r="M1224" s="1" t="s">
        <v>2243</v>
      </c>
      <c r="N1224" s="235">
        <f t="shared" si="95"/>
        <v>2940</v>
      </c>
      <c r="O1224" s="235">
        <f t="shared" si="96"/>
        <v>0</v>
      </c>
      <c r="P1224" s="238" t="s">
        <v>2257</v>
      </c>
      <c r="Q1224" s="1" t="s">
        <v>3857</v>
      </c>
      <c r="R1224" s="239" t="s">
        <v>4607</v>
      </c>
      <c r="S1224" s="238" t="s">
        <v>4607</v>
      </c>
      <c r="T1224" s="238" t="s">
        <v>2257</v>
      </c>
      <c r="U1224" s="238" t="s">
        <v>2257</v>
      </c>
      <c r="V1224" s="238" t="s">
        <v>4608</v>
      </c>
      <c r="AB1224" s="1" t="s">
        <v>3793</v>
      </c>
    </row>
    <row r="1225" spans="1:28" ht="11.25" customHeight="1">
      <c r="A1225" s="233">
        <v>41280</v>
      </c>
      <c r="B1225" s="1" t="s">
        <v>4604</v>
      </c>
      <c r="C1225" s="1" t="s">
        <v>2240</v>
      </c>
      <c r="D1225" s="5" t="s">
        <v>4614</v>
      </c>
      <c r="E1225" s="1" t="s">
        <v>4615</v>
      </c>
      <c r="F1225" s="1">
        <v>70</v>
      </c>
      <c r="G1225" s="1" t="s">
        <v>3811</v>
      </c>
      <c r="H1225" s="234">
        <v>45</v>
      </c>
      <c r="I1225" s="235">
        <f t="shared" si="94"/>
        <v>3150</v>
      </c>
      <c r="K1225" s="241">
        <f>19.8*70</f>
        <v>1386</v>
      </c>
      <c r="L1225" s="237">
        <v>41291</v>
      </c>
      <c r="M1225" s="1" t="s">
        <v>2243</v>
      </c>
      <c r="N1225" s="235">
        <f t="shared" si="95"/>
        <v>3150</v>
      </c>
      <c r="O1225" s="235">
        <f t="shared" si="96"/>
        <v>0</v>
      </c>
      <c r="P1225" s="238" t="s">
        <v>2257</v>
      </c>
      <c r="Q1225" s="1" t="s">
        <v>3857</v>
      </c>
      <c r="R1225" s="239" t="s">
        <v>4607</v>
      </c>
      <c r="S1225" s="238" t="s">
        <v>4607</v>
      </c>
      <c r="T1225" s="238" t="s">
        <v>2257</v>
      </c>
      <c r="U1225" s="238" t="s">
        <v>2257</v>
      </c>
      <c r="V1225" s="238" t="s">
        <v>4608</v>
      </c>
      <c r="AB1225" s="1" t="s">
        <v>3793</v>
      </c>
    </row>
    <row r="1226" spans="1:28">
      <c r="A1226" s="233">
        <v>41280</v>
      </c>
      <c r="B1226" s="1" t="s">
        <v>4616</v>
      </c>
      <c r="C1226" s="1" t="s">
        <v>2240</v>
      </c>
      <c r="D1226" s="5" t="s">
        <v>1221</v>
      </c>
      <c r="E1226" s="1" t="s">
        <v>4617</v>
      </c>
      <c r="F1226" s="225">
        <v>100</v>
      </c>
      <c r="G1226" s="225" t="s">
        <v>3811</v>
      </c>
      <c r="H1226" s="234">
        <v>37.65</v>
      </c>
      <c r="I1226" s="235">
        <f t="shared" si="94"/>
        <v>3765</v>
      </c>
      <c r="K1226" s="241">
        <f>35.6*100</f>
        <v>3560</v>
      </c>
      <c r="L1226" s="237">
        <v>41331</v>
      </c>
      <c r="M1226" s="1" t="s">
        <v>5240</v>
      </c>
      <c r="N1226" s="235">
        <f t="shared" si="95"/>
        <v>3765</v>
      </c>
      <c r="O1226" s="235">
        <f t="shared" si="96"/>
        <v>0</v>
      </c>
      <c r="P1226" s="238" t="s">
        <v>2257</v>
      </c>
      <c r="Q1226" s="1" t="s">
        <v>4618</v>
      </c>
      <c r="R1226" s="239" t="s">
        <v>4619</v>
      </c>
      <c r="S1226" s="238" t="s">
        <v>4620</v>
      </c>
      <c r="T1226" s="238" t="s">
        <v>4621</v>
      </c>
      <c r="U1226" s="238" t="s">
        <v>4622</v>
      </c>
      <c r="V1226" s="238" t="s">
        <v>4623</v>
      </c>
      <c r="W1226" s="236">
        <v>42716</v>
      </c>
      <c r="X1226" s="233">
        <v>41295</v>
      </c>
      <c r="Y1226" s="238" t="s">
        <v>4624</v>
      </c>
      <c r="AB1226" s="1" t="s">
        <v>3809</v>
      </c>
    </row>
    <row r="1227" spans="1:28" ht="11.25" customHeight="1">
      <c r="A1227" s="233">
        <v>41281</v>
      </c>
      <c r="B1227" s="1" t="s">
        <v>4625</v>
      </c>
      <c r="C1227" s="1" t="s">
        <v>2240</v>
      </c>
      <c r="D1227" s="5" t="s">
        <v>2244</v>
      </c>
      <c r="E1227" s="1" t="s">
        <v>2270</v>
      </c>
      <c r="F1227" s="1">
        <v>1000</v>
      </c>
      <c r="G1227" s="1" t="s">
        <v>3802</v>
      </c>
      <c r="H1227" s="234">
        <v>1.65</v>
      </c>
      <c r="I1227" s="235">
        <f t="shared" si="94"/>
        <v>1650</v>
      </c>
      <c r="K1227" s="241">
        <f>1.54*1000</f>
        <v>1540</v>
      </c>
      <c r="L1227" s="237">
        <v>41330</v>
      </c>
      <c r="M1227" s="1" t="s">
        <v>5155</v>
      </c>
      <c r="N1227" s="235">
        <f t="shared" si="95"/>
        <v>1650</v>
      </c>
      <c r="O1227" s="235">
        <f t="shared" si="96"/>
        <v>0</v>
      </c>
      <c r="P1227" s="238" t="s">
        <v>4626</v>
      </c>
      <c r="Q1227" s="1" t="s">
        <v>4627</v>
      </c>
      <c r="R1227" s="239" t="s">
        <v>4628</v>
      </c>
      <c r="S1227" s="238">
        <v>13368068212</v>
      </c>
      <c r="T1227" s="238" t="s">
        <v>2257</v>
      </c>
      <c r="U1227" s="238" t="s">
        <v>2257</v>
      </c>
      <c r="V1227" s="238" t="s">
        <v>4969</v>
      </c>
      <c r="W1227" s="236">
        <v>51540.38</v>
      </c>
      <c r="X1227" s="233">
        <v>41309</v>
      </c>
      <c r="Y1227" s="238" t="s">
        <v>3866</v>
      </c>
      <c r="AB1227" s="1" t="s">
        <v>3809</v>
      </c>
    </row>
    <row r="1228" spans="1:28" ht="11.25" customHeight="1">
      <c r="A1228" s="233">
        <v>41281</v>
      </c>
      <c r="B1228" s="1" t="s">
        <v>4629</v>
      </c>
      <c r="C1228" s="1" t="s">
        <v>2240</v>
      </c>
      <c r="D1228" s="5" t="s">
        <v>854</v>
      </c>
      <c r="E1228" s="1">
        <v>9032</v>
      </c>
      <c r="F1228" s="1">
        <v>100</v>
      </c>
      <c r="G1228" s="1" t="s">
        <v>3811</v>
      </c>
      <c r="H1228" s="234">
        <v>2.1</v>
      </c>
      <c r="I1228" s="235">
        <f t="shared" ref="I1228:I1284" si="97">F1228*H1228</f>
        <v>210</v>
      </c>
      <c r="K1228" s="241">
        <f>1.4929*100</f>
        <v>149.29</v>
      </c>
      <c r="L1228" s="237">
        <v>41298</v>
      </c>
      <c r="M1228" s="1" t="s">
        <v>3812</v>
      </c>
      <c r="N1228" s="235">
        <f t="shared" si="95"/>
        <v>210</v>
      </c>
      <c r="O1228" s="235">
        <f t="shared" si="96"/>
        <v>0</v>
      </c>
      <c r="P1228" s="238" t="s">
        <v>4630</v>
      </c>
      <c r="Q1228" s="1" t="s">
        <v>4136</v>
      </c>
      <c r="R1228" s="239" t="s">
        <v>4631</v>
      </c>
      <c r="S1228" s="238" t="s">
        <v>4632</v>
      </c>
      <c r="T1228" s="238" t="s">
        <v>4633</v>
      </c>
      <c r="U1228" s="238" t="s">
        <v>4634</v>
      </c>
      <c r="V1228" s="238" t="s">
        <v>2266</v>
      </c>
      <c r="AB1228" s="1" t="s">
        <v>3793</v>
      </c>
    </row>
    <row r="1229" spans="1:28" ht="11.25" customHeight="1">
      <c r="A1229" s="233">
        <v>41281</v>
      </c>
      <c r="B1229" s="1" t="s">
        <v>4635</v>
      </c>
      <c r="C1229" s="1" t="s">
        <v>2240</v>
      </c>
      <c r="D1229" s="5" t="s">
        <v>3865</v>
      </c>
      <c r="E1229" s="1">
        <v>52000183617</v>
      </c>
      <c r="F1229" s="1">
        <v>1</v>
      </c>
      <c r="G1229" s="1" t="s">
        <v>3811</v>
      </c>
      <c r="H1229" s="234">
        <v>966</v>
      </c>
      <c r="I1229" s="235">
        <f t="shared" si="97"/>
        <v>966</v>
      </c>
      <c r="K1229" s="241">
        <f>938*1</f>
        <v>938</v>
      </c>
      <c r="L1229" s="237">
        <v>41305</v>
      </c>
      <c r="M1229" s="264" t="s">
        <v>166</v>
      </c>
      <c r="N1229" s="235">
        <f t="shared" si="95"/>
        <v>966</v>
      </c>
      <c r="O1229" s="235">
        <f t="shared" si="96"/>
        <v>0</v>
      </c>
      <c r="P1229" s="238" t="s">
        <v>2257</v>
      </c>
      <c r="Q1229" s="1" t="s">
        <v>3814</v>
      </c>
      <c r="R1229" s="239" t="s">
        <v>4636</v>
      </c>
      <c r="S1229" s="238" t="s">
        <v>1691</v>
      </c>
      <c r="T1229" s="238" t="s">
        <v>1690</v>
      </c>
      <c r="U1229" s="238" t="s">
        <v>4637</v>
      </c>
      <c r="V1229" s="238" t="s">
        <v>5537</v>
      </c>
      <c r="W1229" s="236">
        <v>2806.8</v>
      </c>
      <c r="X1229" s="233">
        <v>41347</v>
      </c>
      <c r="Y1229" s="238" t="s">
        <v>5538</v>
      </c>
      <c r="AB1229" s="225" t="s">
        <v>4638</v>
      </c>
    </row>
    <row r="1230" spans="1:28" ht="11.25" customHeight="1">
      <c r="A1230" s="233">
        <v>41281</v>
      </c>
      <c r="B1230" s="1" t="s">
        <v>4635</v>
      </c>
      <c r="C1230" s="1" t="s">
        <v>2240</v>
      </c>
      <c r="D1230" s="1" t="s">
        <v>1213</v>
      </c>
      <c r="E1230" s="1" t="s">
        <v>2268</v>
      </c>
      <c r="F1230" s="1">
        <v>4</v>
      </c>
      <c r="G1230" s="1" t="s">
        <v>3800</v>
      </c>
      <c r="H1230" s="234">
        <v>13.2</v>
      </c>
      <c r="I1230" s="235">
        <f t="shared" si="97"/>
        <v>52.8</v>
      </c>
      <c r="K1230" s="250">
        <f>12.5*4</f>
        <v>50</v>
      </c>
      <c r="L1230" s="237">
        <v>41305</v>
      </c>
      <c r="M1230" s="264" t="s">
        <v>166</v>
      </c>
      <c r="N1230" s="235">
        <f t="shared" si="95"/>
        <v>52.8</v>
      </c>
      <c r="O1230" s="235">
        <f t="shared" si="96"/>
        <v>0</v>
      </c>
      <c r="P1230" s="238" t="s">
        <v>2257</v>
      </c>
      <c r="Q1230" s="1" t="s">
        <v>3814</v>
      </c>
      <c r="R1230" s="239" t="s">
        <v>4636</v>
      </c>
      <c r="S1230" s="238" t="s">
        <v>1691</v>
      </c>
      <c r="T1230" s="238" t="s">
        <v>1690</v>
      </c>
      <c r="U1230" s="238" t="s">
        <v>4637</v>
      </c>
      <c r="V1230" s="238" t="s">
        <v>5537</v>
      </c>
      <c r="W1230" s="236">
        <v>2806.8</v>
      </c>
      <c r="X1230" s="233">
        <v>41347</v>
      </c>
      <c r="Y1230" s="238" t="s">
        <v>5538</v>
      </c>
      <c r="AB1230" s="225" t="s">
        <v>4638</v>
      </c>
    </row>
    <row r="1231" spans="1:28" ht="11.25" customHeight="1">
      <c r="A1231" s="233">
        <v>41282</v>
      </c>
      <c r="B1231" s="1" t="s">
        <v>4639</v>
      </c>
      <c r="C1231" s="1" t="s">
        <v>2240</v>
      </c>
      <c r="D1231" s="1" t="s">
        <v>1219</v>
      </c>
      <c r="E1231" s="1" t="s">
        <v>4640</v>
      </c>
      <c r="F1231" s="1">
        <v>100</v>
      </c>
      <c r="G1231" s="5" t="s">
        <v>3811</v>
      </c>
      <c r="H1231" s="234">
        <v>6</v>
      </c>
      <c r="I1231" s="235">
        <f t="shared" si="97"/>
        <v>600</v>
      </c>
      <c r="K1231" s="241">
        <f>3.6*100</f>
        <v>360</v>
      </c>
      <c r="L1231" s="237">
        <v>41309</v>
      </c>
      <c r="M1231" s="1" t="s">
        <v>5240</v>
      </c>
      <c r="N1231" s="235">
        <f t="shared" si="95"/>
        <v>600</v>
      </c>
      <c r="O1231" s="235">
        <f t="shared" si="96"/>
        <v>0</v>
      </c>
      <c r="P1231" s="238" t="s">
        <v>4641</v>
      </c>
      <c r="Q1231" s="1" t="s">
        <v>3857</v>
      </c>
      <c r="R1231" s="239" t="s">
        <v>4642</v>
      </c>
      <c r="S1231" s="238" t="s">
        <v>4643</v>
      </c>
      <c r="T1231" s="238" t="s">
        <v>4644</v>
      </c>
      <c r="U1231" s="238" t="s">
        <v>2257</v>
      </c>
      <c r="V1231" s="238" t="s">
        <v>4645</v>
      </c>
      <c r="W1231" s="236">
        <v>600</v>
      </c>
      <c r="X1231" s="233">
        <v>41282</v>
      </c>
      <c r="AA1231" s="282" t="s">
        <v>3831</v>
      </c>
      <c r="AB1231" s="1" t="s">
        <v>3793</v>
      </c>
    </row>
    <row r="1232" spans="1:28" ht="11.25" customHeight="1">
      <c r="A1232" s="233">
        <v>41282</v>
      </c>
      <c r="B1232" s="1" t="s">
        <v>4646</v>
      </c>
      <c r="C1232" s="1" t="s">
        <v>2240</v>
      </c>
      <c r="D1232" s="5" t="s">
        <v>2244</v>
      </c>
      <c r="E1232" s="1" t="s">
        <v>2270</v>
      </c>
      <c r="F1232" s="1">
        <v>1000</v>
      </c>
      <c r="G1232" s="1" t="s">
        <v>3802</v>
      </c>
      <c r="H1232" s="234">
        <v>1.82</v>
      </c>
      <c r="I1232" s="235">
        <f t="shared" si="97"/>
        <v>1820</v>
      </c>
      <c r="K1232" s="241">
        <f>1.54*1000</f>
        <v>1540</v>
      </c>
      <c r="L1232" s="237">
        <v>41282</v>
      </c>
      <c r="M1232" s="1" t="s">
        <v>3812</v>
      </c>
      <c r="N1232" s="235">
        <f t="shared" si="95"/>
        <v>1820</v>
      </c>
      <c r="O1232" s="235">
        <f t="shared" si="96"/>
        <v>0</v>
      </c>
      <c r="P1232" s="238" t="s">
        <v>4647</v>
      </c>
      <c r="Q1232" s="1" t="s">
        <v>4648</v>
      </c>
      <c r="R1232" s="239" t="s">
        <v>4649</v>
      </c>
      <c r="S1232" s="238" t="s">
        <v>4650</v>
      </c>
      <c r="T1232" s="238" t="s">
        <v>4651</v>
      </c>
      <c r="U1232" s="238" t="s">
        <v>4652</v>
      </c>
      <c r="V1232" s="238" t="s">
        <v>4653</v>
      </c>
      <c r="W1232" s="236">
        <v>2500</v>
      </c>
      <c r="X1232" s="233">
        <v>41297</v>
      </c>
      <c r="Y1232" s="238" t="s">
        <v>4654</v>
      </c>
      <c r="AA1232" s="282" t="s">
        <v>3831</v>
      </c>
      <c r="AB1232" s="1" t="s">
        <v>3809</v>
      </c>
    </row>
    <row r="1233" spans="1:28" ht="11.25" customHeight="1">
      <c r="A1233" s="233">
        <v>41282</v>
      </c>
      <c r="B1233" s="1" t="s">
        <v>3810</v>
      </c>
      <c r="C1233" s="1" t="s">
        <v>2240</v>
      </c>
      <c r="D1233" s="5" t="s">
        <v>2012</v>
      </c>
      <c r="E1233" s="1" t="s">
        <v>2262</v>
      </c>
      <c r="F1233" s="1">
        <v>1500</v>
      </c>
      <c r="G1233" s="1" t="s">
        <v>4970</v>
      </c>
      <c r="H1233" s="234">
        <v>1.59</v>
      </c>
      <c r="I1233" s="235">
        <f t="shared" si="97"/>
        <v>2385</v>
      </c>
      <c r="K1233" s="241">
        <f>1.4*1500</f>
        <v>2100</v>
      </c>
      <c r="L1233" s="237">
        <v>41344</v>
      </c>
      <c r="M1233" s="1" t="s">
        <v>165</v>
      </c>
      <c r="N1233" s="235">
        <f t="shared" si="95"/>
        <v>2385</v>
      </c>
      <c r="O1233" s="235">
        <f t="shared" si="96"/>
        <v>0</v>
      </c>
      <c r="P1233" s="238" t="s">
        <v>4655</v>
      </c>
      <c r="Q1233" s="1" t="s">
        <v>4656</v>
      </c>
      <c r="R1233" s="239" t="s">
        <v>3815</v>
      </c>
      <c r="S1233" s="238" t="s">
        <v>3816</v>
      </c>
      <c r="T1233" s="238" t="s">
        <v>4657</v>
      </c>
      <c r="U1233" s="238" t="s">
        <v>4658</v>
      </c>
      <c r="V1233" s="238" t="s">
        <v>2266</v>
      </c>
      <c r="AB1233" s="1" t="s">
        <v>3809</v>
      </c>
    </row>
    <row r="1234" spans="1:28" ht="11.25" customHeight="1">
      <c r="A1234" s="233">
        <v>41282</v>
      </c>
      <c r="B1234" s="1" t="s">
        <v>3810</v>
      </c>
      <c r="C1234" s="1" t="s">
        <v>2240</v>
      </c>
      <c r="D1234" s="1" t="s">
        <v>1711</v>
      </c>
      <c r="E1234" s="1" t="s">
        <v>4659</v>
      </c>
      <c r="F1234" s="1">
        <v>300</v>
      </c>
      <c r="G1234" s="1" t="s">
        <v>3811</v>
      </c>
      <c r="H1234" s="234">
        <v>4.18</v>
      </c>
      <c r="I1234" s="235">
        <f t="shared" si="97"/>
        <v>1254</v>
      </c>
      <c r="K1234" s="241">
        <f>3.63*300</f>
        <v>1089</v>
      </c>
      <c r="L1234" s="237">
        <v>41344</v>
      </c>
      <c r="M1234" s="1" t="s">
        <v>165</v>
      </c>
      <c r="N1234" s="235">
        <f t="shared" si="95"/>
        <v>1254</v>
      </c>
      <c r="O1234" s="235">
        <f t="shared" si="96"/>
        <v>0</v>
      </c>
      <c r="P1234" s="238" t="s">
        <v>4655</v>
      </c>
      <c r="Q1234" s="1" t="s">
        <v>4656</v>
      </c>
      <c r="R1234" s="239" t="s">
        <v>3815</v>
      </c>
      <c r="S1234" s="238" t="s">
        <v>3816</v>
      </c>
      <c r="T1234" s="238" t="s">
        <v>4657</v>
      </c>
      <c r="U1234" s="238" t="s">
        <v>4658</v>
      </c>
      <c r="V1234" s="238" t="s">
        <v>2266</v>
      </c>
      <c r="AB1234" s="1" t="s">
        <v>3809</v>
      </c>
    </row>
    <row r="1235" spans="1:28" ht="11.25" customHeight="1">
      <c r="A1235" s="233">
        <v>41282</v>
      </c>
      <c r="B1235" s="1" t="s">
        <v>3810</v>
      </c>
      <c r="C1235" s="1" t="s">
        <v>2240</v>
      </c>
      <c r="D1235" s="5" t="s">
        <v>4660</v>
      </c>
      <c r="E1235" s="1">
        <v>1270</v>
      </c>
      <c r="F1235" s="1">
        <v>200</v>
      </c>
      <c r="G1235" s="1" t="s">
        <v>3800</v>
      </c>
      <c r="H1235" s="234">
        <v>4.3</v>
      </c>
      <c r="I1235" s="235">
        <f t="shared" si="97"/>
        <v>860</v>
      </c>
      <c r="K1235" s="241">
        <f>4.14*200</f>
        <v>827.99999999999989</v>
      </c>
      <c r="L1235" s="237">
        <v>41344</v>
      </c>
      <c r="M1235" s="1" t="s">
        <v>165</v>
      </c>
      <c r="N1235" s="235">
        <f t="shared" si="95"/>
        <v>860</v>
      </c>
      <c r="O1235" s="235">
        <f t="shared" si="96"/>
        <v>0</v>
      </c>
      <c r="P1235" s="238" t="s">
        <v>4655</v>
      </c>
      <c r="Q1235" s="1" t="s">
        <v>4656</v>
      </c>
      <c r="R1235" s="239" t="s">
        <v>3815</v>
      </c>
      <c r="S1235" s="238" t="s">
        <v>3816</v>
      </c>
      <c r="T1235" s="238" t="s">
        <v>4657</v>
      </c>
      <c r="U1235" s="238" t="s">
        <v>4658</v>
      </c>
      <c r="V1235" s="238" t="s">
        <v>2266</v>
      </c>
      <c r="AB1235" s="1" t="s">
        <v>3809</v>
      </c>
    </row>
    <row r="1236" spans="1:28" ht="11.25" customHeight="1">
      <c r="A1236" s="233">
        <v>41282</v>
      </c>
      <c r="B1236" s="1" t="s">
        <v>3810</v>
      </c>
      <c r="C1236" s="1" t="s">
        <v>2240</v>
      </c>
      <c r="D1236" s="1" t="s">
        <v>3854</v>
      </c>
      <c r="E1236" s="1" t="s">
        <v>4661</v>
      </c>
      <c r="F1236" s="1">
        <v>30</v>
      </c>
      <c r="G1236" s="1" t="s">
        <v>3800</v>
      </c>
      <c r="H1236" s="234">
        <v>16.559999999999999</v>
      </c>
      <c r="I1236" s="235">
        <f t="shared" si="97"/>
        <v>496.79999999999995</v>
      </c>
      <c r="K1236" s="241">
        <f>13.8*30</f>
        <v>414</v>
      </c>
      <c r="L1236" s="237">
        <v>41344</v>
      </c>
      <c r="M1236" s="1" t="s">
        <v>165</v>
      </c>
      <c r="N1236" s="235">
        <f t="shared" si="95"/>
        <v>496.79999999999995</v>
      </c>
      <c r="O1236" s="235">
        <f t="shared" si="96"/>
        <v>0</v>
      </c>
      <c r="P1236" s="238" t="s">
        <v>4655</v>
      </c>
      <c r="Q1236" s="1" t="s">
        <v>4656</v>
      </c>
      <c r="R1236" s="239" t="s">
        <v>3815</v>
      </c>
      <c r="S1236" s="238" t="s">
        <v>3816</v>
      </c>
      <c r="T1236" s="238" t="s">
        <v>4657</v>
      </c>
      <c r="U1236" s="238" t="s">
        <v>4658</v>
      </c>
      <c r="V1236" s="238" t="s">
        <v>2266</v>
      </c>
      <c r="AB1236" s="1" t="s">
        <v>3809</v>
      </c>
    </row>
    <row r="1237" spans="1:28" ht="11.25" customHeight="1">
      <c r="A1237" s="233">
        <v>41282</v>
      </c>
      <c r="B1237" s="1" t="s">
        <v>4625</v>
      </c>
      <c r="C1237" s="1" t="s">
        <v>2240</v>
      </c>
      <c r="D1237" s="5" t="s">
        <v>32</v>
      </c>
      <c r="E1237" s="1" t="s">
        <v>4662</v>
      </c>
      <c r="F1237" s="1">
        <v>80</v>
      </c>
      <c r="G1237" s="1" t="s">
        <v>3800</v>
      </c>
      <c r="H1237" s="234">
        <v>20</v>
      </c>
      <c r="I1237" s="235">
        <f t="shared" si="97"/>
        <v>1600</v>
      </c>
      <c r="K1237" s="241">
        <f>19.43*80</f>
        <v>1554.4</v>
      </c>
      <c r="L1237" s="237">
        <v>41330</v>
      </c>
      <c r="M1237" s="1" t="s">
        <v>5155</v>
      </c>
      <c r="N1237" s="235">
        <f t="shared" si="95"/>
        <v>1600</v>
      </c>
      <c r="O1237" s="235">
        <f t="shared" si="96"/>
        <v>0</v>
      </c>
      <c r="P1237" s="238" t="s">
        <v>4663</v>
      </c>
      <c r="Q1237" s="1" t="s">
        <v>4627</v>
      </c>
      <c r="R1237" s="239" t="s">
        <v>4628</v>
      </c>
      <c r="S1237" s="238">
        <v>13368068212</v>
      </c>
      <c r="T1237" s="238" t="s">
        <v>2257</v>
      </c>
      <c r="U1237" s="238" t="s">
        <v>2257</v>
      </c>
      <c r="V1237" s="238" t="s">
        <v>4969</v>
      </c>
      <c r="W1237" s="236">
        <v>51540.38</v>
      </c>
      <c r="X1237" s="233">
        <v>41309</v>
      </c>
      <c r="Y1237" s="238" t="s">
        <v>3866</v>
      </c>
      <c r="AB1237" s="1" t="s">
        <v>3809</v>
      </c>
    </row>
    <row r="1238" spans="1:28" ht="11.25" customHeight="1">
      <c r="A1238" s="233">
        <v>41283</v>
      </c>
      <c r="B1238" s="1" t="s">
        <v>4125</v>
      </c>
      <c r="C1238" s="1" t="s">
        <v>2240</v>
      </c>
      <c r="D1238" s="5" t="s">
        <v>4664</v>
      </c>
      <c r="E1238" s="1" t="s">
        <v>4665</v>
      </c>
      <c r="F1238" s="1">
        <v>300</v>
      </c>
      <c r="G1238" s="1" t="s">
        <v>4666</v>
      </c>
      <c r="H1238" s="234">
        <v>61.1</v>
      </c>
      <c r="I1238" s="235">
        <f t="shared" si="97"/>
        <v>18330</v>
      </c>
      <c r="K1238" s="241">
        <f>48.555*300</f>
        <v>14566.5</v>
      </c>
      <c r="L1238" s="237">
        <v>41323</v>
      </c>
      <c r="M1238" s="1" t="s">
        <v>5042</v>
      </c>
      <c r="N1238" s="235">
        <f t="shared" si="95"/>
        <v>18330</v>
      </c>
      <c r="O1238" s="235">
        <f t="shared" si="96"/>
        <v>0</v>
      </c>
      <c r="P1238" s="238" t="s">
        <v>2257</v>
      </c>
      <c r="Q1238" s="1" t="s">
        <v>3798</v>
      </c>
      <c r="R1238" s="239" t="s">
        <v>4128</v>
      </c>
      <c r="S1238" s="238" t="s">
        <v>4129</v>
      </c>
      <c r="T1238" s="238" t="s">
        <v>4130</v>
      </c>
      <c r="U1238" s="238" t="s">
        <v>2257</v>
      </c>
      <c r="V1238" s="238" t="s">
        <v>4667</v>
      </c>
      <c r="W1238" s="236">
        <v>18330</v>
      </c>
      <c r="X1238" s="233">
        <v>41295</v>
      </c>
      <c r="Y1238" s="238" t="s">
        <v>2257</v>
      </c>
      <c r="AB1238" s="1" t="s">
        <v>3809</v>
      </c>
    </row>
    <row r="1239" spans="1:28" ht="11.25" customHeight="1">
      <c r="A1239" s="233">
        <v>41283</v>
      </c>
      <c r="B1239" s="1" t="s">
        <v>4668</v>
      </c>
      <c r="C1239" s="1" t="s">
        <v>2240</v>
      </c>
      <c r="D1239" s="1" t="s">
        <v>1210</v>
      </c>
      <c r="E1239" s="1">
        <v>3200</v>
      </c>
      <c r="F1239" s="1">
        <v>4</v>
      </c>
      <c r="G1239" s="1" t="s">
        <v>3811</v>
      </c>
      <c r="H1239" s="234">
        <v>40.200000000000003</v>
      </c>
      <c r="I1239" s="235">
        <f t="shared" si="97"/>
        <v>160.80000000000001</v>
      </c>
      <c r="K1239" s="241">
        <f>20.89*4</f>
        <v>83.56</v>
      </c>
      <c r="L1239" s="237">
        <v>41285</v>
      </c>
      <c r="M1239" s="1" t="s">
        <v>3825</v>
      </c>
      <c r="N1239" s="235">
        <f t="shared" si="95"/>
        <v>160.80000000000001</v>
      </c>
      <c r="O1239" s="235">
        <f t="shared" si="96"/>
        <v>0</v>
      </c>
      <c r="P1239" s="238" t="s">
        <v>4669</v>
      </c>
      <c r="Q1239" s="1" t="s">
        <v>4627</v>
      </c>
      <c r="U1239" s="238" t="s">
        <v>2257</v>
      </c>
      <c r="V1239" s="238" t="s">
        <v>5909</v>
      </c>
      <c r="AB1239" s="1" t="s">
        <v>3793</v>
      </c>
    </row>
    <row r="1240" spans="1:28" ht="11.25" customHeight="1">
      <c r="A1240" s="233">
        <v>41283</v>
      </c>
      <c r="B1240" s="1" t="s">
        <v>4668</v>
      </c>
      <c r="C1240" s="1" t="s">
        <v>2240</v>
      </c>
      <c r="D1240" s="5" t="s">
        <v>346</v>
      </c>
      <c r="E1240" s="1" t="s">
        <v>4670</v>
      </c>
      <c r="F1240" s="1">
        <v>4</v>
      </c>
      <c r="G1240" s="1" t="s">
        <v>3811</v>
      </c>
      <c r="H1240" s="234">
        <v>5.8</v>
      </c>
      <c r="I1240" s="235">
        <f t="shared" si="97"/>
        <v>23.2</v>
      </c>
      <c r="K1240" s="241">
        <f>2.865*4</f>
        <v>11.46</v>
      </c>
      <c r="L1240" s="237">
        <v>41285</v>
      </c>
      <c r="M1240" s="1" t="s">
        <v>3825</v>
      </c>
      <c r="N1240" s="235">
        <f t="shared" si="95"/>
        <v>23.2</v>
      </c>
      <c r="O1240" s="235">
        <f t="shared" si="96"/>
        <v>0</v>
      </c>
      <c r="P1240" s="238" t="s">
        <v>4669</v>
      </c>
      <c r="Q1240" s="1" t="s">
        <v>4627</v>
      </c>
      <c r="U1240" s="238" t="s">
        <v>2257</v>
      </c>
      <c r="V1240" s="238" t="s">
        <v>5909</v>
      </c>
      <c r="AB1240" s="1" t="s">
        <v>3793</v>
      </c>
    </row>
    <row r="1241" spans="1:28" ht="11.25" customHeight="1">
      <c r="A1241" s="233">
        <v>41283</v>
      </c>
      <c r="B1241" s="1" t="s">
        <v>4668</v>
      </c>
      <c r="C1241" s="1" t="s">
        <v>2240</v>
      </c>
      <c r="D1241" s="5" t="s">
        <v>2244</v>
      </c>
      <c r="E1241" s="1" t="s">
        <v>4126</v>
      </c>
      <c r="F1241" s="1">
        <v>50</v>
      </c>
      <c r="G1241" s="1" t="s">
        <v>3802</v>
      </c>
      <c r="H1241" s="234">
        <v>2.2999999999999998</v>
      </c>
      <c r="I1241" s="235">
        <f t="shared" si="97"/>
        <v>114.99999999999999</v>
      </c>
      <c r="K1241" s="241">
        <f>1.24*50</f>
        <v>62</v>
      </c>
      <c r="L1241" s="237">
        <v>41285</v>
      </c>
      <c r="M1241" s="1" t="s">
        <v>3825</v>
      </c>
      <c r="N1241" s="235">
        <f t="shared" si="95"/>
        <v>114.99999999999999</v>
      </c>
      <c r="O1241" s="235">
        <f t="shared" si="96"/>
        <v>0</v>
      </c>
      <c r="P1241" s="238" t="s">
        <v>4669</v>
      </c>
      <c r="Q1241" s="1" t="s">
        <v>4627</v>
      </c>
      <c r="U1241" s="238" t="s">
        <v>2257</v>
      </c>
      <c r="V1241" s="238" t="s">
        <v>5909</v>
      </c>
      <c r="AB1241" s="1" t="s">
        <v>3793</v>
      </c>
    </row>
    <row r="1242" spans="1:28" ht="11.25" customHeight="1">
      <c r="A1242" s="233">
        <v>41284</v>
      </c>
      <c r="B1242" s="1" t="s">
        <v>4671</v>
      </c>
      <c r="C1242" s="1" t="s">
        <v>1329</v>
      </c>
      <c r="D1242" s="95" t="s">
        <v>5008</v>
      </c>
      <c r="E1242" s="1" t="s">
        <v>4672</v>
      </c>
      <c r="F1242" s="1">
        <v>3</v>
      </c>
      <c r="G1242" s="1" t="s">
        <v>4673</v>
      </c>
      <c r="H1242" s="234">
        <v>15</v>
      </c>
      <c r="I1242" s="235">
        <f t="shared" si="97"/>
        <v>45</v>
      </c>
      <c r="K1242" s="241">
        <f>10*3</f>
        <v>30</v>
      </c>
      <c r="L1242" s="237">
        <v>41285</v>
      </c>
      <c r="M1242" s="1" t="s">
        <v>3825</v>
      </c>
      <c r="N1242" s="235">
        <f t="shared" si="95"/>
        <v>45</v>
      </c>
      <c r="O1242" s="235">
        <f t="shared" si="96"/>
        <v>0</v>
      </c>
      <c r="P1242" s="238" t="s">
        <v>4674</v>
      </c>
      <c r="Q1242" s="1" t="s">
        <v>4627</v>
      </c>
      <c r="V1242" s="238" t="s">
        <v>5909</v>
      </c>
      <c r="AB1242" s="1" t="s">
        <v>3793</v>
      </c>
    </row>
    <row r="1243" spans="1:28" ht="11.25" customHeight="1">
      <c r="A1243" s="233">
        <v>41284</v>
      </c>
      <c r="B1243" s="1" t="s">
        <v>4671</v>
      </c>
      <c r="C1243" s="1" t="s">
        <v>1329</v>
      </c>
      <c r="D1243" s="5" t="s">
        <v>1721</v>
      </c>
      <c r="E1243" s="1" t="s">
        <v>4675</v>
      </c>
      <c r="F1243" s="1">
        <v>1</v>
      </c>
      <c r="G1243" s="1" t="s">
        <v>4673</v>
      </c>
      <c r="H1243" s="234">
        <v>8</v>
      </c>
      <c r="I1243" s="235">
        <f t="shared" si="97"/>
        <v>8</v>
      </c>
      <c r="K1243" s="254">
        <v>0</v>
      </c>
      <c r="L1243" s="237">
        <v>41285</v>
      </c>
      <c r="M1243" s="1" t="s">
        <v>3825</v>
      </c>
      <c r="N1243" s="235">
        <f t="shared" si="95"/>
        <v>8</v>
      </c>
      <c r="O1243" s="235">
        <f t="shared" si="96"/>
        <v>0</v>
      </c>
      <c r="P1243" s="238" t="s">
        <v>4676</v>
      </c>
      <c r="Q1243" s="1" t="s">
        <v>4627</v>
      </c>
      <c r="V1243" s="238" t="s">
        <v>5909</v>
      </c>
      <c r="Z1243" s="255" t="s">
        <v>6033</v>
      </c>
      <c r="AB1243" s="1" t="s">
        <v>3793</v>
      </c>
    </row>
    <row r="1244" spans="1:28" ht="11.25" customHeight="1">
      <c r="A1244" s="233">
        <v>41284</v>
      </c>
      <c r="B1244" s="1" t="s">
        <v>4677</v>
      </c>
      <c r="C1244" s="1" t="s">
        <v>1329</v>
      </c>
      <c r="D1244" s="303" t="s">
        <v>5011</v>
      </c>
      <c r="E1244" s="1" t="s">
        <v>4678</v>
      </c>
      <c r="F1244" s="1">
        <v>2</v>
      </c>
      <c r="G1244" s="1" t="s">
        <v>4673</v>
      </c>
      <c r="H1244" s="234">
        <v>15</v>
      </c>
      <c r="I1244" s="235">
        <f t="shared" si="97"/>
        <v>30</v>
      </c>
      <c r="K1244" s="241">
        <f>9.8*2</f>
        <v>19.600000000000001</v>
      </c>
      <c r="L1244" s="237">
        <v>41285</v>
      </c>
      <c r="M1244" s="1" t="s">
        <v>3825</v>
      </c>
      <c r="N1244" s="235">
        <f t="shared" si="95"/>
        <v>30</v>
      </c>
      <c r="O1244" s="235">
        <f t="shared" si="96"/>
        <v>0</v>
      </c>
      <c r="P1244" s="238" t="s">
        <v>4679</v>
      </c>
      <c r="Q1244" s="1" t="s">
        <v>4627</v>
      </c>
      <c r="AB1244" s="1" t="s">
        <v>3793</v>
      </c>
    </row>
    <row r="1245" spans="1:28" ht="11.25" customHeight="1">
      <c r="A1245" s="233">
        <v>41284</v>
      </c>
      <c r="B1245" s="228" t="s">
        <v>1488</v>
      </c>
      <c r="C1245" s="1" t="s">
        <v>2240</v>
      </c>
      <c r="D1245" s="5" t="s">
        <v>4680</v>
      </c>
      <c r="E1245" s="1" t="s">
        <v>4681</v>
      </c>
      <c r="F1245" s="1">
        <v>20</v>
      </c>
      <c r="G1245" s="1" t="s">
        <v>3802</v>
      </c>
      <c r="H1245" s="234">
        <v>78</v>
      </c>
      <c r="I1245" s="235">
        <f t="shared" si="97"/>
        <v>1560</v>
      </c>
      <c r="K1245" s="241">
        <f>73.2*20</f>
        <v>1464</v>
      </c>
      <c r="L1245" s="237">
        <v>41285</v>
      </c>
      <c r="M1245" s="1" t="s">
        <v>2243</v>
      </c>
      <c r="N1245" s="235">
        <f t="shared" si="95"/>
        <v>1560</v>
      </c>
      <c r="O1245" s="235">
        <f t="shared" si="96"/>
        <v>0</v>
      </c>
      <c r="P1245" s="238" t="s">
        <v>4682</v>
      </c>
      <c r="Q1245" s="1" t="s">
        <v>4683</v>
      </c>
      <c r="R1245" s="239" t="s">
        <v>4684</v>
      </c>
      <c r="S1245" s="238" t="s">
        <v>4685</v>
      </c>
      <c r="T1245" s="238" t="s">
        <v>1471</v>
      </c>
      <c r="U1245" s="238" t="s">
        <v>6069</v>
      </c>
      <c r="V1245" s="238" t="s">
        <v>4686</v>
      </c>
      <c r="W1245" s="236">
        <v>4217.3999999999996</v>
      </c>
      <c r="X1245" s="233">
        <v>41288</v>
      </c>
      <c r="Y1245" s="238" t="s">
        <v>5250</v>
      </c>
      <c r="AB1245" s="1" t="s">
        <v>3809</v>
      </c>
    </row>
    <row r="1246" spans="1:28" ht="11.25" customHeight="1">
      <c r="A1246" s="233">
        <v>41285</v>
      </c>
      <c r="B1246" s="1" t="s">
        <v>3810</v>
      </c>
      <c r="C1246" s="1" t="s">
        <v>2240</v>
      </c>
      <c r="D1246" s="1" t="s">
        <v>4687</v>
      </c>
      <c r="E1246" s="1" t="s">
        <v>4688</v>
      </c>
      <c r="F1246" s="1">
        <v>1000</v>
      </c>
      <c r="G1246" s="1" t="s">
        <v>3811</v>
      </c>
      <c r="H1246" s="234">
        <v>1.26</v>
      </c>
      <c r="I1246" s="235">
        <f t="shared" si="97"/>
        <v>1260</v>
      </c>
      <c r="K1246" s="241">
        <f>1.08*1000</f>
        <v>1080</v>
      </c>
      <c r="L1246" s="237">
        <v>41344</v>
      </c>
      <c r="M1246" s="1" t="s">
        <v>165</v>
      </c>
      <c r="N1246" s="235">
        <f t="shared" si="95"/>
        <v>1260</v>
      </c>
      <c r="O1246" s="235">
        <f t="shared" si="96"/>
        <v>0</v>
      </c>
      <c r="P1246" s="238" t="s">
        <v>4689</v>
      </c>
      <c r="Q1246" s="1" t="s">
        <v>4656</v>
      </c>
      <c r="R1246" s="239" t="s">
        <v>3815</v>
      </c>
      <c r="S1246" s="238" t="s">
        <v>3816</v>
      </c>
      <c r="T1246" s="238" t="s">
        <v>4657</v>
      </c>
      <c r="U1246" s="238" t="s">
        <v>4690</v>
      </c>
      <c r="V1246" s="238" t="s">
        <v>175</v>
      </c>
      <c r="AB1246" s="1" t="s">
        <v>3809</v>
      </c>
    </row>
    <row r="1247" spans="1:28" ht="12" customHeight="1">
      <c r="A1247" s="233">
        <v>41288</v>
      </c>
      <c r="B1247" s="1" t="s">
        <v>4691</v>
      </c>
      <c r="C1247" s="1" t="s">
        <v>2240</v>
      </c>
      <c r="D1247" s="225" t="s">
        <v>3865</v>
      </c>
      <c r="E1247" s="1">
        <v>52000183617</v>
      </c>
      <c r="F1247" s="1">
        <v>5</v>
      </c>
      <c r="G1247" s="1" t="s">
        <v>3811</v>
      </c>
      <c r="H1247" s="234">
        <v>950</v>
      </c>
      <c r="I1247" s="235">
        <f t="shared" si="97"/>
        <v>4750</v>
      </c>
      <c r="K1247" s="241">
        <f>938*5</f>
        <v>4690</v>
      </c>
      <c r="L1247" s="237">
        <v>41291</v>
      </c>
      <c r="M1247" s="1" t="s">
        <v>2243</v>
      </c>
      <c r="N1247" s="235">
        <f t="shared" si="95"/>
        <v>4750</v>
      </c>
      <c r="O1247" s="235">
        <f t="shared" si="96"/>
        <v>0</v>
      </c>
      <c r="P1247" s="238" t="s">
        <v>4692</v>
      </c>
      <c r="Q1247" s="1" t="s">
        <v>3798</v>
      </c>
      <c r="R1247" s="247" t="s">
        <v>4693</v>
      </c>
      <c r="S1247" s="246" t="s">
        <v>3659</v>
      </c>
      <c r="T1247" s="246" t="s">
        <v>4694</v>
      </c>
      <c r="V1247" s="238" t="s">
        <v>4695</v>
      </c>
      <c r="W1247" s="236">
        <v>4750</v>
      </c>
      <c r="X1247" s="233">
        <v>41288</v>
      </c>
      <c r="Y1247" s="238" t="s">
        <v>5955</v>
      </c>
      <c r="AB1247" s="1" t="s">
        <v>3809</v>
      </c>
    </row>
    <row r="1248" spans="1:28" ht="12" customHeight="1">
      <c r="A1248" s="233">
        <v>41288</v>
      </c>
      <c r="B1248" s="1" t="s">
        <v>4696</v>
      </c>
      <c r="C1248" s="1" t="s">
        <v>2240</v>
      </c>
      <c r="D1248" s="1" t="s">
        <v>1219</v>
      </c>
      <c r="E1248" s="1" t="s">
        <v>4640</v>
      </c>
      <c r="F1248" s="1">
        <v>200</v>
      </c>
      <c r="G1248" s="1" t="s">
        <v>3811</v>
      </c>
      <c r="H1248" s="234">
        <v>4</v>
      </c>
      <c r="I1248" s="235">
        <f t="shared" si="97"/>
        <v>800</v>
      </c>
      <c r="K1248" s="241">
        <f>3.6*200</f>
        <v>720</v>
      </c>
      <c r="L1248" s="237">
        <v>41303</v>
      </c>
      <c r="M1248" s="1" t="s">
        <v>4887</v>
      </c>
      <c r="N1248" s="235">
        <f t="shared" si="95"/>
        <v>800</v>
      </c>
      <c r="O1248" s="235">
        <f t="shared" si="96"/>
        <v>0</v>
      </c>
      <c r="P1248" s="238" t="s">
        <v>4697</v>
      </c>
      <c r="Q1248" s="1" t="s">
        <v>3798</v>
      </c>
      <c r="R1248" s="239" t="s">
        <v>1863</v>
      </c>
      <c r="S1248" s="238" t="s">
        <v>1863</v>
      </c>
      <c r="T1248" s="238" t="s">
        <v>1863</v>
      </c>
      <c r="U1248" s="238" t="s">
        <v>1863</v>
      </c>
      <c r="V1248" s="238" t="s">
        <v>5266</v>
      </c>
      <c r="W1248" s="236">
        <v>10793</v>
      </c>
      <c r="X1248" s="233">
        <v>41332</v>
      </c>
      <c r="Y1248" s="238" t="s">
        <v>5250</v>
      </c>
      <c r="AB1248" s="1" t="s">
        <v>3809</v>
      </c>
    </row>
    <row r="1249" spans="1:28" ht="11.25" customHeight="1">
      <c r="A1249" s="233">
        <v>41288</v>
      </c>
      <c r="B1249" s="1" t="s">
        <v>4698</v>
      </c>
      <c r="C1249" s="1" t="s">
        <v>2240</v>
      </c>
      <c r="D1249" s="5" t="s">
        <v>2012</v>
      </c>
      <c r="E1249" s="1" t="s">
        <v>2262</v>
      </c>
      <c r="F1249" s="1">
        <v>1000</v>
      </c>
      <c r="G1249" s="1" t="s">
        <v>4970</v>
      </c>
      <c r="H1249" s="234">
        <v>1.65</v>
      </c>
      <c r="I1249" s="235">
        <f t="shared" si="97"/>
        <v>1650</v>
      </c>
      <c r="K1249" s="241">
        <f>1.4*1000</f>
        <v>1400</v>
      </c>
      <c r="L1249" s="237">
        <v>41288</v>
      </c>
      <c r="M1249" s="1" t="s">
        <v>2243</v>
      </c>
      <c r="N1249" s="235">
        <f t="shared" si="95"/>
        <v>1650</v>
      </c>
      <c r="O1249" s="235">
        <f t="shared" si="96"/>
        <v>0</v>
      </c>
      <c r="P1249" s="238" t="s">
        <v>2257</v>
      </c>
      <c r="Q1249" s="1" t="s">
        <v>4699</v>
      </c>
      <c r="R1249" s="239" t="s">
        <v>4700</v>
      </c>
      <c r="S1249" s="238" t="s">
        <v>4701</v>
      </c>
      <c r="T1249" s="238" t="s">
        <v>4702</v>
      </c>
      <c r="U1249" s="238" t="s">
        <v>5179</v>
      </c>
      <c r="AB1249" s="1" t="s">
        <v>3809</v>
      </c>
    </row>
    <row r="1250" spans="1:28">
      <c r="A1250" s="233">
        <v>41288</v>
      </c>
      <c r="B1250" s="1" t="s">
        <v>4616</v>
      </c>
      <c r="C1250" s="1" t="s">
        <v>2240</v>
      </c>
      <c r="D1250" s="1" t="s">
        <v>4703</v>
      </c>
      <c r="E1250" s="1" t="s">
        <v>4704</v>
      </c>
      <c r="F1250" s="1">
        <v>1000</v>
      </c>
      <c r="G1250" s="1" t="s">
        <v>3802</v>
      </c>
      <c r="H1250" s="234">
        <v>9.58</v>
      </c>
      <c r="I1250" s="235">
        <f t="shared" si="97"/>
        <v>9580</v>
      </c>
      <c r="K1250" s="241">
        <f>9.15*1000</f>
        <v>9150</v>
      </c>
      <c r="L1250" s="237">
        <v>41331</v>
      </c>
      <c r="M1250" s="1" t="s">
        <v>5240</v>
      </c>
      <c r="N1250" s="235">
        <f t="shared" si="95"/>
        <v>9580</v>
      </c>
      <c r="O1250" s="235">
        <f t="shared" si="96"/>
        <v>0</v>
      </c>
      <c r="P1250" s="238" t="s">
        <v>2257</v>
      </c>
      <c r="Q1250" s="1" t="s">
        <v>4705</v>
      </c>
      <c r="R1250" s="239" t="s">
        <v>1557</v>
      </c>
      <c r="S1250" s="238" t="s">
        <v>1558</v>
      </c>
      <c r="T1250" s="238" t="s">
        <v>1559</v>
      </c>
      <c r="U1250" s="238" t="s">
        <v>4706</v>
      </c>
      <c r="V1250" s="238" t="s">
        <v>4707</v>
      </c>
      <c r="W1250" s="236">
        <v>42716</v>
      </c>
      <c r="X1250" s="233">
        <v>41295</v>
      </c>
      <c r="Y1250" s="238" t="s">
        <v>4425</v>
      </c>
      <c r="AB1250" s="1" t="s">
        <v>2826</v>
      </c>
    </row>
    <row r="1251" spans="1:28" ht="11.25" customHeight="1">
      <c r="A1251" s="233">
        <v>41288</v>
      </c>
      <c r="B1251" s="1" t="s">
        <v>4463</v>
      </c>
      <c r="C1251" s="1" t="s">
        <v>2827</v>
      </c>
      <c r="D1251" s="5" t="s">
        <v>4708</v>
      </c>
      <c r="E1251" s="1">
        <v>9031</v>
      </c>
      <c r="F1251" s="1">
        <v>50</v>
      </c>
      <c r="G1251" s="1" t="s">
        <v>2838</v>
      </c>
      <c r="H1251" s="234">
        <v>1.63</v>
      </c>
      <c r="I1251" s="235">
        <f t="shared" si="97"/>
        <v>81.5</v>
      </c>
      <c r="K1251" s="241">
        <f>1.4929*50</f>
        <v>74.644999999999996</v>
      </c>
      <c r="L1251" s="237">
        <v>41330</v>
      </c>
      <c r="M1251" s="1" t="s">
        <v>5155</v>
      </c>
      <c r="N1251" s="235">
        <f t="shared" si="95"/>
        <v>81.5</v>
      </c>
      <c r="O1251" s="235">
        <f t="shared" si="96"/>
        <v>0</v>
      </c>
      <c r="P1251" s="238" t="s">
        <v>4709</v>
      </c>
      <c r="Q1251" s="1" t="s">
        <v>4465</v>
      </c>
      <c r="R1251" s="239" t="s">
        <v>4466</v>
      </c>
      <c r="S1251" s="238">
        <v>13368068212</v>
      </c>
      <c r="T1251" s="238" t="s">
        <v>4450</v>
      </c>
      <c r="U1251" s="238" t="s">
        <v>4450</v>
      </c>
      <c r="V1251" s="238" t="s">
        <v>4969</v>
      </c>
      <c r="W1251" s="236">
        <v>51540.38</v>
      </c>
      <c r="X1251" s="233">
        <v>41309</v>
      </c>
      <c r="Y1251" s="238" t="s">
        <v>3866</v>
      </c>
      <c r="AB1251" s="1" t="s">
        <v>2826</v>
      </c>
    </row>
    <row r="1252" spans="1:28" ht="11.25" customHeight="1">
      <c r="A1252" s="233">
        <v>41289</v>
      </c>
      <c r="B1252" s="1" t="s">
        <v>4543</v>
      </c>
      <c r="C1252" s="1" t="s">
        <v>2827</v>
      </c>
      <c r="D1252" s="227" t="s">
        <v>5655</v>
      </c>
      <c r="E1252" s="1" t="s">
        <v>4710</v>
      </c>
      <c r="F1252" s="1">
        <v>2500</v>
      </c>
      <c r="G1252" s="1" t="s">
        <v>4441</v>
      </c>
      <c r="H1252" s="234">
        <v>0.65600000000000003</v>
      </c>
      <c r="I1252" s="235">
        <f>F1252*H1252</f>
        <v>1640</v>
      </c>
      <c r="K1252" s="241">
        <f>0.589*2500</f>
        <v>1472.5</v>
      </c>
      <c r="L1252" s="237">
        <v>41288</v>
      </c>
      <c r="M1252" s="1" t="s">
        <v>2829</v>
      </c>
      <c r="N1252" s="235">
        <f t="shared" si="95"/>
        <v>1640</v>
      </c>
      <c r="O1252" s="235">
        <f t="shared" si="96"/>
        <v>0</v>
      </c>
      <c r="P1252" s="238" t="s">
        <v>4450</v>
      </c>
      <c r="Q1252" s="1" t="s">
        <v>4519</v>
      </c>
      <c r="R1252" s="239" t="s">
        <v>4545</v>
      </c>
      <c r="S1252" s="238" t="s">
        <v>4546</v>
      </c>
      <c r="T1252" s="238" t="s">
        <v>4547</v>
      </c>
      <c r="U1252" s="238" t="s">
        <v>4711</v>
      </c>
      <c r="V1252" s="238" t="s">
        <v>4549</v>
      </c>
      <c r="W1252" s="236">
        <v>97640</v>
      </c>
      <c r="X1252" s="233">
        <v>41297</v>
      </c>
      <c r="Y1252" s="238" t="s">
        <v>4550</v>
      </c>
      <c r="AB1252" s="1" t="s">
        <v>2826</v>
      </c>
    </row>
    <row r="1253" spans="1:28" ht="11.25" customHeight="1">
      <c r="A1253" s="233">
        <v>41289</v>
      </c>
      <c r="B1253" s="1" t="s">
        <v>4551</v>
      </c>
      <c r="C1253" s="1" t="s">
        <v>2827</v>
      </c>
      <c r="D1253" s="5" t="s">
        <v>4539</v>
      </c>
      <c r="E1253" s="1" t="s">
        <v>4509</v>
      </c>
      <c r="F1253" s="1">
        <v>200</v>
      </c>
      <c r="G1253" s="1" t="s">
        <v>2838</v>
      </c>
      <c r="H1253" s="234">
        <v>17.100000000000001</v>
      </c>
      <c r="I1253" s="235">
        <f t="shared" si="97"/>
        <v>3420.0000000000005</v>
      </c>
      <c r="K1253" s="241">
        <f>16.5*200</f>
        <v>3300</v>
      </c>
      <c r="L1253" s="237">
        <v>41289</v>
      </c>
      <c r="M1253" s="1" t="s">
        <v>2829</v>
      </c>
      <c r="N1253" s="235">
        <f t="shared" si="95"/>
        <v>3420.0000000000005</v>
      </c>
      <c r="O1253" s="235">
        <f t="shared" si="96"/>
        <v>0</v>
      </c>
      <c r="P1253" s="238" t="s">
        <v>4450</v>
      </c>
      <c r="Q1253" s="1" t="s">
        <v>4519</v>
      </c>
      <c r="R1253" s="239" t="s">
        <v>4528</v>
      </c>
      <c r="S1253" s="238" t="s">
        <v>4529</v>
      </c>
      <c r="T1253" s="238" t="s">
        <v>4521</v>
      </c>
      <c r="U1253" s="238" t="s">
        <v>4712</v>
      </c>
      <c r="V1253" s="238" t="s">
        <v>4555</v>
      </c>
      <c r="W1253" s="236">
        <v>26733.98</v>
      </c>
      <c r="X1253" s="233">
        <v>41295</v>
      </c>
      <c r="Y1253" s="238" t="s">
        <v>4556</v>
      </c>
      <c r="AB1253" s="1" t="s">
        <v>2826</v>
      </c>
    </row>
    <row r="1254" spans="1:28" ht="11.25" customHeight="1">
      <c r="A1254" s="233">
        <v>41289</v>
      </c>
      <c r="B1254" s="1" t="s">
        <v>4551</v>
      </c>
      <c r="C1254" s="1" t="s">
        <v>2827</v>
      </c>
      <c r="D1254" s="5" t="s">
        <v>4539</v>
      </c>
      <c r="E1254" s="1" t="s">
        <v>4509</v>
      </c>
      <c r="F1254" s="1">
        <v>160</v>
      </c>
      <c r="G1254" s="1" t="s">
        <v>2838</v>
      </c>
      <c r="H1254" s="234">
        <v>18</v>
      </c>
      <c r="I1254" s="235">
        <f t="shared" si="97"/>
        <v>2880</v>
      </c>
      <c r="K1254" s="241">
        <f>17*70+16.5*90</f>
        <v>2675</v>
      </c>
      <c r="L1254" s="237">
        <v>41289</v>
      </c>
      <c r="M1254" s="1" t="s">
        <v>2829</v>
      </c>
      <c r="N1254" s="235">
        <f t="shared" si="95"/>
        <v>2880</v>
      </c>
      <c r="O1254" s="235">
        <f t="shared" si="96"/>
        <v>0</v>
      </c>
      <c r="P1254" s="238" t="s">
        <v>4450</v>
      </c>
      <c r="Q1254" s="1" t="s">
        <v>4519</v>
      </c>
      <c r="R1254" s="239" t="s">
        <v>4528</v>
      </c>
      <c r="S1254" s="238" t="s">
        <v>4529</v>
      </c>
      <c r="T1254" s="238" t="s">
        <v>4521</v>
      </c>
      <c r="U1254" s="238" t="s">
        <v>4712</v>
      </c>
      <c r="V1254" s="238" t="s">
        <v>4555</v>
      </c>
      <c r="W1254" s="236">
        <v>26733.98</v>
      </c>
      <c r="X1254" s="233">
        <v>41295</v>
      </c>
      <c r="Y1254" s="238" t="s">
        <v>4556</v>
      </c>
      <c r="AB1254" s="1" t="s">
        <v>2826</v>
      </c>
    </row>
    <row r="1255" spans="1:28" ht="11.25" customHeight="1">
      <c r="A1255" s="233">
        <v>41289</v>
      </c>
      <c r="B1255" s="1" t="s">
        <v>4551</v>
      </c>
      <c r="C1255" s="1" t="s">
        <v>2827</v>
      </c>
      <c r="D1255" s="5" t="s">
        <v>4452</v>
      </c>
      <c r="E1255" s="1" t="s">
        <v>4475</v>
      </c>
      <c r="F1255" s="1">
        <v>600</v>
      </c>
      <c r="G1255" s="1" t="s">
        <v>231</v>
      </c>
      <c r="H1255" s="234">
        <v>4.96</v>
      </c>
      <c r="I1255" s="235">
        <f t="shared" si="97"/>
        <v>2976</v>
      </c>
      <c r="K1255" s="241">
        <f>4.75*600</f>
        <v>2850</v>
      </c>
      <c r="L1255" s="237">
        <v>41289</v>
      </c>
      <c r="M1255" s="1" t="s">
        <v>2829</v>
      </c>
      <c r="N1255" s="235">
        <f t="shared" si="95"/>
        <v>2976</v>
      </c>
      <c r="O1255" s="235">
        <f t="shared" si="96"/>
        <v>0</v>
      </c>
      <c r="P1255" s="238" t="s">
        <v>4450</v>
      </c>
      <c r="Q1255" s="1" t="s">
        <v>4519</v>
      </c>
      <c r="R1255" s="239" t="s">
        <v>4528</v>
      </c>
      <c r="S1255" s="238" t="s">
        <v>4529</v>
      </c>
      <c r="T1255" s="238" t="s">
        <v>4521</v>
      </c>
      <c r="U1255" s="238" t="s">
        <v>4712</v>
      </c>
      <c r="V1255" s="238" t="s">
        <v>4555</v>
      </c>
      <c r="W1255" s="236">
        <v>26733.98</v>
      </c>
      <c r="X1255" s="233">
        <v>41295</v>
      </c>
      <c r="Y1255" s="238" t="s">
        <v>4556</v>
      </c>
      <c r="AB1255" s="1" t="s">
        <v>2826</v>
      </c>
    </row>
    <row r="1256" spans="1:28" ht="11.25" customHeight="1">
      <c r="A1256" s="233">
        <v>41289</v>
      </c>
      <c r="B1256" s="1" t="s">
        <v>4454</v>
      </c>
      <c r="C1256" s="1" t="s">
        <v>2827</v>
      </c>
      <c r="D1256" s="1" t="s">
        <v>1210</v>
      </c>
      <c r="E1256" s="1">
        <v>3200</v>
      </c>
      <c r="F1256" s="1">
        <v>5</v>
      </c>
      <c r="G1256" s="1" t="s">
        <v>2838</v>
      </c>
      <c r="H1256" s="234">
        <v>28.2</v>
      </c>
      <c r="I1256" s="235">
        <f t="shared" si="97"/>
        <v>141</v>
      </c>
      <c r="K1256" s="241">
        <f>23.94*5</f>
        <v>119.7</v>
      </c>
      <c r="L1256" s="237">
        <v>41302</v>
      </c>
      <c r="M1256" s="1" t="s">
        <v>4455</v>
      </c>
      <c r="N1256" s="235">
        <f t="shared" si="95"/>
        <v>141</v>
      </c>
      <c r="O1256" s="235">
        <f t="shared" si="96"/>
        <v>0</v>
      </c>
      <c r="P1256" s="238" t="s">
        <v>4713</v>
      </c>
      <c r="Q1256" s="1" t="s">
        <v>4457</v>
      </c>
      <c r="R1256" s="239" t="s">
        <v>4458</v>
      </c>
      <c r="S1256" s="238" t="s">
        <v>4459</v>
      </c>
      <c r="T1256" s="238" t="s">
        <v>4460</v>
      </c>
      <c r="AB1256" s="1" t="s">
        <v>2826</v>
      </c>
    </row>
    <row r="1257" spans="1:28" ht="11.25" customHeight="1">
      <c r="A1257" s="233">
        <v>41289</v>
      </c>
      <c r="B1257" s="1" t="s">
        <v>4454</v>
      </c>
      <c r="C1257" s="1" t="s">
        <v>2827</v>
      </c>
      <c r="D1257" s="5" t="s">
        <v>346</v>
      </c>
      <c r="E1257" s="1" t="s">
        <v>4714</v>
      </c>
      <c r="F1257" s="1">
        <v>5</v>
      </c>
      <c r="G1257" s="1" t="s">
        <v>2838</v>
      </c>
      <c r="H1257" s="234">
        <v>3.56</v>
      </c>
      <c r="I1257" s="235">
        <f t="shared" si="97"/>
        <v>17.8</v>
      </c>
      <c r="K1257" s="241">
        <f>3.09*5</f>
        <v>15.45</v>
      </c>
      <c r="L1257" s="237">
        <v>41302</v>
      </c>
      <c r="M1257" s="1" t="s">
        <v>4455</v>
      </c>
      <c r="N1257" s="235">
        <f t="shared" si="95"/>
        <v>17.8</v>
      </c>
      <c r="O1257" s="235">
        <f t="shared" si="96"/>
        <v>0</v>
      </c>
      <c r="P1257" s="238" t="s">
        <v>4713</v>
      </c>
      <c r="Q1257" s="1" t="s">
        <v>4457</v>
      </c>
      <c r="R1257" s="239" t="s">
        <v>4458</v>
      </c>
      <c r="S1257" s="238" t="s">
        <v>4459</v>
      </c>
      <c r="T1257" s="238" t="s">
        <v>4460</v>
      </c>
      <c r="AB1257" s="1" t="s">
        <v>2826</v>
      </c>
    </row>
    <row r="1258" spans="1:28" ht="11.25" customHeight="1">
      <c r="A1258" s="233">
        <v>41289</v>
      </c>
      <c r="B1258" s="1" t="s">
        <v>4454</v>
      </c>
      <c r="C1258" s="1" t="s">
        <v>2827</v>
      </c>
      <c r="D1258" s="5" t="s">
        <v>4452</v>
      </c>
      <c r="E1258" s="1" t="s">
        <v>4715</v>
      </c>
      <c r="F1258" s="1">
        <v>5</v>
      </c>
      <c r="G1258" s="1" t="s">
        <v>2828</v>
      </c>
      <c r="H1258" s="234">
        <v>1.84</v>
      </c>
      <c r="I1258" s="235">
        <f t="shared" si="97"/>
        <v>9.2000000000000011</v>
      </c>
      <c r="K1258" s="241">
        <f>1.54*5</f>
        <v>7.7</v>
      </c>
      <c r="L1258" s="237">
        <v>41302</v>
      </c>
      <c r="M1258" s="1" t="s">
        <v>4455</v>
      </c>
      <c r="N1258" s="235">
        <f t="shared" si="95"/>
        <v>9.2000000000000011</v>
      </c>
      <c r="O1258" s="235">
        <f t="shared" si="96"/>
        <v>0</v>
      </c>
      <c r="P1258" s="238" t="s">
        <v>4713</v>
      </c>
      <c r="Q1258" s="1" t="s">
        <v>4457</v>
      </c>
      <c r="R1258" s="239" t="s">
        <v>4458</v>
      </c>
      <c r="S1258" s="238" t="s">
        <v>4459</v>
      </c>
      <c r="T1258" s="238" t="s">
        <v>4460</v>
      </c>
      <c r="AB1258" s="1" t="s">
        <v>2826</v>
      </c>
    </row>
    <row r="1259" spans="1:28">
      <c r="A1259" s="233">
        <v>41289</v>
      </c>
      <c r="B1259" s="1" t="s">
        <v>4716</v>
      </c>
      <c r="C1259" s="1" t="s">
        <v>2827</v>
      </c>
      <c r="D1259" s="225" t="s">
        <v>273</v>
      </c>
      <c r="E1259" s="1" t="s">
        <v>4717</v>
      </c>
      <c r="F1259" s="1">
        <v>720</v>
      </c>
      <c r="G1259" s="1" t="s">
        <v>2838</v>
      </c>
      <c r="H1259" s="234">
        <v>29.8</v>
      </c>
      <c r="I1259" s="235">
        <f t="shared" si="97"/>
        <v>21456</v>
      </c>
      <c r="K1259" s="241">
        <f>29.2*720</f>
        <v>21024</v>
      </c>
      <c r="L1259" s="237">
        <v>41331</v>
      </c>
      <c r="M1259" s="1" t="s">
        <v>5240</v>
      </c>
      <c r="N1259" s="235">
        <f t="shared" si="95"/>
        <v>21456</v>
      </c>
      <c r="O1259" s="235">
        <f t="shared" si="96"/>
        <v>0</v>
      </c>
      <c r="P1259" s="238" t="s">
        <v>4450</v>
      </c>
      <c r="Q1259" s="1" t="s">
        <v>4519</v>
      </c>
      <c r="R1259" s="239" t="s">
        <v>4718</v>
      </c>
      <c r="S1259" s="238" t="s">
        <v>4719</v>
      </c>
      <c r="T1259" s="238" t="s">
        <v>4720</v>
      </c>
      <c r="U1259" s="238" t="s">
        <v>4721</v>
      </c>
      <c r="V1259" s="238" t="s">
        <v>4707</v>
      </c>
      <c r="W1259" s="236">
        <v>42716</v>
      </c>
      <c r="X1259" s="233">
        <v>41295</v>
      </c>
      <c r="Y1259" s="238" t="s">
        <v>4425</v>
      </c>
      <c r="AB1259" s="1" t="s">
        <v>2826</v>
      </c>
    </row>
    <row r="1260" spans="1:28">
      <c r="A1260" s="233">
        <v>41289</v>
      </c>
      <c r="B1260" s="1" t="s">
        <v>4716</v>
      </c>
      <c r="C1260" s="1" t="s">
        <v>2827</v>
      </c>
      <c r="D1260" s="225" t="s">
        <v>4452</v>
      </c>
      <c r="E1260" s="1" t="s">
        <v>4475</v>
      </c>
      <c r="F1260" s="1">
        <v>1200</v>
      </c>
      <c r="G1260" s="1" t="s">
        <v>231</v>
      </c>
      <c r="H1260" s="234">
        <v>5.3</v>
      </c>
      <c r="I1260" s="235">
        <f t="shared" si="97"/>
        <v>6360</v>
      </c>
      <c r="K1260" s="241">
        <f>4.75*1200</f>
        <v>5700</v>
      </c>
      <c r="L1260" s="237">
        <v>41331</v>
      </c>
      <c r="M1260" s="1" t="s">
        <v>5240</v>
      </c>
      <c r="N1260" s="235">
        <f t="shared" si="95"/>
        <v>6360</v>
      </c>
      <c r="O1260" s="235">
        <f t="shared" si="96"/>
        <v>0</v>
      </c>
      <c r="P1260" s="238" t="s">
        <v>4450</v>
      </c>
      <c r="Q1260" s="1" t="s">
        <v>4519</v>
      </c>
      <c r="R1260" s="239" t="s">
        <v>4718</v>
      </c>
      <c r="S1260" s="238" t="s">
        <v>4719</v>
      </c>
      <c r="T1260" s="238" t="s">
        <v>4720</v>
      </c>
      <c r="U1260" s="238" t="s">
        <v>4721</v>
      </c>
      <c r="V1260" s="238" t="s">
        <v>4707</v>
      </c>
      <c r="W1260" s="236">
        <v>42716</v>
      </c>
      <c r="X1260" s="233">
        <v>41295</v>
      </c>
      <c r="Y1260" s="238" t="s">
        <v>4425</v>
      </c>
      <c r="AB1260" s="1" t="s">
        <v>2826</v>
      </c>
    </row>
    <row r="1261" spans="1:28">
      <c r="A1261" s="233">
        <v>41289</v>
      </c>
      <c r="B1261" s="1" t="s">
        <v>4463</v>
      </c>
      <c r="C1261" s="1" t="s">
        <v>2827</v>
      </c>
      <c r="D1261" s="5" t="s">
        <v>4462</v>
      </c>
      <c r="E1261" s="1" t="s">
        <v>4506</v>
      </c>
      <c r="F1261" s="1">
        <v>85</v>
      </c>
      <c r="G1261" s="1" t="s">
        <v>2838</v>
      </c>
      <c r="H1261" s="234">
        <v>45</v>
      </c>
      <c r="I1261" s="235">
        <f t="shared" si="97"/>
        <v>3825</v>
      </c>
      <c r="K1261" s="241">
        <f>42.7*80+43.7*5</f>
        <v>3634.5</v>
      </c>
      <c r="L1261" s="237">
        <v>41330</v>
      </c>
      <c r="M1261" s="1" t="s">
        <v>5155</v>
      </c>
      <c r="N1261" s="235">
        <f t="shared" si="95"/>
        <v>3825</v>
      </c>
      <c r="O1261" s="235">
        <f t="shared" si="96"/>
        <v>0</v>
      </c>
      <c r="P1261" s="238" t="s">
        <v>4722</v>
      </c>
      <c r="Q1261" s="1" t="s">
        <v>4465</v>
      </c>
      <c r="R1261" s="239" t="s">
        <v>4466</v>
      </c>
      <c r="S1261" s="238">
        <v>13368068212</v>
      </c>
      <c r="T1261" s="238" t="s">
        <v>4450</v>
      </c>
      <c r="U1261" s="238" t="s">
        <v>4450</v>
      </c>
      <c r="V1261" s="238" t="s">
        <v>4969</v>
      </c>
      <c r="W1261" s="236">
        <v>51540.38</v>
      </c>
      <c r="X1261" s="233">
        <v>41309</v>
      </c>
      <c r="Y1261" s="238" t="s">
        <v>3866</v>
      </c>
      <c r="AB1261" s="1" t="s">
        <v>2826</v>
      </c>
    </row>
    <row r="1262" spans="1:28">
      <c r="A1262" s="233">
        <v>41289</v>
      </c>
      <c r="B1262" s="1" t="s">
        <v>4463</v>
      </c>
      <c r="C1262" s="1" t="s">
        <v>2827</v>
      </c>
      <c r="D1262" s="1" t="s">
        <v>4723</v>
      </c>
      <c r="E1262" s="1" t="s">
        <v>4724</v>
      </c>
      <c r="F1262" s="1">
        <v>100</v>
      </c>
      <c r="G1262" s="1" t="s">
        <v>2828</v>
      </c>
      <c r="H1262" s="234">
        <v>9.42</v>
      </c>
      <c r="I1262" s="235">
        <f t="shared" si="97"/>
        <v>942</v>
      </c>
      <c r="K1262" s="241">
        <f>9.15*100</f>
        <v>915</v>
      </c>
      <c r="L1262" s="237">
        <v>41330</v>
      </c>
      <c r="M1262" s="1" t="s">
        <v>5155</v>
      </c>
      <c r="N1262" s="235">
        <f t="shared" si="95"/>
        <v>942</v>
      </c>
      <c r="O1262" s="235">
        <f t="shared" si="96"/>
        <v>0</v>
      </c>
      <c r="P1262" s="238" t="s">
        <v>4722</v>
      </c>
      <c r="Q1262" s="1" t="s">
        <v>4465</v>
      </c>
      <c r="R1262" s="239" t="s">
        <v>4466</v>
      </c>
      <c r="S1262" s="238">
        <v>13368068212</v>
      </c>
      <c r="T1262" s="238" t="s">
        <v>4450</v>
      </c>
      <c r="U1262" s="238" t="s">
        <v>4450</v>
      </c>
      <c r="V1262" s="238" t="s">
        <v>4969</v>
      </c>
      <c r="W1262" s="236">
        <v>51540.38</v>
      </c>
      <c r="X1262" s="233">
        <v>41309</v>
      </c>
      <c r="Y1262" s="238" t="s">
        <v>3866</v>
      </c>
      <c r="AB1262" s="1" t="s">
        <v>2826</v>
      </c>
    </row>
    <row r="1263" spans="1:28">
      <c r="A1263" s="233">
        <v>41289</v>
      </c>
      <c r="B1263" s="1" t="s">
        <v>4463</v>
      </c>
      <c r="C1263" s="1" t="s">
        <v>2827</v>
      </c>
      <c r="D1263" s="5" t="s">
        <v>4505</v>
      </c>
      <c r="E1263" s="1" t="s">
        <v>4725</v>
      </c>
      <c r="F1263" s="1">
        <v>6</v>
      </c>
      <c r="G1263" s="1" t="s">
        <v>4441</v>
      </c>
      <c r="H1263" s="234">
        <v>4.4800000000000004</v>
      </c>
      <c r="I1263" s="235">
        <f t="shared" si="97"/>
        <v>26.880000000000003</v>
      </c>
      <c r="K1263" s="241">
        <f>4.31*6</f>
        <v>25.86</v>
      </c>
      <c r="L1263" s="237">
        <v>41330</v>
      </c>
      <c r="M1263" s="1" t="s">
        <v>5155</v>
      </c>
      <c r="N1263" s="235">
        <f t="shared" si="95"/>
        <v>26.880000000000003</v>
      </c>
      <c r="O1263" s="235">
        <f t="shared" si="96"/>
        <v>0</v>
      </c>
      <c r="P1263" s="238" t="s">
        <v>4722</v>
      </c>
      <c r="Q1263" s="1" t="s">
        <v>4465</v>
      </c>
      <c r="R1263" s="239" t="s">
        <v>4466</v>
      </c>
      <c r="S1263" s="238">
        <v>13368068212</v>
      </c>
      <c r="T1263" s="238" t="s">
        <v>4450</v>
      </c>
      <c r="U1263" s="238" t="s">
        <v>4450</v>
      </c>
      <c r="V1263" s="238" t="s">
        <v>4969</v>
      </c>
      <c r="W1263" s="236">
        <v>51540.38</v>
      </c>
      <c r="X1263" s="233">
        <v>41309</v>
      </c>
      <c r="Y1263" s="238" t="s">
        <v>3866</v>
      </c>
      <c r="AB1263" s="1" t="s">
        <v>2826</v>
      </c>
    </row>
    <row r="1264" spans="1:28">
      <c r="A1264" s="233">
        <v>41289</v>
      </c>
      <c r="B1264" s="1" t="s">
        <v>4463</v>
      </c>
      <c r="C1264" s="1" t="s">
        <v>2827</v>
      </c>
      <c r="D1264" s="1" t="s">
        <v>1213</v>
      </c>
      <c r="E1264" s="1" t="s">
        <v>4473</v>
      </c>
      <c r="F1264" s="1">
        <v>180</v>
      </c>
      <c r="G1264" s="1" t="s">
        <v>4441</v>
      </c>
      <c r="H1264" s="234">
        <v>13.2</v>
      </c>
      <c r="I1264" s="235">
        <f t="shared" si="97"/>
        <v>2376</v>
      </c>
      <c r="K1264" s="250">
        <f>12.5*180</f>
        <v>2250</v>
      </c>
      <c r="L1264" s="237">
        <v>41330</v>
      </c>
      <c r="M1264" s="1" t="s">
        <v>5155</v>
      </c>
      <c r="N1264" s="235">
        <f t="shared" si="95"/>
        <v>2376</v>
      </c>
      <c r="O1264" s="235">
        <f t="shared" si="96"/>
        <v>0</v>
      </c>
      <c r="P1264" s="238" t="s">
        <v>4722</v>
      </c>
      <c r="Q1264" s="1" t="s">
        <v>4465</v>
      </c>
      <c r="R1264" s="239" t="s">
        <v>4466</v>
      </c>
      <c r="S1264" s="238">
        <v>13368068212</v>
      </c>
      <c r="T1264" s="238" t="s">
        <v>4450</v>
      </c>
      <c r="U1264" s="238" t="s">
        <v>4450</v>
      </c>
      <c r="V1264" s="238" t="s">
        <v>4969</v>
      </c>
      <c r="W1264" s="236">
        <v>51540.38</v>
      </c>
      <c r="X1264" s="233">
        <v>41309</v>
      </c>
      <c r="Y1264" s="238" t="s">
        <v>3866</v>
      </c>
      <c r="AB1264" s="1" t="s">
        <v>2826</v>
      </c>
    </row>
    <row r="1265" spans="1:28" ht="11.25" customHeight="1">
      <c r="A1265" s="233">
        <v>41290</v>
      </c>
      <c r="B1265" s="1" t="s">
        <v>4726</v>
      </c>
      <c r="C1265" s="1" t="s">
        <v>2827</v>
      </c>
      <c r="D1265" s="5" t="s">
        <v>4462</v>
      </c>
      <c r="E1265" s="1">
        <v>6200</v>
      </c>
      <c r="F1265" s="1">
        <v>76</v>
      </c>
      <c r="G1265" s="1" t="s">
        <v>2838</v>
      </c>
      <c r="H1265" s="234">
        <v>79.400000000000006</v>
      </c>
      <c r="I1265" s="235">
        <f>F1265*H1265</f>
        <v>6034.4000000000005</v>
      </c>
      <c r="K1265" s="241">
        <f>42.5*76</f>
        <v>3230</v>
      </c>
      <c r="L1265" s="237">
        <v>41411</v>
      </c>
      <c r="M1265" s="1" t="s">
        <v>6882</v>
      </c>
      <c r="N1265" s="235">
        <f t="shared" si="95"/>
        <v>6034.4000000000005</v>
      </c>
      <c r="O1265" s="235">
        <f t="shared" si="96"/>
        <v>0</v>
      </c>
      <c r="P1265" s="238" t="s">
        <v>4727</v>
      </c>
      <c r="Q1265" s="1" t="s">
        <v>4728</v>
      </c>
      <c r="R1265" s="239" t="s">
        <v>4729</v>
      </c>
      <c r="S1265" s="238" t="s">
        <v>4730</v>
      </c>
      <c r="T1265" s="238" t="s">
        <v>797</v>
      </c>
      <c r="U1265" s="238" t="s">
        <v>4731</v>
      </c>
      <c r="V1265" s="238" t="s">
        <v>5541</v>
      </c>
      <c r="W1265" s="236">
        <v>29540.799999999999</v>
      </c>
      <c r="X1265" s="233">
        <v>41347</v>
      </c>
      <c r="Y1265" s="238" t="s">
        <v>5552</v>
      </c>
      <c r="AA1265" s="240" t="s">
        <v>2722</v>
      </c>
      <c r="AB1265" s="1" t="s">
        <v>4504</v>
      </c>
    </row>
    <row r="1266" spans="1:28" ht="11.25" customHeight="1">
      <c r="A1266" s="233">
        <v>41290</v>
      </c>
      <c r="B1266" s="1" t="s">
        <v>4726</v>
      </c>
      <c r="C1266" s="1" t="s">
        <v>2827</v>
      </c>
      <c r="D1266" s="5" t="s">
        <v>4539</v>
      </c>
      <c r="E1266" s="1" t="s">
        <v>4509</v>
      </c>
      <c r="F1266" s="1">
        <v>324</v>
      </c>
      <c r="G1266" s="1" t="s">
        <v>2838</v>
      </c>
      <c r="H1266" s="234">
        <v>28.6</v>
      </c>
      <c r="I1266" s="235">
        <f>F1266*H1266</f>
        <v>9266.4</v>
      </c>
      <c r="K1266" s="241">
        <f>17*324</f>
        <v>5508</v>
      </c>
      <c r="L1266" s="237">
        <v>41411</v>
      </c>
      <c r="M1266" s="1" t="s">
        <v>6882</v>
      </c>
      <c r="N1266" s="235">
        <f t="shared" si="95"/>
        <v>9266.4</v>
      </c>
      <c r="O1266" s="235">
        <f t="shared" si="96"/>
        <v>0</v>
      </c>
      <c r="P1266" s="238" t="s">
        <v>4727</v>
      </c>
      <c r="Q1266" s="1" t="s">
        <v>4728</v>
      </c>
      <c r="R1266" s="239" t="s">
        <v>4729</v>
      </c>
      <c r="S1266" s="238" t="s">
        <v>4730</v>
      </c>
      <c r="T1266" s="238" t="s">
        <v>797</v>
      </c>
      <c r="U1266" s="238" t="s">
        <v>4731</v>
      </c>
      <c r="V1266" s="238" t="s">
        <v>4732</v>
      </c>
      <c r="W1266" s="236">
        <v>9266.4</v>
      </c>
      <c r="X1266" s="233">
        <v>41295</v>
      </c>
      <c r="Y1266" s="238" t="s">
        <v>5290</v>
      </c>
      <c r="AA1266" s="240" t="s">
        <v>2722</v>
      </c>
      <c r="AB1266" s="1" t="s">
        <v>4504</v>
      </c>
    </row>
    <row r="1267" spans="1:28" ht="11.25" customHeight="1">
      <c r="A1267" s="233">
        <v>41290</v>
      </c>
      <c r="B1267" s="1" t="s">
        <v>4726</v>
      </c>
      <c r="C1267" s="1" t="s">
        <v>2827</v>
      </c>
      <c r="D1267" s="5" t="s">
        <v>4452</v>
      </c>
      <c r="E1267" s="1" t="s">
        <v>4475</v>
      </c>
      <c r="F1267" s="1">
        <v>324</v>
      </c>
      <c r="G1267" s="1" t="s">
        <v>231</v>
      </c>
      <c r="H1267" s="234">
        <v>7.99</v>
      </c>
      <c r="I1267" s="235">
        <f>F1267*H1267</f>
        <v>2588.7600000000002</v>
      </c>
      <c r="K1267" s="241">
        <f>4.75*324</f>
        <v>1539</v>
      </c>
      <c r="L1267" s="237">
        <v>41411</v>
      </c>
      <c r="M1267" s="1" t="s">
        <v>6882</v>
      </c>
      <c r="N1267" s="235">
        <f t="shared" si="95"/>
        <v>2588.7600000000002</v>
      </c>
      <c r="O1267" s="235">
        <f t="shared" si="96"/>
        <v>0</v>
      </c>
      <c r="P1267" s="238" t="s">
        <v>4727</v>
      </c>
      <c r="Q1267" s="1" t="s">
        <v>4728</v>
      </c>
      <c r="R1267" s="239" t="s">
        <v>4729</v>
      </c>
      <c r="S1267" s="238" t="s">
        <v>4730</v>
      </c>
      <c r="T1267" s="238" t="s">
        <v>797</v>
      </c>
      <c r="U1267" s="238" t="s">
        <v>4731</v>
      </c>
      <c r="V1267" s="238" t="s">
        <v>5541</v>
      </c>
      <c r="W1267" s="236">
        <v>29540.799999999999</v>
      </c>
      <c r="X1267" s="233">
        <v>41347</v>
      </c>
      <c r="Y1267" s="238" t="s">
        <v>5552</v>
      </c>
      <c r="AA1267" s="240" t="s">
        <v>2722</v>
      </c>
      <c r="AB1267" s="1" t="s">
        <v>4504</v>
      </c>
    </row>
    <row r="1268" spans="1:28" ht="11.25" customHeight="1">
      <c r="A1268" s="233">
        <v>41290</v>
      </c>
      <c r="B1268" s="1" t="s">
        <v>4726</v>
      </c>
      <c r="C1268" s="1" t="s">
        <v>2827</v>
      </c>
      <c r="D1268" s="5" t="s">
        <v>4510</v>
      </c>
      <c r="E1268" s="1">
        <v>501</v>
      </c>
      <c r="F1268" s="1">
        <v>152</v>
      </c>
      <c r="G1268" s="1" t="s">
        <v>2838</v>
      </c>
      <c r="H1268" s="234">
        <v>2.12</v>
      </c>
      <c r="I1268" s="235">
        <f>F1268*H1268</f>
        <v>322.24</v>
      </c>
      <c r="K1268" s="241">
        <f>1.39*152</f>
        <v>211.27999999999997</v>
      </c>
      <c r="L1268" s="237">
        <v>41411</v>
      </c>
      <c r="M1268" s="1" t="s">
        <v>6882</v>
      </c>
      <c r="N1268" s="235">
        <f t="shared" si="95"/>
        <v>322.24</v>
      </c>
      <c r="O1268" s="235">
        <f t="shared" si="96"/>
        <v>0</v>
      </c>
      <c r="P1268" s="238" t="s">
        <v>4727</v>
      </c>
      <c r="Q1268" s="1" t="s">
        <v>4728</v>
      </c>
      <c r="R1268" s="239" t="s">
        <v>4729</v>
      </c>
      <c r="S1268" s="238" t="s">
        <v>4730</v>
      </c>
      <c r="T1268" s="238" t="s">
        <v>797</v>
      </c>
      <c r="U1268" s="238" t="s">
        <v>4731</v>
      </c>
      <c r="V1268" s="238" t="s">
        <v>5541</v>
      </c>
      <c r="W1268" s="236">
        <v>29540.799999999999</v>
      </c>
      <c r="X1268" s="233">
        <v>41347</v>
      </c>
      <c r="Y1268" s="238" t="s">
        <v>5552</v>
      </c>
      <c r="AA1268" s="240" t="s">
        <v>2722</v>
      </c>
      <c r="AB1268" s="1" t="s">
        <v>4504</v>
      </c>
    </row>
    <row r="1269" spans="1:28">
      <c r="A1269" s="233">
        <v>41290</v>
      </c>
      <c r="B1269" s="1" t="s">
        <v>4733</v>
      </c>
      <c r="C1269" s="1" t="s">
        <v>2827</v>
      </c>
      <c r="D1269" s="1" t="s">
        <v>854</v>
      </c>
      <c r="E1269" s="1">
        <v>9031</v>
      </c>
      <c r="F1269" s="1">
        <v>10</v>
      </c>
      <c r="G1269" s="1" t="s">
        <v>2838</v>
      </c>
      <c r="H1269" s="234">
        <v>1.8</v>
      </c>
      <c r="I1269" s="235">
        <f t="shared" si="97"/>
        <v>18</v>
      </c>
      <c r="K1269" s="241">
        <f>1.4929*10</f>
        <v>14.928999999999998</v>
      </c>
      <c r="L1269" s="237">
        <v>41290</v>
      </c>
      <c r="M1269" s="1" t="s">
        <v>4455</v>
      </c>
      <c r="N1269" s="235">
        <f t="shared" si="95"/>
        <v>18</v>
      </c>
      <c r="O1269" s="235">
        <f t="shared" ref="O1269:O1297" si="98">I1269-N1269</f>
        <v>0</v>
      </c>
      <c r="P1269" s="238" t="s">
        <v>4734</v>
      </c>
      <c r="Q1269" s="1" t="s">
        <v>4447</v>
      </c>
      <c r="R1269" s="239" t="s">
        <v>1863</v>
      </c>
      <c r="S1269" s="238" t="s">
        <v>1863</v>
      </c>
      <c r="T1269" s="238" t="s">
        <v>1863</v>
      </c>
      <c r="U1269" s="238" t="s">
        <v>1863</v>
      </c>
      <c r="AA1269" s="240" t="s">
        <v>4735</v>
      </c>
      <c r="AB1269" s="1" t="s">
        <v>2826</v>
      </c>
    </row>
    <row r="1270" spans="1:28">
      <c r="A1270" s="233">
        <v>41290</v>
      </c>
      <c r="B1270" s="1" t="s">
        <v>4733</v>
      </c>
      <c r="C1270" s="1" t="s">
        <v>2827</v>
      </c>
      <c r="D1270" s="5" t="s">
        <v>2012</v>
      </c>
      <c r="E1270" s="1" t="s">
        <v>4484</v>
      </c>
      <c r="F1270" s="1">
        <v>10</v>
      </c>
      <c r="G1270" s="1" t="s">
        <v>4970</v>
      </c>
      <c r="H1270" s="234">
        <v>1.8</v>
      </c>
      <c r="I1270" s="235">
        <f t="shared" si="97"/>
        <v>18</v>
      </c>
      <c r="K1270" s="241">
        <f>1.4*10</f>
        <v>14</v>
      </c>
      <c r="L1270" s="237">
        <v>41290</v>
      </c>
      <c r="M1270" s="1" t="s">
        <v>4455</v>
      </c>
      <c r="N1270" s="235">
        <f t="shared" si="95"/>
        <v>18</v>
      </c>
      <c r="O1270" s="235">
        <f t="shared" si="98"/>
        <v>0</v>
      </c>
      <c r="P1270" s="238" t="s">
        <v>4734</v>
      </c>
      <c r="Q1270" s="1" t="s">
        <v>4447</v>
      </c>
      <c r="R1270" s="239" t="s">
        <v>1863</v>
      </c>
      <c r="S1270" s="238" t="s">
        <v>1863</v>
      </c>
      <c r="T1270" s="238" t="s">
        <v>1863</v>
      </c>
      <c r="U1270" s="238" t="s">
        <v>1863</v>
      </c>
      <c r="AA1270" s="240" t="s">
        <v>4735</v>
      </c>
      <c r="AB1270" s="1" t="s">
        <v>2826</v>
      </c>
    </row>
    <row r="1271" spans="1:28">
      <c r="A1271" s="233">
        <v>41290</v>
      </c>
      <c r="B1271" s="1" t="s">
        <v>4463</v>
      </c>
      <c r="C1271" s="1" t="s">
        <v>4736</v>
      </c>
      <c r="D1271" s="95" t="s">
        <v>5008</v>
      </c>
      <c r="E1271" s="1" t="s">
        <v>4737</v>
      </c>
      <c r="F1271" s="1">
        <v>1440</v>
      </c>
      <c r="G1271" s="1" t="s">
        <v>4441</v>
      </c>
      <c r="H1271" s="234">
        <v>10</v>
      </c>
      <c r="I1271" s="235">
        <f t="shared" si="97"/>
        <v>14400</v>
      </c>
      <c r="K1271" s="241">
        <f>9.9*1440</f>
        <v>14256</v>
      </c>
      <c r="L1271" s="237">
        <v>41309</v>
      </c>
      <c r="M1271" s="1" t="s">
        <v>166</v>
      </c>
      <c r="N1271" s="235">
        <f t="shared" si="95"/>
        <v>14400</v>
      </c>
      <c r="O1271" s="235">
        <f t="shared" si="98"/>
        <v>0</v>
      </c>
      <c r="P1271" s="238" t="s">
        <v>4738</v>
      </c>
      <c r="Q1271" s="1" t="s">
        <v>4465</v>
      </c>
      <c r="R1271" s="239" t="s">
        <v>4466</v>
      </c>
      <c r="S1271" s="238">
        <v>13368068212</v>
      </c>
      <c r="T1271" s="238" t="s">
        <v>4450</v>
      </c>
      <c r="U1271" s="238" t="s">
        <v>4450</v>
      </c>
      <c r="V1271" s="238" t="s">
        <v>4739</v>
      </c>
      <c r="W1271" s="236">
        <v>15120</v>
      </c>
      <c r="X1271" s="233">
        <v>41303</v>
      </c>
      <c r="Y1271" s="238" t="s">
        <v>3866</v>
      </c>
      <c r="AB1271" s="1" t="s">
        <v>2826</v>
      </c>
    </row>
    <row r="1272" spans="1:28">
      <c r="A1272" s="233">
        <v>41290</v>
      </c>
      <c r="B1272" s="1" t="s">
        <v>4740</v>
      </c>
      <c r="C1272" s="1" t="s">
        <v>2827</v>
      </c>
      <c r="D1272" s="5" t="s">
        <v>4708</v>
      </c>
      <c r="E1272" s="1">
        <v>9032</v>
      </c>
      <c r="F1272" s="1">
        <v>1000</v>
      </c>
      <c r="G1272" s="1" t="s">
        <v>2838</v>
      </c>
      <c r="H1272" s="234">
        <v>1.9</v>
      </c>
      <c r="I1272" s="235">
        <f t="shared" si="97"/>
        <v>1900</v>
      </c>
      <c r="K1272" s="250">
        <f>1.4929*1000</f>
        <v>1492.8999999999999</v>
      </c>
      <c r="L1272" s="237">
        <v>41290</v>
      </c>
      <c r="M1272" s="1" t="s">
        <v>2839</v>
      </c>
      <c r="N1272" s="235">
        <f t="shared" si="95"/>
        <v>1900</v>
      </c>
      <c r="O1272" s="235">
        <f t="shared" si="98"/>
        <v>0</v>
      </c>
      <c r="P1272" s="238" t="s">
        <v>4741</v>
      </c>
      <c r="Q1272" s="1" t="s">
        <v>4742</v>
      </c>
      <c r="R1272" s="239" t="s">
        <v>4743</v>
      </c>
      <c r="S1272" s="238" t="s">
        <v>4744</v>
      </c>
      <c r="T1272" s="265" t="s">
        <v>4745</v>
      </c>
      <c r="U1272" s="238" t="s">
        <v>4746</v>
      </c>
      <c r="AB1272" s="1" t="s">
        <v>2826</v>
      </c>
    </row>
    <row r="1273" spans="1:28">
      <c r="A1273" s="233">
        <v>41290</v>
      </c>
      <c r="B1273" s="1" t="s">
        <v>4747</v>
      </c>
      <c r="C1273" s="1" t="s">
        <v>4736</v>
      </c>
      <c r="D1273" s="225" t="s">
        <v>4748</v>
      </c>
      <c r="E1273" s="1" t="s">
        <v>4749</v>
      </c>
      <c r="F1273" s="1">
        <v>50</v>
      </c>
      <c r="G1273" s="1" t="s">
        <v>4750</v>
      </c>
      <c r="H1273" s="234">
        <v>14.5</v>
      </c>
      <c r="I1273" s="235">
        <f t="shared" si="97"/>
        <v>725</v>
      </c>
      <c r="K1273" s="250">
        <f>13.96*50</f>
        <v>698</v>
      </c>
      <c r="L1273" s="237">
        <v>41303</v>
      </c>
      <c r="M1273" s="1" t="s">
        <v>4887</v>
      </c>
      <c r="N1273" s="235">
        <f t="shared" si="95"/>
        <v>725</v>
      </c>
      <c r="O1273" s="235">
        <f t="shared" si="98"/>
        <v>0</v>
      </c>
      <c r="P1273" s="238" t="s">
        <v>4751</v>
      </c>
      <c r="Q1273" s="1" t="s">
        <v>4447</v>
      </c>
      <c r="R1273" s="239" t="s">
        <v>1863</v>
      </c>
      <c r="S1273" s="238" t="s">
        <v>1863</v>
      </c>
      <c r="T1273" s="238" t="s">
        <v>1863</v>
      </c>
      <c r="U1273" s="238" t="s">
        <v>1863</v>
      </c>
      <c r="V1273" s="238" t="s">
        <v>5266</v>
      </c>
      <c r="W1273" s="236">
        <v>10793</v>
      </c>
      <c r="X1273" s="233">
        <v>41332</v>
      </c>
      <c r="Y1273" s="238" t="s">
        <v>5250</v>
      </c>
      <c r="AB1273" s="1" t="s">
        <v>2826</v>
      </c>
    </row>
    <row r="1274" spans="1:28">
      <c r="A1274" s="233">
        <v>41290</v>
      </c>
      <c r="B1274" s="1" t="s">
        <v>4752</v>
      </c>
      <c r="C1274" s="1" t="s">
        <v>2827</v>
      </c>
      <c r="D1274" s="1" t="s">
        <v>854</v>
      </c>
      <c r="E1274" s="1">
        <v>9031</v>
      </c>
      <c r="F1274" s="1">
        <v>300</v>
      </c>
      <c r="G1274" s="1" t="s">
        <v>2838</v>
      </c>
      <c r="H1274" s="234">
        <v>2.2999999999999998</v>
      </c>
      <c r="I1274" s="235">
        <f t="shared" si="97"/>
        <v>690</v>
      </c>
      <c r="K1274" s="250">
        <f>1.4929*300</f>
        <v>447.86999999999995</v>
      </c>
      <c r="L1274" s="237">
        <v>41290</v>
      </c>
      <c r="M1274" s="1" t="s">
        <v>4455</v>
      </c>
      <c r="N1274" s="235">
        <f t="shared" si="95"/>
        <v>690</v>
      </c>
      <c r="O1274" s="235">
        <f t="shared" si="98"/>
        <v>0</v>
      </c>
      <c r="P1274" s="238" t="s">
        <v>4753</v>
      </c>
      <c r="Q1274" s="1" t="s">
        <v>4447</v>
      </c>
      <c r="R1274" s="239" t="s">
        <v>4754</v>
      </c>
      <c r="S1274" s="238" t="s">
        <v>4755</v>
      </c>
      <c r="T1274" s="238" t="s">
        <v>4756</v>
      </c>
      <c r="U1274" s="238" t="s">
        <v>1863</v>
      </c>
      <c r="AA1274" s="240" t="s">
        <v>4757</v>
      </c>
      <c r="AB1274" s="1" t="s">
        <v>4504</v>
      </c>
    </row>
    <row r="1275" spans="1:28">
      <c r="A1275" s="233">
        <v>41290</v>
      </c>
      <c r="B1275" s="1" t="s">
        <v>4463</v>
      </c>
      <c r="C1275" s="1" t="s">
        <v>2827</v>
      </c>
      <c r="D1275" s="5" t="s">
        <v>4505</v>
      </c>
      <c r="E1275" s="1">
        <v>1270</v>
      </c>
      <c r="F1275" s="1">
        <v>500</v>
      </c>
      <c r="G1275" s="1" t="s">
        <v>4441</v>
      </c>
      <c r="H1275" s="234">
        <v>4.4800000000000004</v>
      </c>
      <c r="I1275" s="235">
        <f t="shared" si="97"/>
        <v>2240</v>
      </c>
      <c r="K1275" s="250">
        <f>4.31*500</f>
        <v>2155</v>
      </c>
      <c r="L1275" s="237">
        <v>41330</v>
      </c>
      <c r="M1275" s="1" t="s">
        <v>5155</v>
      </c>
      <c r="N1275" s="235">
        <f t="shared" si="95"/>
        <v>2240</v>
      </c>
      <c r="O1275" s="235">
        <f t="shared" si="98"/>
        <v>0</v>
      </c>
      <c r="P1275" s="238" t="s">
        <v>4758</v>
      </c>
      <c r="Q1275" s="1" t="s">
        <v>4465</v>
      </c>
      <c r="R1275" s="239" t="s">
        <v>4466</v>
      </c>
      <c r="S1275" s="238">
        <v>13368068212</v>
      </c>
      <c r="T1275" s="238" t="s">
        <v>4450</v>
      </c>
      <c r="U1275" s="238" t="s">
        <v>4450</v>
      </c>
      <c r="V1275" s="238" t="s">
        <v>4969</v>
      </c>
      <c r="W1275" s="236">
        <v>51540.38</v>
      </c>
      <c r="X1275" s="233">
        <v>41309</v>
      </c>
      <c r="Y1275" s="238" t="s">
        <v>3866</v>
      </c>
      <c r="AB1275" s="1" t="s">
        <v>2826</v>
      </c>
    </row>
    <row r="1276" spans="1:28">
      <c r="A1276" s="233">
        <v>41291</v>
      </c>
      <c r="B1276" s="1" t="s">
        <v>4759</v>
      </c>
      <c r="C1276" s="1" t="s">
        <v>2827</v>
      </c>
      <c r="D1276" s="1" t="s">
        <v>4518</v>
      </c>
      <c r="E1276" s="1">
        <v>8247</v>
      </c>
      <c r="F1276" s="1">
        <v>21</v>
      </c>
      <c r="G1276" s="1" t="s">
        <v>2838</v>
      </c>
      <c r="H1276" s="234">
        <v>13.7</v>
      </c>
      <c r="I1276" s="235">
        <f t="shared" si="97"/>
        <v>287.7</v>
      </c>
      <c r="K1276" s="250">
        <f>12.35*21</f>
        <v>259.34999999999997</v>
      </c>
      <c r="L1276" s="237">
        <v>41291</v>
      </c>
      <c r="M1276" s="1" t="s">
        <v>4455</v>
      </c>
      <c r="N1276" s="235">
        <f t="shared" si="95"/>
        <v>287.7</v>
      </c>
      <c r="O1276" s="235">
        <f t="shared" si="98"/>
        <v>0</v>
      </c>
      <c r="P1276" s="238" t="s">
        <v>4760</v>
      </c>
      <c r="Q1276" s="1" t="s">
        <v>4457</v>
      </c>
      <c r="R1276" s="239" t="s">
        <v>4761</v>
      </c>
      <c r="S1276" s="238" t="s">
        <v>4762</v>
      </c>
      <c r="T1276" s="238" t="s">
        <v>3533</v>
      </c>
      <c r="V1276" s="246" t="s">
        <v>4461</v>
      </c>
      <c r="AB1276" s="5" t="s">
        <v>2826</v>
      </c>
    </row>
    <row r="1277" spans="1:28">
      <c r="A1277" s="233">
        <v>41292</v>
      </c>
      <c r="B1277" s="1" t="s">
        <v>4763</v>
      </c>
      <c r="C1277" s="1" t="s">
        <v>2827</v>
      </c>
      <c r="D1277" s="5" t="s">
        <v>983</v>
      </c>
      <c r="E1277" s="1">
        <v>6800</v>
      </c>
      <c r="F1277" s="1">
        <v>7</v>
      </c>
      <c r="G1277" s="1" t="s">
        <v>2838</v>
      </c>
      <c r="H1277" s="234">
        <v>466.8</v>
      </c>
      <c r="I1277" s="235">
        <f t="shared" si="97"/>
        <v>3267.6</v>
      </c>
      <c r="K1277" s="250">
        <f>425*7</f>
        <v>2975</v>
      </c>
      <c r="L1277" s="237">
        <v>41292</v>
      </c>
      <c r="M1277" s="1" t="s">
        <v>2839</v>
      </c>
      <c r="N1277" s="235">
        <f t="shared" si="95"/>
        <v>3267.6</v>
      </c>
      <c r="O1277" s="235">
        <f t="shared" si="98"/>
        <v>0</v>
      </c>
      <c r="P1277" s="238" t="s">
        <v>4450</v>
      </c>
      <c r="Q1277" s="1" t="s">
        <v>4527</v>
      </c>
      <c r="R1277" s="239" t="s">
        <v>4764</v>
      </c>
      <c r="S1277" s="238" t="s">
        <v>4765</v>
      </c>
      <c r="T1277" s="238" t="s">
        <v>4766</v>
      </c>
      <c r="U1277" s="238" t="s">
        <v>4767</v>
      </c>
      <c r="V1277" s="238" t="s">
        <v>4768</v>
      </c>
      <c r="W1277" s="236">
        <v>5733</v>
      </c>
      <c r="X1277" s="233">
        <v>41292</v>
      </c>
      <c r="Y1277" s="238" t="s">
        <v>4767</v>
      </c>
      <c r="AB1277" s="1" t="s">
        <v>2826</v>
      </c>
    </row>
    <row r="1278" spans="1:28">
      <c r="A1278" s="233">
        <v>41292</v>
      </c>
      <c r="B1278" s="1" t="s">
        <v>4763</v>
      </c>
      <c r="C1278" s="1" t="s">
        <v>2827</v>
      </c>
      <c r="D1278" s="5" t="s">
        <v>4769</v>
      </c>
      <c r="E1278" s="1">
        <v>2078</v>
      </c>
      <c r="F1278" s="1">
        <v>14</v>
      </c>
      <c r="G1278" s="1" t="s">
        <v>2828</v>
      </c>
      <c r="H1278" s="234">
        <v>16.78</v>
      </c>
      <c r="I1278" s="235">
        <f t="shared" si="97"/>
        <v>234.92000000000002</v>
      </c>
      <c r="K1278" s="282">
        <f>20.36*0.7*14</f>
        <v>199.52799999999999</v>
      </c>
      <c r="L1278" s="237">
        <v>41292</v>
      </c>
      <c r="M1278" s="1" t="s">
        <v>2839</v>
      </c>
      <c r="N1278" s="235">
        <f t="shared" si="95"/>
        <v>234.92000000000002</v>
      </c>
      <c r="O1278" s="235">
        <f t="shared" si="98"/>
        <v>0</v>
      </c>
      <c r="P1278" s="238" t="s">
        <v>4450</v>
      </c>
      <c r="Q1278" s="1" t="s">
        <v>4527</v>
      </c>
      <c r="R1278" s="239" t="s">
        <v>4764</v>
      </c>
      <c r="S1278" s="238" t="s">
        <v>4765</v>
      </c>
      <c r="T1278" s="238" t="s">
        <v>4766</v>
      </c>
      <c r="U1278" s="238" t="s">
        <v>4767</v>
      </c>
      <c r="V1278" s="238" t="s">
        <v>4770</v>
      </c>
      <c r="W1278" s="236">
        <v>285.04000000000002</v>
      </c>
      <c r="X1278" s="233">
        <v>41292</v>
      </c>
      <c r="Y1278" s="238" t="s">
        <v>4767</v>
      </c>
      <c r="Z1278" s="255" t="s">
        <v>4508</v>
      </c>
      <c r="AB1278" s="1" t="s">
        <v>2826</v>
      </c>
    </row>
    <row r="1279" spans="1:28">
      <c r="A1279" s="233">
        <v>41292</v>
      </c>
      <c r="B1279" s="1" t="s">
        <v>4771</v>
      </c>
      <c r="C1279" s="1" t="s">
        <v>2827</v>
      </c>
      <c r="D1279" s="5" t="s">
        <v>1221</v>
      </c>
      <c r="E1279" s="1" t="s">
        <v>4592</v>
      </c>
      <c r="F1279" s="1">
        <v>120</v>
      </c>
      <c r="G1279" s="225" t="s">
        <v>2838</v>
      </c>
      <c r="H1279" s="234">
        <v>39</v>
      </c>
      <c r="I1279" s="235">
        <f t="shared" si="97"/>
        <v>4680</v>
      </c>
      <c r="K1279" s="250">
        <f>35.6*120</f>
        <v>4272</v>
      </c>
      <c r="L1279" s="237">
        <v>41292</v>
      </c>
      <c r="M1279" s="1" t="s">
        <v>2829</v>
      </c>
      <c r="N1279" s="235">
        <f t="shared" ref="N1279:N1342" si="99">I1279</f>
        <v>4680</v>
      </c>
      <c r="O1279" s="235">
        <f t="shared" si="98"/>
        <v>0</v>
      </c>
      <c r="P1279" s="238" t="s">
        <v>4450</v>
      </c>
      <c r="Q1279" s="1" t="s">
        <v>4585</v>
      </c>
      <c r="R1279" s="239" t="s">
        <v>4772</v>
      </c>
      <c r="S1279" s="238" t="s">
        <v>4773</v>
      </c>
      <c r="T1279" s="238" t="s">
        <v>4774</v>
      </c>
      <c r="U1279" s="238" t="s">
        <v>4775</v>
      </c>
      <c r="V1279" s="238" t="s">
        <v>4776</v>
      </c>
      <c r="W1279" s="236">
        <v>4680</v>
      </c>
      <c r="X1279" s="233">
        <v>41295</v>
      </c>
      <c r="Y1279" s="238" t="s">
        <v>4777</v>
      </c>
      <c r="AB1279" s="5" t="s">
        <v>2826</v>
      </c>
    </row>
    <row r="1280" spans="1:28">
      <c r="A1280" s="233">
        <v>41292</v>
      </c>
      <c r="B1280" s="1" t="s">
        <v>4778</v>
      </c>
      <c r="C1280" s="1" t="s">
        <v>2827</v>
      </c>
      <c r="D1280" s="5" t="s">
        <v>4534</v>
      </c>
      <c r="E1280" s="1" t="s">
        <v>4535</v>
      </c>
      <c r="F1280" s="1">
        <v>20</v>
      </c>
      <c r="G1280" s="225" t="s">
        <v>4429</v>
      </c>
      <c r="H1280" s="234">
        <v>110</v>
      </c>
      <c r="I1280" s="27">
        <f t="shared" si="97"/>
        <v>2200</v>
      </c>
      <c r="K1280" s="250">
        <f>107.64*18</f>
        <v>1937.52</v>
      </c>
      <c r="L1280" s="237">
        <v>41292</v>
      </c>
      <c r="M1280" s="1" t="s">
        <v>4455</v>
      </c>
      <c r="N1280" s="235">
        <f t="shared" si="99"/>
        <v>2200</v>
      </c>
      <c r="O1280" s="235">
        <f t="shared" si="98"/>
        <v>0</v>
      </c>
      <c r="P1280" s="238" t="s">
        <v>4779</v>
      </c>
      <c r="Q1280" s="1" t="s">
        <v>4447</v>
      </c>
      <c r="R1280" s="239" t="s">
        <v>1863</v>
      </c>
      <c r="S1280" s="238" t="s">
        <v>1863</v>
      </c>
      <c r="T1280" s="238" t="s">
        <v>1863</v>
      </c>
      <c r="U1280" s="238" t="s">
        <v>1863</v>
      </c>
      <c r="V1280" s="238" t="s">
        <v>4780</v>
      </c>
      <c r="W1280" s="236">
        <v>2200</v>
      </c>
      <c r="X1280" s="233">
        <v>41292</v>
      </c>
      <c r="AB1280" s="1" t="s">
        <v>2826</v>
      </c>
    </row>
    <row r="1281" spans="1:28">
      <c r="A1281" s="233">
        <v>41295</v>
      </c>
      <c r="B1281" s="1" t="s">
        <v>4781</v>
      </c>
      <c r="C1281" s="1" t="s">
        <v>2827</v>
      </c>
      <c r="D1281" s="1" t="s">
        <v>86</v>
      </c>
      <c r="E1281" s="1">
        <v>9032</v>
      </c>
      <c r="F1281" s="1">
        <v>500</v>
      </c>
      <c r="G1281" s="1" t="s">
        <v>2838</v>
      </c>
      <c r="H1281" s="234">
        <v>2.4</v>
      </c>
      <c r="I1281" s="236">
        <f>H1281*F1281</f>
        <v>1200</v>
      </c>
      <c r="K1281" s="250">
        <f>1.4929*500</f>
        <v>746.44999999999993</v>
      </c>
      <c r="L1281" s="237">
        <v>41295</v>
      </c>
      <c r="M1281" s="1" t="s">
        <v>2839</v>
      </c>
      <c r="N1281" s="235">
        <f t="shared" si="99"/>
        <v>1200</v>
      </c>
      <c r="O1281" s="235">
        <f t="shared" si="98"/>
        <v>0</v>
      </c>
      <c r="P1281" s="238" t="s">
        <v>4782</v>
      </c>
      <c r="Q1281" s="1" t="s">
        <v>4884</v>
      </c>
      <c r="R1281" s="239" t="s">
        <v>4783</v>
      </c>
      <c r="S1281" s="238" t="s">
        <v>4784</v>
      </c>
      <c r="T1281" s="238" t="s">
        <v>4785</v>
      </c>
      <c r="U1281" s="238" t="s">
        <v>4885</v>
      </c>
      <c r="V1281" s="238" t="s">
        <v>4786</v>
      </c>
      <c r="W1281" s="236">
        <v>1200</v>
      </c>
      <c r="X1281" s="233">
        <v>41295</v>
      </c>
      <c r="Y1281" s="238" t="s">
        <v>5963</v>
      </c>
      <c r="AB1281" s="1" t="s">
        <v>4504</v>
      </c>
    </row>
    <row r="1282" spans="1:28">
      <c r="A1282" s="233">
        <v>41296</v>
      </c>
      <c r="B1282" s="1" t="s">
        <v>4787</v>
      </c>
      <c r="C1282" s="1" t="s">
        <v>2827</v>
      </c>
      <c r="D1282" s="5" t="s">
        <v>6254</v>
      </c>
      <c r="E1282" s="1" t="s">
        <v>4484</v>
      </c>
      <c r="F1282" s="1">
        <v>8000</v>
      </c>
      <c r="G1282" s="1" t="s">
        <v>4970</v>
      </c>
      <c r="H1282" s="234">
        <v>1.82</v>
      </c>
      <c r="I1282" s="235">
        <f t="shared" si="97"/>
        <v>14560</v>
      </c>
      <c r="K1282" s="250">
        <f>1.4*8000</f>
        <v>11200</v>
      </c>
      <c r="L1282" s="237">
        <v>41296</v>
      </c>
      <c r="M1282" s="1" t="s">
        <v>2829</v>
      </c>
      <c r="N1282" s="235">
        <f t="shared" si="99"/>
        <v>14560</v>
      </c>
      <c r="O1282" s="235">
        <f t="shared" si="98"/>
        <v>0</v>
      </c>
      <c r="P1282" s="238" t="s">
        <v>4788</v>
      </c>
      <c r="Q1282" s="1" t="s">
        <v>4457</v>
      </c>
      <c r="R1282" s="239" t="s">
        <v>1863</v>
      </c>
      <c r="S1282" s="238" t="s">
        <v>1863</v>
      </c>
      <c r="T1282" s="238" t="s">
        <v>1863</v>
      </c>
      <c r="U1282" s="238" t="s">
        <v>1863</v>
      </c>
      <c r="V1282" s="238" t="s">
        <v>4883</v>
      </c>
      <c r="W1282" s="236">
        <v>14560</v>
      </c>
      <c r="X1282" s="233">
        <v>41303</v>
      </c>
      <c r="Y1282" s="238" t="s">
        <v>4906</v>
      </c>
      <c r="AB1282" s="1" t="s">
        <v>2826</v>
      </c>
    </row>
    <row r="1283" spans="1:28">
      <c r="A1283" s="233">
        <v>41296</v>
      </c>
      <c r="B1283" s="1" t="s">
        <v>4463</v>
      </c>
      <c r="C1283" s="1" t="s">
        <v>2827</v>
      </c>
      <c r="D1283" s="5" t="s">
        <v>4599</v>
      </c>
      <c r="E1283" s="1">
        <v>6006</v>
      </c>
      <c r="F1283" s="1">
        <v>720</v>
      </c>
      <c r="G1283" s="1" t="s">
        <v>2838</v>
      </c>
      <c r="H1283" s="234">
        <v>50.5</v>
      </c>
      <c r="I1283" s="235">
        <f t="shared" si="97"/>
        <v>36360</v>
      </c>
      <c r="K1283" s="250">
        <f>49.5*720</f>
        <v>35640</v>
      </c>
      <c r="L1283" s="237">
        <v>41330</v>
      </c>
      <c r="M1283" s="1" t="s">
        <v>5155</v>
      </c>
      <c r="N1283" s="235">
        <f t="shared" si="99"/>
        <v>36360</v>
      </c>
      <c r="O1283" s="235">
        <f t="shared" si="98"/>
        <v>0</v>
      </c>
      <c r="P1283" s="238" t="s">
        <v>4789</v>
      </c>
      <c r="Q1283" s="1" t="s">
        <v>4465</v>
      </c>
      <c r="R1283" s="239" t="s">
        <v>4466</v>
      </c>
      <c r="S1283" s="238">
        <v>13368068212</v>
      </c>
      <c r="T1283" s="238" t="s">
        <v>4450</v>
      </c>
      <c r="U1283" s="238" t="s">
        <v>4450</v>
      </c>
      <c r="V1283" s="238" t="s">
        <v>4969</v>
      </c>
      <c r="W1283" s="236">
        <v>51540.38</v>
      </c>
      <c r="X1283" s="233">
        <v>41309</v>
      </c>
      <c r="Y1283" s="238" t="s">
        <v>3866</v>
      </c>
      <c r="AB1283" s="1" t="s">
        <v>2826</v>
      </c>
    </row>
    <row r="1284" spans="1:28">
      <c r="A1284" s="233">
        <v>41296</v>
      </c>
      <c r="B1284" s="1" t="s">
        <v>4463</v>
      </c>
      <c r="C1284" s="1" t="s">
        <v>2827</v>
      </c>
      <c r="D1284" s="1" t="s">
        <v>1213</v>
      </c>
      <c r="E1284" s="1" t="s">
        <v>4473</v>
      </c>
      <c r="F1284" s="1">
        <v>70</v>
      </c>
      <c r="G1284" s="1" t="s">
        <v>4441</v>
      </c>
      <c r="H1284" s="234">
        <v>13.2</v>
      </c>
      <c r="I1284" s="235">
        <f t="shared" si="97"/>
        <v>924</v>
      </c>
      <c r="K1284" s="250">
        <f>12.6*70</f>
        <v>882</v>
      </c>
      <c r="L1284" s="237">
        <v>41330</v>
      </c>
      <c r="M1284" s="1" t="s">
        <v>5155</v>
      </c>
      <c r="N1284" s="235">
        <f t="shared" si="99"/>
        <v>924</v>
      </c>
      <c r="O1284" s="235">
        <f t="shared" si="98"/>
        <v>0</v>
      </c>
      <c r="P1284" s="238" t="s">
        <v>4789</v>
      </c>
      <c r="Q1284" s="1" t="s">
        <v>4465</v>
      </c>
      <c r="R1284" s="239" t="s">
        <v>4466</v>
      </c>
      <c r="S1284" s="238">
        <v>13368068212</v>
      </c>
      <c r="T1284" s="238" t="s">
        <v>4450</v>
      </c>
      <c r="U1284" s="238" t="s">
        <v>4450</v>
      </c>
      <c r="V1284" s="238" t="s">
        <v>4969</v>
      </c>
      <c r="W1284" s="236">
        <v>51540.38</v>
      </c>
      <c r="X1284" s="233">
        <v>41309</v>
      </c>
      <c r="Y1284" s="238" t="s">
        <v>3866</v>
      </c>
      <c r="AB1284" s="1" t="s">
        <v>2826</v>
      </c>
    </row>
    <row r="1285" spans="1:28">
      <c r="A1285" s="233">
        <v>41296</v>
      </c>
      <c r="B1285" s="1" t="s">
        <v>4790</v>
      </c>
      <c r="C1285" s="1" t="s">
        <v>4791</v>
      </c>
      <c r="D1285" s="225" t="s">
        <v>1789</v>
      </c>
      <c r="E1285" s="225" t="s">
        <v>1788</v>
      </c>
      <c r="F1285" s="225">
        <v>3</v>
      </c>
      <c r="G1285" s="1" t="s">
        <v>2838</v>
      </c>
      <c r="H1285" s="234">
        <v>88</v>
      </c>
      <c r="I1285" s="235">
        <f t="shared" ref="I1285:I1303" si="100">H1285*F1285</f>
        <v>264</v>
      </c>
      <c r="K1285" s="250">
        <f>75*3</f>
        <v>225</v>
      </c>
      <c r="L1285" s="237">
        <v>41304</v>
      </c>
      <c r="M1285" s="1" t="s">
        <v>4896</v>
      </c>
      <c r="N1285" s="235">
        <f t="shared" si="99"/>
        <v>264</v>
      </c>
      <c r="O1285" s="235">
        <f t="shared" si="98"/>
        <v>0</v>
      </c>
      <c r="P1285" s="238" t="s">
        <v>4792</v>
      </c>
      <c r="Q1285" s="1" t="s">
        <v>4465</v>
      </c>
      <c r="R1285" s="239" t="s">
        <v>4793</v>
      </c>
      <c r="S1285" s="238" t="s">
        <v>4793</v>
      </c>
      <c r="T1285" s="238" t="s">
        <v>4450</v>
      </c>
      <c r="U1285" s="238" t="s">
        <v>4450</v>
      </c>
      <c r="V1285" s="238" t="s">
        <v>4461</v>
      </c>
      <c r="AB1285" s="5" t="s">
        <v>4504</v>
      </c>
    </row>
    <row r="1286" spans="1:28">
      <c r="A1286" s="233">
        <v>41296</v>
      </c>
      <c r="B1286" s="1" t="s">
        <v>4790</v>
      </c>
      <c r="C1286" s="1" t="s">
        <v>4791</v>
      </c>
      <c r="D1286" s="225" t="s">
        <v>4794</v>
      </c>
      <c r="E1286" s="225" t="s">
        <v>1787</v>
      </c>
      <c r="F1286" s="225">
        <v>3</v>
      </c>
      <c r="G1286" s="1" t="s">
        <v>2838</v>
      </c>
      <c r="H1286" s="234">
        <v>48</v>
      </c>
      <c r="I1286" s="235">
        <f t="shared" si="100"/>
        <v>144</v>
      </c>
      <c r="K1286" s="250">
        <f>25*3</f>
        <v>75</v>
      </c>
      <c r="L1286" s="237">
        <v>41304</v>
      </c>
      <c r="M1286" s="1" t="s">
        <v>4896</v>
      </c>
      <c r="N1286" s="235">
        <f t="shared" si="99"/>
        <v>144</v>
      </c>
      <c r="O1286" s="235">
        <f t="shared" si="98"/>
        <v>0</v>
      </c>
      <c r="P1286" s="238" t="s">
        <v>4792</v>
      </c>
      <c r="Q1286" s="1" t="s">
        <v>4465</v>
      </c>
      <c r="R1286" s="239" t="s">
        <v>4793</v>
      </c>
      <c r="S1286" s="238" t="s">
        <v>4793</v>
      </c>
      <c r="T1286" s="238" t="s">
        <v>4450</v>
      </c>
      <c r="U1286" s="238" t="s">
        <v>4450</v>
      </c>
      <c r="V1286" s="238" t="s">
        <v>4461</v>
      </c>
      <c r="AB1286" s="5" t="s">
        <v>4504</v>
      </c>
    </row>
    <row r="1287" spans="1:28">
      <c r="A1287" s="233">
        <v>41296</v>
      </c>
      <c r="B1287" s="1" t="s">
        <v>4790</v>
      </c>
      <c r="C1287" s="1" t="s">
        <v>4791</v>
      </c>
      <c r="D1287" s="225" t="s">
        <v>4795</v>
      </c>
      <c r="E1287" s="225" t="s">
        <v>4796</v>
      </c>
      <c r="F1287" s="225">
        <v>2</v>
      </c>
      <c r="G1287" s="1" t="s">
        <v>4797</v>
      </c>
      <c r="H1287" s="234">
        <v>42</v>
      </c>
      <c r="I1287" s="235">
        <f t="shared" si="100"/>
        <v>84</v>
      </c>
      <c r="K1287" s="250">
        <f>17.82*2</f>
        <v>35.64</v>
      </c>
      <c r="L1287" s="237">
        <v>41304</v>
      </c>
      <c r="M1287" s="1" t="s">
        <v>4896</v>
      </c>
      <c r="N1287" s="235">
        <f t="shared" si="99"/>
        <v>84</v>
      </c>
      <c r="O1287" s="235">
        <f t="shared" si="98"/>
        <v>0</v>
      </c>
      <c r="P1287" s="238" t="s">
        <v>4792</v>
      </c>
      <c r="Q1287" s="1" t="s">
        <v>4465</v>
      </c>
      <c r="R1287" s="239" t="s">
        <v>4793</v>
      </c>
      <c r="S1287" s="238" t="s">
        <v>4793</v>
      </c>
      <c r="T1287" s="238" t="s">
        <v>4450</v>
      </c>
      <c r="U1287" s="238" t="s">
        <v>4450</v>
      </c>
      <c r="V1287" s="238" t="s">
        <v>4461</v>
      </c>
      <c r="AB1287" s="5" t="s">
        <v>4504</v>
      </c>
    </row>
    <row r="1288" spans="1:28">
      <c r="A1288" s="233">
        <v>41296</v>
      </c>
      <c r="B1288" s="1" t="s">
        <v>4790</v>
      </c>
      <c r="C1288" s="1" t="s">
        <v>4791</v>
      </c>
      <c r="D1288" s="5" t="s">
        <v>4614</v>
      </c>
      <c r="E1288" s="1" t="s">
        <v>4798</v>
      </c>
      <c r="F1288" s="1">
        <v>1</v>
      </c>
      <c r="G1288" s="1" t="s">
        <v>4799</v>
      </c>
      <c r="H1288" s="234">
        <v>45</v>
      </c>
      <c r="I1288" s="235">
        <f t="shared" si="100"/>
        <v>45</v>
      </c>
      <c r="K1288" s="250">
        <v>19.8</v>
      </c>
      <c r="L1288" s="237">
        <v>41304</v>
      </c>
      <c r="M1288" s="1" t="s">
        <v>4896</v>
      </c>
      <c r="N1288" s="235">
        <f t="shared" si="99"/>
        <v>45</v>
      </c>
      <c r="O1288" s="235">
        <f t="shared" si="98"/>
        <v>0</v>
      </c>
      <c r="P1288" s="238" t="s">
        <v>4800</v>
      </c>
      <c r="Q1288" s="1" t="s">
        <v>4801</v>
      </c>
      <c r="R1288" s="239" t="s">
        <v>4802</v>
      </c>
      <c r="S1288" s="238" t="s">
        <v>4802</v>
      </c>
      <c r="T1288" s="238" t="s">
        <v>4803</v>
      </c>
      <c r="U1288" s="238" t="s">
        <v>4803</v>
      </c>
      <c r="V1288" s="238" t="s">
        <v>4804</v>
      </c>
      <c r="AB1288" s="5" t="s">
        <v>4805</v>
      </c>
    </row>
    <row r="1289" spans="1:28">
      <c r="A1289" s="233">
        <v>41296</v>
      </c>
      <c r="B1289" s="1" t="s">
        <v>4806</v>
      </c>
      <c r="C1289" s="1" t="s">
        <v>4807</v>
      </c>
      <c r="D1289" s="1" t="s">
        <v>2041</v>
      </c>
      <c r="E1289" s="1" t="s">
        <v>4808</v>
      </c>
      <c r="F1289" s="1">
        <v>10</v>
      </c>
      <c r="G1289" s="1" t="s">
        <v>4809</v>
      </c>
      <c r="H1289" s="234">
        <v>9</v>
      </c>
      <c r="I1289" s="235">
        <f t="shared" si="100"/>
        <v>90</v>
      </c>
      <c r="K1289" s="282">
        <v>0</v>
      </c>
      <c r="L1289" s="237">
        <v>41304</v>
      </c>
      <c r="M1289" s="1" t="s">
        <v>4896</v>
      </c>
      <c r="N1289" s="235">
        <f t="shared" si="99"/>
        <v>90</v>
      </c>
      <c r="O1289" s="235">
        <f t="shared" si="98"/>
        <v>0</v>
      </c>
      <c r="P1289" s="238" t="s">
        <v>4800</v>
      </c>
      <c r="Q1289" s="1" t="s">
        <v>4801</v>
      </c>
      <c r="R1289" s="239" t="s">
        <v>4802</v>
      </c>
      <c r="S1289" s="238" t="s">
        <v>4802</v>
      </c>
      <c r="T1289" s="238" t="s">
        <v>4803</v>
      </c>
      <c r="U1289" s="238" t="s">
        <v>4803</v>
      </c>
      <c r="V1289" s="238" t="s">
        <v>4804</v>
      </c>
      <c r="Z1289" s="255" t="s">
        <v>6033</v>
      </c>
      <c r="AB1289" s="5" t="s">
        <v>4805</v>
      </c>
    </row>
    <row r="1290" spans="1:28">
      <c r="A1290" s="233">
        <v>41296</v>
      </c>
      <c r="B1290" s="1" t="s">
        <v>4806</v>
      </c>
      <c r="C1290" s="1" t="s">
        <v>4810</v>
      </c>
      <c r="D1290" s="1" t="s">
        <v>1820</v>
      </c>
      <c r="E1290" s="1" t="s">
        <v>4889</v>
      </c>
      <c r="F1290" s="1">
        <v>17</v>
      </c>
      <c r="G1290" s="1" t="s">
        <v>4799</v>
      </c>
      <c r="H1290" s="234">
        <v>125</v>
      </c>
      <c r="I1290" s="235">
        <f t="shared" si="100"/>
        <v>2125</v>
      </c>
      <c r="K1290" s="250">
        <f>85*17</f>
        <v>1445</v>
      </c>
      <c r="L1290" s="237">
        <v>41304</v>
      </c>
      <c r="M1290" s="1" t="s">
        <v>4896</v>
      </c>
      <c r="N1290" s="235">
        <f t="shared" si="99"/>
        <v>2125</v>
      </c>
      <c r="O1290" s="235">
        <f t="shared" si="98"/>
        <v>0</v>
      </c>
      <c r="P1290" s="238" t="s">
        <v>4800</v>
      </c>
      <c r="Q1290" s="1" t="s">
        <v>4801</v>
      </c>
      <c r="R1290" s="239" t="s">
        <v>4802</v>
      </c>
      <c r="S1290" s="238" t="s">
        <v>4802</v>
      </c>
      <c r="T1290" s="238" t="s">
        <v>4803</v>
      </c>
      <c r="U1290" s="238" t="s">
        <v>4803</v>
      </c>
      <c r="V1290" s="238" t="s">
        <v>4804</v>
      </c>
      <c r="AB1290" s="5" t="s">
        <v>4805</v>
      </c>
    </row>
    <row r="1291" spans="1:28">
      <c r="A1291" s="233">
        <v>41296</v>
      </c>
      <c r="B1291" s="1" t="s">
        <v>4806</v>
      </c>
      <c r="C1291" s="383" t="s">
        <v>1850</v>
      </c>
      <c r="D1291" s="1" t="s">
        <v>4891</v>
      </c>
      <c r="E1291" s="1" t="s">
        <v>1851</v>
      </c>
      <c r="F1291" s="1">
        <v>2</v>
      </c>
      <c r="G1291" s="1" t="s">
        <v>4811</v>
      </c>
      <c r="H1291" s="234">
        <v>35</v>
      </c>
      <c r="I1291" s="235">
        <f t="shared" si="100"/>
        <v>70</v>
      </c>
      <c r="K1291" s="250">
        <f>27*2</f>
        <v>54</v>
      </c>
      <c r="L1291" s="237">
        <v>41304</v>
      </c>
      <c r="M1291" s="1" t="s">
        <v>4896</v>
      </c>
      <c r="N1291" s="235">
        <f t="shared" si="99"/>
        <v>70</v>
      </c>
      <c r="O1291" s="235">
        <f t="shared" si="98"/>
        <v>0</v>
      </c>
      <c r="P1291" s="238" t="s">
        <v>4812</v>
      </c>
      <c r="Q1291" s="1" t="s">
        <v>4813</v>
      </c>
      <c r="R1291" s="239" t="s">
        <v>4814</v>
      </c>
      <c r="S1291" s="238" t="s">
        <v>4814</v>
      </c>
      <c r="T1291" s="238" t="s">
        <v>4815</v>
      </c>
      <c r="U1291" s="238" t="s">
        <v>4815</v>
      </c>
      <c r="V1291" s="238" t="s">
        <v>4816</v>
      </c>
      <c r="AB1291" s="5" t="s">
        <v>4817</v>
      </c>
    </row>
    <row r="1292" spans="1:28">
      <c r="A1292" s="233">
        <v>41296</v>
      </c>
      <c r="B1292" s="1" t="s">
        <v>4818</v>
      </c>
      <c r="C1292" s="383" t="s">
        <v>1850</v>
      </c>
      <c r="D1292" s="1" t="s">
        <v>4891</v>
      </c>
      <c r="E1292" s="1" t="s">
        <v>1853</v>
      </c>
      <c r="F1292" s="1">
        <v>7</v>
      </c>
      <c r="G1292" s="1" t="s">
        <v>4811</v>
      </c>
      <c r="H1292" s="234">
        <v>45</v>
      </c>
      <c r="I1292" s="235">
        <f t="shared" si="100"/>
        <v>315</v>
      </c>
      <c r="K1292" s="250">
        <f>36*7</f>
        <v>252</v>
      </c>
      <c r="L1292" s="237">
        <v>41304</v>
      </c>
      <c r="M1292" s="1" t="s">
        <v>4896</v>
      </c>
      <c r="N1292" s="235">
        <f t="shared" si="99"/>
        <v>315</v>
      </c>
      <c r="O1292" s="235">
        <f t="shared" si="98"/>
        <v>0</v>
      </c>
      <c r="P1292" s="238" t="s">
        <v>4812</v>
      </c>
      <c r="Q1292" s="1" t="s">
        <v>4813</v>
      </c>
      <c r="R1292" s="239" t="s">
        <v>4814</v>
      </c>
      <c r="S1292" s="238" t="s">
        <v>4814</v>
      </c>
      <c r="T1292" s="238" t="s">
        <v>4815</v>
      </c>
      <c r="U1292" s="238" t="s">
        <v>4815</v>
      </c>
      <c r="V1292" s="238" t="s">
        <v>4816</v>
      </c>
      <c r="AB1292" s="5" t="s">
        <v>4817</v>
      </c>
    </row>
    <row r="1293" spans="1:28">
      <c r="A1293" s="233">
        <v>41298</v>
      </c>
      <c r="B1293" s="1" t="s">
        <v>4827</v>
      </c>
      <c r="C1293" s="1" t="s">
        <v>4828</v>
      </c>
      <c r="D1293" s="1" t="s">
        <v>1219</v>
      </c>
      <c r="E1293" s="1" t="s">
        <v>2045</v>
      </c>
      <c r="F1293" s="1">
        <v>250</v>
      </c>
      <c r="G1293" s="1" t="s">
        <v>4826</v>
      </c>
      <c r="H1293" s="234">
        <v>4.8</v>
      </c>
      <c r="I1293" s="235">
        <f t="shared" ref="I1293:I1298" si="101">F1293*H1293</f>
        <v>1200</v>
      </c>
      <c r="K1293" s="250">
        <f>3.6*250</f>
        <v>900</v>
      </c>
      <c r="L1293" s="237">
        <v>41410</v>
      </c>
      <c r="M1293" s="1" t="s">
        <v>166</v>
      </c>
      <c r="N1293" s="235">
        <f>I1293</f>
        <v>1200</v>
      </c>
      <c r="O1293" s="235">
        <f t="shared" si="98"/>
        <v>0</v>
      </c>
      <c r="P1293" s="238" t="s">
        <v>4829</v>
      </c>
      <c r="Q1293" s="1" t="s">
        <v>4813</v>
      </c>
      <c r="R1293" s="239" t="s">
        <v>167</v>
      </c>
      <c r="S1293" s="238" t="s">
        <v>167</v>
      </c>
      <c r="T1293" s="238" t="s">
        <v>4830</v>
      </c>
      <c r="U1293" s="238" t="s">
        <v>4815</v>
      </c>
      <c r="V1293" s="238" t="s">
        <v>4831</v>
      </c>
      <c r="W1293" s="236">
        <v>14690</v>
      </c>
      <c r="X1293" s="233">
        <v>41298</v>
      </c>
      <c r="Y1293" s="238" t="s">
        <v>4832</v>
      </c>
      <c r="AB1293" s="5" t="s">
        <v>4817</v>
      </c>
    </row>
    <row r="1294" spans="1:28">
      <c r="A1294" s="233">
        <v>41298</v>
      </c>
      <c r="B1294" s="1" t="s">
        <v>4827</v>
      </c>
      <c r="C1294" s="5" t="s">
        <v>4828</v>
      </c>
      <c r="D1294" s="1" t="s">
        <v>681</v>
      </c>
      <c r="E1294" s="1" t="s">
        <v>2046</v>
      </c>
      <c r="F1294" s="1">
        <v>500</v>
      </c>
      <c r="G1294" s="1" t="s">
        <v>239</v>
      </c>
      <c r="H1294" s="234">
        <v>4.0999999999999996</v>
      </c>
      <c r="I1294" s="235">
        <f t="shared" si="101"/>
        <v>2050</v>
      </c>
      <c r="K1294" s="250">
        <f>3.214*500</f>
        <v>1607</v>
      </c>
      <c r="L1294" s="237">
        <v>41410</v>
      </c>
      <c r="M1294" s="1" t="s">
        <v>166</v>
      </c>
      <c r="N1294" s="235">
        <f>I1294</f>
        <v>2050</v>
      </c>
      <c r="O1294" s="235">
        <f t="shared" si="98"/>
        <v>0</v>
      </c>
      <c r="P1294" s="238" t="s">
        <v>4829</v>
      </c>
      <c r="Q1294" s="1" t="s">
        <v>4813</v>
      </c>
      <c r="R1294" s="239" t="s">
        <v>167</v>
      </c>
      <c r="S1294" s="238" t="s">
        <v>167</v>
      </c>
      <c r="T1294" s="238" t="s">
        <v>4830</v>
      </c>
      <c r="U1294" s="238" t="s">
        <v>4815</v>
      </c>
      <c r="V1294" s="238" t="s">
        <v>4831</v>
      </c>
      <c r="W1294" s="236">
        <v>14690</v>
      </c>
      <c r="X1294" s="233">
        <v>41298</v>
      </c>
      <c r="Y1294" s="238" t="s">
        <v>4832</v>
      </c>
      <c r="AB1294" s="5" t="s">
        <v>4817</v>
      </c>
    </row>
    <row r="1295" spans="1:28">
      <c r="A1295" s="233">
        <v>41298</v>
      </c>
      <c r="B1295" s="1" t="s">
        <v>4827</v>
      </c>
      <c r="C1295" s="5" t="s">
        <v>4828</v>
      </c>
      <c r="D1295" s="1" t="s">
        <v>1210</v>
      </c>
      <c r="E1295" s="1">
        <v>3200</v>
      </c>
      <c r="F1295" s="1">
        <v>200</v>
      </c>
      <c r="G1295" s="1" t="s">
        <v>4826</v>
      </c>
      <c r="H1295" s="234">
        <v>30.5</v>
      </c>
      <c r="I1295" s="235">
        <f t="shared" si="101"/>
        <v>6100</v>
      </c>
      <c r="K1295" s="250">
        <f>20.89*200</f>
        <v>4178</v>
      </c>
      <c r="M1295" s="1" t="s">
        <v>166</v>
      </c>
      <c r="N1295" s="235">
        <v>1950</v>
      </c>
      <c r="O1295" s="235">
        <f t="shared" si="98"/>
        <v>4150</v>
      </c>
      <c r="P1295" s="238" t="s">
        <v>4829</v>
      </c>
      <c r="Q1295" s="1" t="s">
        <v>4813</v>
      </c>
      <c r="R1295" s="239" t="s">
        <v>167</v>
      </c>
      <c r="S1295" s="238" t="s">
        <v>167</v>
      </c>
      <c r="T1295" s="238" t="s">
        <v>4830</v>
      </c>
      <c r="U1295" s="238" t="s">
        <v>4815</v>
      </c>
      <c r="V1295" s="238" t="s">
        <v>4831</v>
      </c>
      <c r="W1295" s="236">
        <v>14690</v>
      </c>
      <c r="X1295" s="233">
        <v>41298</v>
      </c>
      <c r="Y1295" s="238" t="s">
        <v>4832</v>
      </c>
      <c r="AB1295" s="5" t="s">
        <v>4817</v>
      </c>
    </row>
    <row r="1296" spans="1:28">
      <c r="A1296" s="233">
        <v>41298</v>
      </c>
      <c r="B1296" s="1" t="s">
        <v>4827</v>
      </c>
      <c r="C1296" s="5" t="s">
        <v>4828</v>
      </c>
      <c r="D1296" s="5" t="s">
        <v>346</v>
      </c>
      <c r="E1296" s="1">
        <v>3700</v>
      </c>
      <c r="F1296" s="1">
        <v>200</v>
      </c>
      <c r="G1296" s="1" t="s">
        <v>4826</v>
      </c>
      <c r="H1296" s="234">
        <v>4.7</v>
      </c>
      <c r="I1296" s="235">
        <f t="shared" si="101"/>
        <v>940</v>
      </c>
      <c r="K1296" s="250">
        <f>2.865*200</f>
        <v>573</v>
      </c>
      <c r="N1296" s="235">
        <v>0</v>
      </c>
      <c r="O1296" s="235">
        <f t="shared" si="98"/>
        <v>940</v>
      </c>
      <c r="P1296" s="238" t="s">
        <v>4829</v>
      </c>
      <c r="Q1296" s="1" t="s">
        <v>4813</v>
      </c>
      <c r="R1296" s="239" t="s">
        <v>167</v>
      </c>
      <c r="S1296" s="238" t="s">
        <v>167</v>
      </c>
      <c r="T1296" s="238" t="s">
        <v>4830</v>
      </c>
      <c r="U1296" s="238" t="s">
        <v>4815</v>
      </c>
      <c r="V1296" s="238" t="s">
        <v>4831</v>
      </c>
      <c r="W1296" s="236">
        <v>14690</v>
      </c>
      <c r="X1296" s="233">
        <v>41298</v>
      </c>
      <c r="Y1296" s="238" t="s">
        <v>4832</v>
      </c>
      <c r="AB1296" s="5" t="s">
        <v>4817</v>
      </c>
    </row>
    <row r="1297" spans="1:28">
      <c r="A1297" s="233">
        <v>41298</v>
      </c>
      <c r="B1297" s="1" t="s">
        <v>4827</v>
      </c>
      <c r="C1297" s="5" t="s">
        <v>4828</v>
      </c>
      <c r="D1297" s="5" t="s">
        <v>4833</v>
      </c>
      <c r="E1297" s="1" t="s">
        <v>2047</v>
      </c>
      <c r="F1297" s="1">
        <v>2200</v>
      </c>
      <c r="G1297" s="1" t="s">
        <v>4834</v>
      </c>
      <c r="H1297" s="234">
        <v>2</v>
      </c>
      <c r="I1297" s="235">
        <f t="shared" si="101"/>
        <v>4400</v>
      </c>
      <c r="K1297" s="250">
        <f>1.54*2200</f>
        <v>3388</v>
      </c>
      <c r="N1297" s="235">
        <v>0</v>
      </c>
      <c r="O1297" s="235">
        <f t="shared" si="98"/>
        <v>4400</v>
      </c>
      <c r="P1297" s="238" t="s">
        <v>4829</v>
      </c>
      <c r="Q1297" s="1" t="s">
        <v>4813</v>
      </c>
      <c r="R1297" s="239" t="s">
        <v>167</v>
      </c>
      <c r="S1297" s="238" t="s">
        <v>167</v>
      </c>
      <c r="T1297" s="238" t="s">
        <v>4830</v>
      </c>
      <c r="U1297" s="238" t="s">
        <v>4815</v>
      </c>
      <c r="V1297" s="238" t="s">
        <v>4831</v>
      </c>
      <c r="W1297" s="236">
        <v>14690</v>
      </c>
      <c r="X1297" s="233">
        <v>41298</v>
      </c>
      <c r="Y1297" s="238" t="s">
        <v>4832</v>
      </c>
      <c r="AB1297" s="5" t="s">
        <v>4817</v>
      </c>
    </row>
    <row r="1298" spans="1:28">
      <c r="A1298" s="233">
        <v>41299</v>
      </c>
      <c r="B1298" s="1" t="s">
        <v>497</v>
      </c>
      <c r="C1298" s="1" t="s">
        <v>4828</v>
      </c>
      <c r="D1298" s="5" t="s">
        <v>4835</v>
      </c>
      <c r="E1298" s="1" t="s">
        <v>2048</v>
      </c>
      <c r="F1298" s="1">
        <v>1</v>
      </c>
      <c r="G1298" s="1" t="s">
        <v>4836</v>
      </c>
      <c r="H1298" s="234">
        <v>160</v>
      </c>
      <c r="I1298" s="235">
        <f t="shared" si="101"/>
        <v>160</v>
      </c>
      <c r="K1298" s="250">
        <f>107.64*1</f>
        <v>107.64</v>
      </c>
      <c r="L1298" s="237">
        <v>41299</v>
      </c>
      <c r="M1298" s="1" t="s">
        <v>4837</v>
      </c>
      <c r="N1298" s="235">
        <f t="shared" si="99"/>
        <v>160</v>
      </c>
      <c r="O1298" s="235">
        <f t="shared" ref="O1298:O1338" si="102">I1298-N1298</f>
        <v>0</v>
      </c>
      <c r="P1298" s="238" t="s">
        <v>4838</v>
      </c>
      <c r="Q1298" s="1" t="s">
        <v>4839</v>
      </c>
      <c r="R1298" s="239" t="s">
        <v>4840</v>
      </c>
      <c r="S1298" s="238" t="s">
        <v>4841</v>
      </c>
      <c r="T1298" s="238" t="s">
        <v>4842</v>
      </c>
      <c r="U1298" s="238" t="s">
        <v>4843</v>
      </c>
      <c r="AB1298" s="1" t="s">
        <v>4817</v>
      </c>
    </row>
    <row r="1299" spans="1:28">
      <c r="A1299" s="233">
        <v>41299</v>
      </c>
      <c r="B1299" s="1" t="s">
        <v>4844</v>
      </c>
      <c r="C1299" s="5" t="s">
        <v>4828</v>
      </c>
      <c r="D1299" s="5" t="s">
        <v>4833</v>
      </c>
      <c r="E1299" s="1" t="s">
        <v>2049</v>
      </c>
      <c r="F1299" s="1">
        <v>50</v>
      </c>
      <c r="G1299" s="1" t="s">
        <v>4834</v>
      </c>
      <c r="H1299" s="234">
        <v>1.98</v>
      </c>
      <c r="I1299" s="235">
        <v>99</v>
      </c>
      <c r="K1299" s="250">
        <f>1.24*50</f>
        <v>62</v>
      </c>
      <c r="L1299" s="237">
        <v>41299</v>
      </c>
      <c r="M1299" s="1" t="s">
        <v>4837</v>
      </c>
      <c r="N1299" s="235">
        <f t="shared" si="99"/>
        <v>99</v>
      </c>
      <c r="O1299" s="235">
        <f t="shared" si="102"/>
        <v>0</v>
      </c>
      <c r="P1299" s="238" t="s">
        <v>4845</v>
      </c>
      <c r="Q1299" s="1" t="s">
        <v>4846</v>
      </c>
      <c r="R1299" s="239" t="s">
        <v>4847</v>
      </c>
      <c r="S1299" s="238" t="s">
        <v>4848</v>
      </c>
      <c r="T1299" s="238" t="s">
        <v>4849</v>
      </c>
      <c r="U1299" s="238" t="s">
        <v>4850</v>
      </c>
      <c r="AB1299" s="1" t="s">
        <v>4851</v>
      </c>
    </row>
    <row r="1300" spans="1:28">
      <c r="A1300" s="233">
        <v>41302</v>
      </c>
      <c r="B1300" s="5" t="s">
        <v>4819</v>
      </c>
      <c r="C1300" s="1" t="s">
        <v>4820</v>
      </c>
      <c r="D1300" s="95" t="s">
        <v>5008</v>
      </c>
      <c r="E1300" s="1" t="s">
        <v>2043</v>
      </c>
      <c r="F1300" s="1">
        <v>144</v>
      </c>
      <c r="G1300" s="1" t="s">
        <v>4821</v>
      </c>
      <c r="H1300" s="234">
        <v>16</v>
      </c>
      <c r="I1300" s="235">
        <f>H1300*F1300</f>
        <v>2304</v>
      </c>
      <c r="K1300" s="250">
        <f>9.9*144</f>
        <v>1425.6000000000001</v>
      </c>
      <c r="L1300" s="237">
        <v>41360</v>
      </c>
      <c r="M1300" s="1" t="s">
        <v>166</v>
      </c>
      <c r="N1300" s="235">
        <f t="shared" si="99"/>
        <v>2304</v>
      </c>
      <c r="O1300" s="235">
        <f t="shared" si="102"/>
        <v>0</v>
      </c>
      <c r="P1300" s="238" t="s">
        <v>4822</v>
      </c>
      <c r="Q1300" s="1" t="s">
        <v>4907</v>
      </c>
      <c r="R1300" s="247" t="s">
        <v>4823</v>
      </c>
      <c r="S1300" s="246" t="s">
        <v>4824</v>
      </c>
      <c r="T1300" s="238" t="s">
        <v>5513</v>
      </c>
      <c r="U1300" s="238" t="s">
        <v>4908</v>
      </c>
      <c r="V1300" s="238" t="s">
        <v>5505</v>
      </c>
      <c r="W1300" s="236">
        <v>2824</v>
      </c>
      <c r="X1300" s="233">
        <v>41346</v>
      </c>
      <c r="Y1300" s="238" t="s">
        <v>5550</v>
      </c>
      <c r="AB1300" s="5" t="s">
        <v>4817</v>
      </c>
    </row>
    <row r="1301" spans="1:28">
      <c r="A1301" s="233">
        <v>41302</v>
      </c>
      <c r="B1301" s="5" t="s">
        <v>4819</v>
      </c>
      <c r="C1301" s="1" t="s">
        <v>4825</v>
      </c>
      <c r="D1301" s="5" t="s">
        <v>1221</v>
      </c>
      <c r="E1301" s="1" t="s">
        <v>2044</v>
      </c>
      <c r="F1301" s="1">
        <v>10</v>
      </c>
      <c r="G1301" s="1" t="s">
        <v>4826</v>
      </c>
      <c r="H1301" s="234">
        <v>52</v>
      </c>
      <c r="I1301" s="235">
        <f>H1301*F1301</f>
        <v>520</v>
      </c>
      <c r="K1301" s="250">
        <f>40*10</f>
        <v>400</v>
      </c>
      <c r="L1301" s="237">
        <v>41360</v>
      </c>
      <c r="M1301" s="1" t="s">
        <v>166</v>
      </c>
      <c r="N1301" s="235">
        <f t="shared" si="99"/>
        <v>520</v>
      </c>
      <c r="O1301" s="235">
        <f t="shared" si="102"/>
        <v>0</v>
      </c>
      <c r="P1301" s="238" t="s">
        <v>4822</v>
      </c>
      <c r="Q1301" s="1" t="s">
        <v>4907</v>
      </c>
      <c r="R1301" s="247" t="s">
        <v>4823</v>
      </c>
      <c r="S1301" s="246" t="s">
        <v>4824</v>
      </c>
      <c r="T1301" s="238" t="s">
        <v>5513</v>
      </c>
      <c r="U1301" s="238" t="s">
        <v>4908</v>
      </c>
      <c r="V1301" s="238" t="s">
        <v>5505</v>
      </c>
      <c r="W1301" s="236">
        <v>2824</v>
      </c>
      <c r="X1301" s="233">
        <v>41346</v>
      </c>
      <c r="Y1301" s="238" t="s">
        <v>5550</v>
      </c>
      <c r="AB1301" s="5" t="s">
        <v>4817</v>
      </c>
    </row>
    <row r="1302" spans="1:28">
      <c r="A1302" s="233">
        <v>41302</v>
      </c>
      <c r="B1302" s="1" t="s">
        <v>4852</v>
      </c>
      <c r="C1302" s="1" t="s">
        <v>4828</v>
      </c>
      <c r="D1302" s="5" t="s">
        <v>4833</v>
      </c>
      <c r="E1302" s="1" t="s">
        <v>2047</v>
      </c>
      <c r="F1302" s="1">
        <v>3000</v>
      </c>
      <c r="G1302" s="225" t="s">
        <v>4834</v>
      </c>
      <c r="H1302" s="234">
        <v>1.7</v>
      </c>
      <c r="I1302" s="235">
        <f>F1302*H1302</f>
        <v>5100</v>
      </c>
      <c r="K1302" s="250">
        <f>1.54*3000</f>
        <v>4620</v>
      </c>
      <c r="L1302" s="237">
        <v>41292</v>
      </c>
      <c r="M1302" s="1" t="s">
        <v>4853</v>
      </c>
      <c r="N1302" s="235">
        <f t="shared" si="99"/>
        <v>5100</v>
      </c>
      <c r="O1302" s="235">
        <f t="shared" si="102"/>
        <v>0</v>
      </c>
      <c r="P1302" s="238" t="s">
        <v>4854</v>
      </c>
      <c r="Q1302" s="1" t="s">
        <v>4855</v>
      </c>
      <c r="R1302" s="239" t="s">
        <v>4856</v>
      </c>
      <c r="S1302" s="238" t="s">
        <v>4857</v>
      </c>
      <c r="T1302" s="239" t="s">
        <v>4815</v>
      </c>
      <c r="U1302" s="239" t="s">
        <v>4815</v>
      </c>
      <c r="V1302" s="238" t="s">
        <v>4858</v>
      </c>
      <c r="W1302" s="236">
        <v>6756</v>
      </c>
      <c r="X1302" s="233">
        <v>41295</v>
      </c>
      <c r="Y1302" s="238" t="s">
        <v>4855</v>
      </c>
      <c r="AB1302" s="1" t="s">
        <v>4851</v>
      </c>
    </row>
    <row r="1303" spans="1:28">
      <c r="A1303" s="233">
        <v>41302</v>
      </c>
      <c r="B1303" s="1" t="s">
        <v>4852</v>
      </c>
      <c r="C1303" s="1" t="s">
        <v>4828</v>
      </c>
      <c r="D1303" s="1" t="s">
        <v>240</v>
      </c>
      <c r="E1303" s="1">
        <v>6200</v>
      </c>
      <c r="F1303" s="1">
        <v>30</v>
      </c>
      <c r="G1303" s="1" t="s">
        <v>4826</v>
      </c>
      <c r="H1303" s="234">
        <v>46</v>
      </c>
      <c r="I1303" s="235">
        <f t="shared" si="100"/>
        <v>1380</v>
      </c>
      <c r="J1303" s="409">
        <f>62.7*F1303</f>
        <v>1881</v>
      </c>
      <c r="K1303" s="250">
        <f>42.5*30</f>
        <v>1275</v>
      </c>
      <c r="L1303" s="237">
        <v>41297</v>
      </c>
      <c r="M1303" s="1" t="s">
        <v>4853</v>
      </c>
      <c r="N1303" s="235">
        <f t="shared" si="99"/>
        <v>1380</v>
      </c>
      <c r="O1303" s="235">
        <f t="shared" si="102"/>
        <v>0</v>
      </c>
      <c r="P1303" s="238" t="s">
        <v>4854</v>
      </c>
      <c r="Q1303" s="1" t="s">
        <v>4855</v>
      </c>
      <c r="R1303" s="239" t="s">
        <v>4856</v>
      </c>
      <c r="S1303" s="238" t="s">
        <v>4857</v>
      </c>
      <c r="T1303" s="239" t="s">
        <v>4815</v>
      </c>
      <c r="U1303" s="239" t="s">
        <v>4815</v>
      </c>
      <c r="V1303" s="238" t="s">
        <v>6986</v>
      </c>
      <c r="W1303" s="236">
        <v>39344.81</v>
      </c>
      <c r="X1303" s="233">
        <v>41416</v>
      </c>
      <c r="Y1303" s="238" t="s">
        <v>1562</v>
      </c>
      <c r="AB1303" s="1" t="s">
        <v>4851</v>
      </c>
    </row>
    <row r="1304" spans="1:28">
      <c r="A1304" s="233">
        <v>41302</v>
      </c>
      <c r="B1304" s="1" t="s">
        <v>4859</v>
      </c>
      <c r="C1304" s="1" t="s">
        <v>4828</v>
      </c>
      <c r="D1304" s="225" t="s">
        <v>593</v>
      </c>
      <c r="E1304" s="1">
        <v>3200</v>
      </c>
      <c r="F1304" s="1">
        <v>90</v>
      </c>
      <c r="G1304" s="1" t="s">
        <v>4826</v>
      </c>
      <c r="H1304" s="234">
        <v>26.81</v>
      </c>
      <c r="I1304" s="235">
        <f t="shared" ref="I1304:I1309" si="103">F1304*H1304</f>
        <v>2412.9</v>
      </c>
      <c r="K1304" s="250">
        <f>23.94*90</f>
        <v>2154.6</v>
      </c>
      <c r="L1304" s="237">
        <v>41305</v>
      </c>
      <c r="M1304" s="1" t="s">
        <v>166</v>
      </c>
      <c r="N1304" s="235">
        <f t="shared" si="99"/>
        <v>2412.9</v>
      </c>
      <c r="O1304" s="235">
        <f t="shared" si="102"/>
        <v>0</v>
      </c>
      <c r="P1304" s="238" t="s">
        <v>4860</v>
      </c>
      <c r="Q1304" s="5" t="s">
        <v>4855</v>
      </c>
      <c r="R1304" s="239" t="s">
        <v>4815</v>
      </c>
      <c r="S1304" s="238" t="s">
        <v>4815</v>
      </c>
      <c r="T1304" s="238" t="s">
        <v>4815</v>
      </c>
      <c r="U1304" s="238" t="s">
        <v>4815</v>
      </c>
      <c r="V1304" s="238" t="s">
        <v>4988</v>
      </c>
      <c r="W1304" s="236">
        <v>34207</v>
      </c>
      <c r="X1304" s="233">
        <v>41309</v>
      </c>
      <c r="Y1304" s="238" t="s">
        <v>5295</v>
      </c>
      <c r="AB1304" s="1" t="s">
        <v>4851</v>
      </c>
    </row>
    <row r="1305" spans="1:28">
      <c r="A1305" s="233">
        <v>41302</v>
      </c>
      <c r="B1305" s="1" t="s">
        <v>4859</v>
      </c>
      <c r="C1305" s="1" t="s">
        <v>4828</v>
      </c>
      <c r="D1305" s="5" t="s">
        <v>346</v>
      </c>
      <c r="E1305" s="1">
        <v>3700</v>
      </c>
      <c r="F1305" s="1">
        <v>90</v>
      </c>
      <c r="G1305" s="1" t="s">
        <v>4826</v>
      </c>
      <c r="H1305" s="234">
        <v>3.46</v>
      </c>
      <c r="I1305" s="235">
        <f t="shared" si="103"/>
        <v>311.39999999999998</v>
      </c>
      <c r="K1305" s="250">
        <f>3.09*90</f>
        <v>278.09999999999997</v>
      </c>
      <c r="L1305" s="237">
        <v>41305</v>
      </c>
      <c r="M1305" s="1" t="s">
        <v>166</v>
      </c>
      <c r="N1305" s="235">
        <f t="shared" si="99"/>
        <v>311.39999999999998</v>
      </c>
      <c r="O1305" s="235">
        <f t="shared" si="102"/>
        <v>0</v>
      </c>
      <c r="P1305" s="238" t="s">
        <v>4860</v>
      </c>
      <c r="Q1305" s="5" t="s">
        <v>4855</v>
      </c>
      <c r="R1305" s="239" t="s">
        <v>4815</v>
      </c>
      <c r="S1305" s="238" t="s">
        <v>4815</v>
      </c>
      <c r="T1305" s="238" t="s">
        <v>4815</v>
      </c>
      <c r="U1305" s="238" t="s">
        <v>4815</v>
      </c>
      <c r="V1305" s="238" t="s">
        <v>4988</v>
      </c>
      <c r="W1305" s="236">
        <v>34207</v>
      </c>
      <c r="X1305" s="233">
        <v>41309</v>
      </c>
      <c r="Y1305" s="238" t="s">
        <v>5295</v>
      </c>
      <c r="AB1305" s="1" t="s">
        <v>4851</v>
      </c>
    </row>
    <row r="1306" spans="1:28">
      <c r="A1306" s="233">
        <v>41302</v>
      </c>
      <c r="B1306" s="1" t="s">
        <v>4859</v>
      </c>
      <c r="C1306" s="1" t="s">
        <v>4828</v>
      </c>
      <c r="D1306" s="5" t="s">
        <v>4833</v>
      </c>
      <c r="E1306" s="1" t="s">
        <v>2047</v>
      </c>
      <c r="F1306" s="1">
        <v>90</v>
      </c>
      <c r="G1306" s="1" t="s">
        <v>4834</v>
      </c>
      <c r="H1306" s="234">
        <v>1.73</v>
      </c>
      <c r="I1306" s="235">
        <f t="shared" si="103"/>
        <v>155.69999999999999</v>
      </c>
      <c r="K1306" s="250">
        <f>1.54*90</f>
        <v>138.6</v>
      </c>
      <c r="L1306" s="237">
        <v>41305</v>
      </c>
      <c r="M1306" s="1" t="s">
        <v>166</v>
      </c>
      <c r="N1306" s="235">
        <f t="shared" si="99"/>
        <v>155.69999999999999</v>
      </c>
      <c r="O1306" s="235">
        <f t="shared" si="102"/>
        <v>0</v>
      </c>
      <c r="P1306" s="238" t="s">
        <v>4860</v>
      </c>
      <c r="Q1306" s="5" t="s">
        <v>4855</v>
      </c>
      <c r="R1306" s="239" t="s">
        <v>4815</v>
      </c>
      <c r="S1306" s="238" t="s">
        <v>4815</v>
      </c>
      <c r="T1306" s="238" t="s">
        <v>4815</v>
      </c>
      <c r="U1306" s="238" t="s">
        <v>4815</v>
      </c>
      <c r="V1306" s="238" t="s">
        <v>4988</v>
      </c>
      <c r="W1306" s="236">
        <v>34207</v>
      </c>
      <c r="X1306" s="233">
        <v>41309</v>
      </c>
      <c r="Y1306" s="238" t="s">
        <v>5295</v>
      </c>
      <c r="AB1306" s="1" t="s">
        <v>4851</v>
      </c>
    </row>
    <row r="1307" spans="1:28">
      <c r="A1307" s="233">
        <v>41303</v>
      </c>
      <c r="B1307" s="1" t="s">
        <v>4861</v>
      </c>
      <c r="C1307" s="1" t="s">
        <v>4828</v>
      </c>
      <c r="D1307" s="1" t="s">
        <v>4862</v>
      </c>
      <c r="E1307" s="1" t="s">
        <v>2050</v>
      </c>
      <c r="F1307" s="1">
        <v>12</v>
      </c>
      <c r="G1307" s="1" t="s">
        <v>4834</v>
      </c>
      <c r="H1307" s="234">
        <v>9.42</v>
      </c>
      <c r="I1307" s="235">
        <f t="shared" si="103"/>
        <v>113.03999999999999</v>
      </c>
      <c r="K1307" s="250">
        <f>9.1*12</f>
        <v>109.19999999999999</v>
      </c>
      <c r="L1307" s="237">
        <v>41361</v>
      </c>
      <c r="M1307" s="1" t="s">
        <v>166</v>
      </c>
      <c r="N1307" s="235">
        <f t="shared" si="99"/>
        <v>113.03999999999999</v>
      </c>
      <c r="O1307" s="235">
        <f t="shared" si="102"/>
        <v>0</v>
      </c>
      <c r="P1307" s="238" t="s">
        <v>4863</v>
      </c>
      <c r="Q1307" s="1" t="s">
        <v>4813</v>
      </c>
      <c r="R1307" s="239" t="s">
        <v>4864</v>
      </c>
      <c r="S1307" s="238">
        <v>13368068212</v>
      </c>
      <c r="T1307" s="238" t="s">
        <v>4815</v>
      </c>
      <c r="U1307" s="238" t="s">
        <v>4815</v>
      </c>
      <c r="V1307" s="238" t="s">
        <v>5263</v>
      </c>
      <c r="W1307" s="236">
        <v>4068.78</v>
      </c>
      <c r="X1307" s="233">
        <v>41332</v>
      </c>
      <c r="Y1307" s="238" t="s">
        <v>3866</v>
      </c>
      <c r="AB1307" s="1" t="s">
        <v>4851</v>
      </c>
    </row>
    <row r="1308" spans="1:28">
      <c r="A1308" s="233">
        <v>41303</v>
      </c>
      <c r="B1308" s="1" t="s">
        <v>4861</v>
      </c>
      <c r="C1308" s="1" t="s">
        <v>4828</v>
      </c>
      <c r="D1308" s="5" t="s">
        <v>1826</v>
      </c>
      <c r="E1308" s="1">
        <v>502</v>
      </c>
      <c r="F1308" s="1">
        <v>24</v>
      </c>
      <c r="G1308" s="1" t="s">
        <v>4865</v>
      </c>
      <c r="H1308" s="234">
        <v>14</v>
      </c>
      <c r="I1308" s="235">
        <f t="shared" si="103"/>
        <v>336</v>
      </c>
      <c r="K1308" s="250">
        <f>12.5*24</f>
        <v>300</v>
      </c>
      <c r="L1308" s="237">
        <v>41361</v>
      </c>
      <c r="M1308" s="1" t="s">
        <v>166</v>
      </c>
      <c r="N1308" s="235">
        <f t="shared" si="99"/>
        <v>336</v>
      </c>
      <c r="O1308" s="235">
        <f t="shared" si="102"/>
        <v>0</v>
      </c>
      <c r="P1308" s="238" t="s">
        <v>4863</v>
      </c>
      <c r="Q1308" s="1" t="s">
        <v>4813</v>
      </c>
      <c r="R1308" s="239" t="s">
        <v>4864</v>
      </c>
      <c r="S1308" s="238">
        <v>13368068212</v>
      </c>
      <c r="T1308" s="238" t="s">
        <v>4815</v>
      </c>
      <c r="U1308" s="238" t="s">
        <v>4815</v>
      </c>
      <c r="V1308" s="238" t="s">
        <v>5263</v>
      </c>
      <c r="W1308" s="236">
        <v>4068.78</v>
      </c>
      <c r="X1308" s="233">
        <v>41332</v>
      </c>
      <c r="Y1308" s="238" t="s">
        <v>3866</v>
      </c>
      <c r="AB1308" s="1" t="s">
        <v>4851</v>
      </c>
    </row>
    <row r="1309" spans="1:28">
      <c r="A1309" s="233">
        <v>41303</v>
      </c>
      <c r="B1309" s="1" t="s">
        <v>4861</v>
      </c>
      <c r="C1309" s="1" t="s">
        <v>4828</v>
      </c>
      <c r="D1309" s="1" t="s">
        <v>240</v>
      </c>
      <c r="E1309" s="1" t="s">
        <v>2051</v>
      </c>
      <c r="F1309" s="1">
        <v>2</v>
      </c>
      <c r="G1309" s="1" t="s">
        <v>4865</v>
      </c>
      <c r="H1309" s="234">
        <v>45</v>
      </c>
      <c r="I1309" s="235">
        <f t="shared" si="103"/>
        <v>90</v>
      </c>
      <c r="K1309" s="250">
        <f>42.5*2</f>
        <v>85</v>
      </c>
      <c r="L1309" s="237">
        <v>41361</v>
      </c>
      <c r="M1309" s="1" t="s">
        <v>166</v>
      </c>
      <c r="N1309" s="235">
        <f t="shared" si="99"/>
        <v>90</v>
      </c>
      <c r="O1309" s="235">
        <f t="shared" si="102"/>
        <v>0</v>
      </c>
      <c r="P1309" s="238" t="s">
        <v>4863</v>
      </c>
      <c r="Q1309" s="1" t="s">
        <v>4813</v>
      </c>
      <c r="R1309" s="239" t="s">
        <v>4864</v>
      </c>
      <c r="S1309" s="238">
        <v>13368068212</v>
      </c>
      <c r="T1309" s="238" t="s">
        <v>4815</v>
      </c>
      <c r="U1309" s="238" t="s">
        <v>4815</v>
      </c>
      <c r="V1309" s="238" t="s">
        <v>5263</v>
      </c>
      <c r="W1309" s="236">
        <v>4068.78</v>
      </c>
      <c r="X1309" s="233">
        <v>41332</v>
      </c>
      <c r="Y1309" s="238" t="s">
        <v>3866</v>
      </c>
      <c r="AB1309" s="1" t="s">
        <v>4851</v>
      </c>
    </row>
    <row r="1310" spans="1:28">
      <c r="A1310" s="233">
        <v>41303</v>
      </c>
      <c r="B1310" s="1" t="s">
        <v>4866</v>
      </c>
      <c r="C1310" s="1" t="s">
        <v>4820</v>
      </c>
      <c r="D1310" s="1" t="s">
        <v>4867</v>
      </c>
      <c r="E1310" s="1" t="s">
        <v>2052</v>
      </c>
      <c r="F1310" s="1">
        <v>60</v>
      </c>
      <c r="G1310" s="1" t="s">
        <v>4868</v>
      </c>
      <c r="H1310" s="234">
        <v>3.6</v>
      </c>
      <c r="I1310" s="235">
        <f t="shared" ref="I1310:I1320" si="104">F1310*H1310</f>
        <v>216</v>
      </c>
      <c r="K1310" s="282">
        <v>0</v>
      </c>
      <c r="L1310" s="237">
        <v>41303</v>
      </c>
      <c r="M1310" s="1" t="s">
        <v>4887</v>
      </c>
      <c r="N1310" s="235">
        <f t="shared" si="99"/>
        <v>216</v>
      </c>
      <c r="O1310" s="235">
        <f t="shared" si="102"/>
        <v>0</v>
      </c>
      <c r="P1310" s="238" t="s">
        <v>4869</v>
      </c>
      <c r="Q1310" s="5" t="s">
        <v>4855</v>
      </c>
      <c r="R1310" s="239" t="s">
        <v>1863</v>
      </c>
      <c r="S1310" s="238" t="s">
        <v>1863</v>
      </c>
      <c r="T1310" s="238" t="s">
        <v>1863</v>
      </c>
      <c r="U1310" s="238" t="s">
        <v>1863</v>
      </c>
      <c r="V1310" s="238" t="s">
        <v>5266</v>
      </c>
      <c r="W1310" s="236">
        <v>10793</v>
      </c>
      <c r="X1310" s="233">
        <v>41332</v>
      </c>
      <c r="Y1310" s="238" t="s">
        <v>5250</v>
      </c>
      <c r="Z1310" s="255" t="s">
        <v>6033</v>
      </c>
      <c r="AB1310" s="1" t="s">
        <v>2826</v>
      </c>
    </row>
    <row r="1311" spans="1:28">
      <c r="A1311" s="233">
        <v>41303</v>
      </c>
      <c r="B1311" s="1" t="s">
        <v>4866</v>
      </c>
      <c r="C1311" s="1" t="s">
        <v>4820</v>
      </c>
      <c r="D1311" s="1" t="s">
        <v>4870</v>
      </c>
      <c r="E1311" s="1" t="s">
        <v>2052</v>
      </c>
      <c r="F1311" s="1">
        <v>140</v>
      </c>
      <c r="G1311" s="1" t="s">
        <v>4868</v>
      </c>
      <c r="H1311" s="234">
        <v>3.6</v>
      </c>
      <c r="I1311" s="235">
        <f t="shared" si="104"/>
        <v>504</v>
      </c>
      <c r="K1311" s="282">
        <v>0</v>
      </c>
      <c r="L1311" s="237">
        <v>41303</v>
      </c>
      <c r="M1311" s="1" t="s">
        <v>4887</v>
      </c>
      <c r="N1311" s="235">
        <f t="shared" si="99"/>
        <v>504</v>
      </c>
      <c r="O1311" s="235">
        <f t="shared" si="102"/>
        <v>0</v>
      </c>
      <c r="P1311" s="238" t="s">
        <v>4869</v>
      </c>
      <c r="Q1311" s="5" t="s">
        <v>4855</v>
      </c>
      <c r="R1311" s="239" t="s">
        <v>1863</v>
      </c>
      <c r="S1311" s="238" t="s">
        <v>1863</v>
      </c>
      <c r="T1311" s="238" t="s">
        <v>1863</v>
      </c>
      <c r="U1311" s="238" t="s">
        <v>1863</v>
      </c>
      <c r="V1311" s="238" t="s">
        <v>5266</v>
      </c>
      <c r="W1311" s="236">
        <v>10793</v>
      </c>
      <c r="X1311" s="233">
        <v>41332</v>
      </c>
      <c r="Y1311" s="238" t="s">
        <v>5250</v>
      </c>
      <c r="Z1311" s="255" t="s">
        <v>6033</v>
      </c>
      <c r="AB1311" s="1" t="s">
        <v>2826</v>
      </c>
    </row>
    <row r="1312" spans="1:28">
      <c r="A1312" s="233">
        <v>41303</v>
      </c>
      <c r="B1312" s="136" t="s">
        <v>4871</v>
      </c>
      <c r="C1312" s="1" t="s">
        <v>4828</v>
      </c>
      <c r="D1312" s="5" t="s">
        <v>4872</v>
      </c>
      <c r="E1312" s="1">
        <v>7502</v>
      </c>
      <c r="F1312" s="1">
        <v>15</v>
      </c>
      <c r="G1312" s="1" t="s">
        <v>4826</v>
      </c>
      <c r="H1312" s="234">
        <v>182</v>
      </c>
      <c r="I1312" s="235">
        <f t="shared" si="104"/>
        <v>2730</v>
      </c>
      <c r="K1312" s="250">
        <f>122.8*15</f>
        <v>1842</v>
      </c>
      <c r="L1312" s="237">
        <v>41327</v>
      </c>
      <c r="M1312" s="1" t="s">
        <v>166</v>
      </c>
      <c r="N1312" s="235">
        <f t="shared" si="99"/>
        <v>2730</v>
      </c>
      <c r="O1312" s="235">
        <f t="shared" si="102"/>
        <v>0</v>
      </c>
      <c r="P1312" s="238" t="s">
        <v>4880</v>
      </c>
      <c r="Q1312" s="5" t="s">
        <v>4881</v>
      </c>
      <c r="R1312" s="239" t="s">
        <v>4586</v>
      </c>
      <c r="S1312" s="238" t="s">
        <v>4587</v>
      </c>
      <c r="T1312" s="238" t="s">
        <v>4588</v>
      </c>
      <c r="U1312" s="238" t="s">
        <v>4882</v>
      </c>
      <c r="V1312" s="238" t="s">
        <v>4905</v>
      </c>
      <c r="W1312" s="236">
        <v>9687.5</v>
      </c>
      <c r="X1312" s="233">
        <v>41305</v>
      </c>
      <c r="Y1312" s="238" t="s">
        <v>4941</v>
      </c>
      <c r="AB1312" s="1" t="s">
        <v>4817</v>
      </c>
    </row>
    <row r="1313" spans="1:28">
      <c r="A1313" s="233">
        <v>41303</v>
      </c>
      <c r="B1313" s="136" t="s">
        <v>4871</v>
      </c>
      <c r="C1313" s="1" t="s">
        <v>4828</v>
      </c>
      <c r="D1313" s="5" t="s">
        <v>4873</v>
      </c>
      <c r="E1313" s="225" t="s">
        <v>2053</v>
      </c>
      <c r="F1313" s="1">
        <v>70</v>
      </c>
      <c r="G1313" s="1" t="s">
        <v>4826</v>
      </c>
      <c r="H1313" s="234">
        <v>40.6</v>
      </c>
      <c r="I1313" s="235">
        <f t="shared" si="104"/>
        <v>2842</v>
      </c>
      <c r="K1313" s="250">
        <f>24.2*70</f>
        <v>1694</v>
      </c>
      <c r="L1313" s="237">
        <v>41327</v>
      </c>
      <c r="M1313" s="1" t="s">
        <v>166</v>
      </c>
      <c r="N1313" s="235">
        <f t="shared" si="99"/>
        <v>2842</v>
      </c>
      <c r="O1313" s="235">
        <f t="shared" si="102"/>
        <v>0</v>
      </c>
      <c r="P1313" s="238" t="s">
        <v>4880</v>
      </c>
      <c r="Q1313" s="5" t="s">
        <v>4881</v>
      </c>
      <c r="R1313" s="239" t="s">
        <v>4586</v>
      </c>
      <c r="S1313" s="238" t="s">
        <v>4587</v>
      </c>
      <c r="T1313" s="238" t="s">
        <v>4588</v>
      </c>
      <c r="U1313" s="238" t="s">
        <v>4882</v>
      </c>
      <c r="V1313" s="238" t="s">
        <v>4905</v>
      </c>
      <c r="W1313" s="236">
        <v>9687.5</v>
      </c>
      <c r="X1313" s="233">
        <v>41305</v>
      </c>
      <c r="Y1313" s="238" t="s">
        <v>4941</v>
      </c>
      <c r="AB1313" s="1" t="s">
        <v>4817</v>
      </c>
    </row>
    <row r="1314" spans="1:28">
      <c r="A1314" s="233">
        <v>41303</v>
      </c>
      <c r="B1314" s="136" t="s">
        <v>4871</v>
      </c>
      <c r="C1314" s="1" t="s">
        <v>4828</v>
      </c>
      <c r="D1314" s="5" t="s">
        <v>1221</v>
      </c>
      <c r="E1314" s="1" t="s">
        <v>2044</v>
      </c>
      <c r="F1314" s="1">
        <v>20</v>
      </c>
      <c r="G1314" s="1" t="s">
        <v>4826</v>
      </c>
      <c r="H1314" s="234">
        <v>45</v>
      </c>
      <c r="I1314" s="235">
        <f t="shared" si="104"/>
        <v>900</v>
      </c>
      <c r="K1314" s="250">
        <f>40*20</f>
        <v>800</v>
      </c>
      <c r="L1314" s="237">
        <v>41327</v>
      </c>
      <c r="M1314" s="1" t="s">
        <v>166</v>
      </c>
      <c r="N1314" s="235">
        <f t="shared" si="99"/>
        <v>900</v>
      </c>
      <c r="O1314" s="235">
        <f t="shared" si="102"/>
        <v>0</v>
      </c>
      <c r="P1314" s="238" t="s">
        <v>4880</v>
      </c>
      <c r="Q1314" s="5" t="s">
        <v>4961</v>
      </c>
      <c r="R1314" s="239" t="s">
        <v>4586</v>
      </c>
      <c r="S1314" s="238" t="s">
        <v>4587</v>
      </c>
      <c r="T1314" s="238" t="s">
        <v>4588</v>
      </c>
      <c r="U1314" s="238" t="s">
        <v>4962</v>
      </c>
      <c r="V1314" s="238" t="s">
        <v>4905</v>
      </c>
      <c r="W1314" s="236">
        <v>9687.5</v>
      </c>
      <c r="X1314" s="233">
        <v>41305</v>
      </c>
      <c r="Y1314" s="238" t="s">
        <v>4941</v>
      </c>
      <c r="AB1314" s="1" t="s">
        <v>4817</v>
      </c>
    </row>
    <row r="1315" spans="1:28">
      <c r="A1315" s="233">
        <v>41303</v>
      </c>
      <c r="B1315" s="136" t="s">
        <v>4871</v>
      </c>
      <c r="C1315" s="1" t="s">
        <v>4828</v>
      </c>
      <c r="D1315" s="5" t="s">
        <v>4874</v>
      </c>
      <c r="E1315" s="1" t="s">
        <v>2054</v>
      </c>
      <c r="F1315" s="1">
        <v>100</v>
      </c>
      <c r="G1315" s="1" t="s">
        <v>4834</v>
      </c>
      <c r="H1315" s="234">
        <v>6.61</v>
      </c>
      <c r="I1315" s="235">
        <f t="shared" si="104"/>
        <v>661</v>
      </c>
      <c r="K1315" s="250">
        <f>4.98*100</f>
        <v>498.00000000000006</v>
      </c>
      <c r="L1315" s="237">
        <v>41327</v>
      </c>
      <c r="M1315" s="1" t="s">
        <v>166</v>
      </c>
      <c r="N1315" s="235">
        <f t="shared" si="99"/>
        <v>661</v>
      </c>
      <c r="O1315" s="235">
        <f t="shared" si="102"/>
        <v>0</v>
      </c>
      <c r="P1315" s="238" t="s">
        <v>4880</v>
      </c>
      <c r="Q1315" s="5" t="s">
        <v>4881</v>
      </c>
      <c r="R1315" s="239" t="s">
        <v>4586</v>
      </c>
      <c r="S1315" s="238" t="s">
        <v>4587</v>
      </c>
      <c r="T1315" s="238" t="s">
        <v>4588</v>
      </c>
      <c r="U1315" s="238" t="s">
        <v>4882</v>
      </c>
      <c r="V1315" s="238" t="s">
        <v>4905</v>
      </c>
      <c r="W1315" s="236">
        <v>9687.5</v>
      </c>
      <c r="X1315" s="233">
        <v>41305</v>
      </c>
      <c r="Y1315" s="238" t="s">
        <v>4941</v>
      </c>
      <c r="AB1315" s="1" t="s">
        <v>4817</v>
      </c>
    </row>
    <row r="1316" spans="1:28">
      <c r="A1316" s="233">
        <v>41303</v>
      </c>
      <c r="B1316" s="136" t="s">
        <v>4871</v>
      </c>
      <c r="C1316" s="1" t="s">
        <v>4828</v>
      </c>
      <c r="D1316" s="5" t="s">
        <v>4875</v>
      </c>
      <c r="E1316" s="1" t="s">
        <v>2055</v>
      </c>
      <c r="F1316" s="1">
        <v>50</v>
      </c>
      <c r="G1316" s="1" t="s">
        <v>4834</v>
      </c>
      <c r="H1316" s="234">
        <v>1.91</v>
      </c>
      <c r="I1316" s="235">
        <f t="shared" si="104"/>
        <v>95.5</v>
      </c>
      <c r="K1316" s="250">
        <f>1.17*50</f>
        <v>58.5</v>
      </c>
      <c r="L1316" s="237">
        <v>41327</v>
      </c>
      <c r="M1316" s="1" t="s">
        <v>166</v>
      </c>
      <c r="N1316" s="235">
        <f t="shared" si="99"/>
        <v>95.5</v>
      </c>
      <c r="O1316" s="235">
        <f t="shared" si="102"/>
        <v>0</v>
      </c>
      <c r="P1316" s="238" t="s">
        <v>4880</v>
      </c>
      <c r="Q1316" s="5" t="s">
        <v>4881</v>
      </c>
      <c r="R1316" s="239" t="s">
        <v>4586</v>
      </c>
      <c r="S1316" s="238" t="s">
        <v>4587</v>
      </c>
      <c r="T1316" s="238" t="s">
        <v>4588</v>
      </c>
      <c r="U1316" s="238" t="s">
        <v>4882</v>
      </c>
      <c r="V1316" s="238" t="s">
        <v>4905</v>
      </c>
      <c r="W1316" s="236">
        <v>9687.5</v>
      </c>
      <c r="X1316" s="233">
        <v>41305</v>
      </c>
      <c r="Y1316" s="238" t="s">
        <v>4941</v>
      </c>
      <c r="AB1316" s="1" t="s">
        <v>4817</v>
      </c>
    </row>
    <row r="1317" spans="1:28">
      <c r="A1317" s="233">
        <v>41303</v>
      </c>
      <c r="B1317" s="136" t="s">
        <v>4871</v>
      </c>
      <c r="C1317" s="1" t="s">
        <v>4828</v>
      </c>
      <c r="D1317" s="5" t="s">
        <v>263</v>
      </c>
      <c r="E1317" s="1" t="s">
        <v>2118</v>
      </c>
      <c r="F1317" s="1">
        <v>50</v>
      </c>
      <c r="G1317" s="1" t="s">
        <v>2086</v>
      </c>
      <c r="H1317" s="234">
        <v>2.58</v>
      </c>
      <c r="I1317" s="235">
        <f t="shared" si="104"/>
        <v>129</v>
      </c>
      <c r="K1317" s="250">
        <f>1.58*50</f>
        <v>79</v>
      </c>
      <c r="L1317" s="237">
        <v>41327</v>
      </c>
      <c r="M1317" s="1" t="s">
        <v>166</v>
      </c>
      <c r="N1317" s="235">
        <f t="shared" si="99"/>
        <v>129</v>
      </c>
      <c r="O1317" s="235">
        <f t="shared" si="102"/>
        <v>0</v>
      </c>
      <c r="P1317" s="238" t="s">
        <v>4880</v>
      </c>
      <c r="Q1317" s="5" t="s">
        <v>4881</v>
      </c>
      <c r="R1317" s="239" t="s">
        <v>4586</v>
      </c>
      <c r="S1317" s="238" t="s">
        <v>4587</v>
      </c>
      <c r="T1317" s="238" t="s">
        <v>4588</v>
      </c>
      <c r="U1317" s="238" t="s">
        <v>4882</v>
      </c>
      <c r="V1317" s="238" t="s">
        <v>4905</v>
      </c>
      <c r="W1317" s="236">
        <v>9687.5</v>
      </c>
      <c r="X1317" s="233">
        <v>41305</v>
      </c>
      <c r="Y1317" s="238" t="s">
        <v>4941</v>
      </c>
      <c r="AB1317" s="1" t="s">
        <v>2079</v>
      </c>
    </row>
    <row r="1318" spans="1:28">
      <c r="A1318" s="233">
        <v>41303</v>
      </c>
      <c r="B1318" s="136" t="s">
        <v>4062</v>
      </c>
      <c r="C1318" s="1" t="s">
        <v>2080</v>
      </c>
      <c r="D1318" s="1" t="s">
        <v>2010</v>
      </c>
      <c r="E1318" s="1">
        <v>10434</v>
      </c>
      <c r="F1318" s="1">
        <v>80</v>
      </c>
      <c r="G1318" s="1" t="s">
        <v>2398</v>
      </c>
      <c r="H1318" s="234">
        <v>21.5</v>
      </c>
      <c r="I1318" s="235">
        <f t="shared" si="104"/>
        <v>1720</v>
      </c>
      <c r="K1318" s="250">
        <f>13.8*50+14.2*30</f>
        <v>1116</v>
      </c>
      <c r="L1318" s="237">
        <v>41327</v>
      </c>
      <c r="M1318" s="1" t="s">
        <v>166</v>
      </c>
      <c r="N1318" s="235">
        <f t="shared" si="99"/>
        <v>1720</v>
      </c>
      <c r="O1318" s="235">
        <f t="shared" si="102"/>
        <v>0</v>
      </c>
      <c r="P1318" s="238" t="s">
        <v>4880</v>
      </c>
      <c r="Q1318" s="5" t="s">
        <v>4881</v>
      </c>
      <c r="R1318" s="239" t="s">
        <v>4586</v>
      </c>
      <c r="S1318" s="238" t="s">
        <v>4587</v>
      </c>
      <c r="T1318" s="238" t="s">
        <v>4588</v>
      </c>
      <c r="U1318" s="238" t="s">
        <v>4882</v>
      </c>
      <c r="V1318" s="238" t="s">
        <v>4905</v>
      </c>
      <c r="W1318" s="236">
        <v>9687.5</v>
      </c>
      <c r="X1318" s="233">
        <v>41305</v>
      </c>
      <c r="Y1318" s="238" t="s">
        <v>4941</v>
      </c>
      <c r="AB1318" s="1" t="s">
        <v>2079</v>
      </c>
    </row>
    <row r="1319" spans="1:28">
      <c r="A1319" s="233">
        <v>41303</v>
      </c>
      <c r="B1319" s="136" t="s">
        <v>4062</v>
      </c>
      <c r="C1319" s="1" t="s">
        <v>2080</v>
      </c>
      <c r="D1319" s="5" t="s">
        <v>2042</v>
      </c>
      <c r="E1319" s="1">
        <v>10435</v>
      </c>
      <c r="F1319" s="1">
        <v>20</v>
      </c>
      <c r="G1319" s="1" t="s">
        <v>2398</v>
      </c>
      <c r="H1319" s="234">
        <v>21.5</v>
      </c>
      <c r="I1319" s="235">
        <f t="shared" si="104"/>
        <v>430</v>
      </c>
      <c r="K1319" s="282">
        <f>14.8*20</f>
        <v>296</v>
      </c>
      <c r="L1319" s="237">
        <v>41327</v>
      </c>
      <c r="M1319" s="1" t="s">
        <v>166</v>
      </c>
      <c r="N1319" s="235">
        <f t="shared" si="99"/>
        <v>430</v>
      </c>
      <c r="O1319" s="235">
        <f t="shared" si="102"/>
        <v>0</v>
      </c>
      <c r="P1319" s="238" t="s">
        <v>4880</v>
      </c>
      <c r="Q1319" s="5" t="s">
        <v>4881</v>
      </c>
      <c r="R1319" s="239" t="s">
        <v>4586</v>
      </c>
      <c r="S1319" s="238" t="s">
        <v>4587</v>
      </c>
      <c r="T1319" s="238" t="s">
        <v>4588</v>
      </c>
      <c r="U1319" s="238" t="s">
        <v>4882</v>
      </c>
      <c r="V1319" s="238" t="s">
        <v>4905</v>
      </c>
      <c r="W1319" s="236">
        <v>9687.5</v>
      </c>
      <c r="X1319" s="233">
        <v>41305</v>
      </c>
      <c r="Y1319" s="238" t="s">
        <v>4941</v>
      </c>
      <c r="Z1319" s="255" t="s">
        <v>4508</v>
      </c>
      <c r="AB1319" s="1" t="s">
        <v>2079</v>
      </c>
    </row>
    <row r="1320" spans="1:28">
      <c r="A1320" s="233">
        <v>41303</v>
      </c>
      <c r="B1320" s="136" t="s">
        <v>4062</v>
      </c>
      <c r="C1320" s="1" t="s">
        <v>2080</v>
      </c>
      <c r="D1320" s="1" t="s">
        <v>1213</v>
      </c>
      <c r="E1320" s="1" t="s">
        <v>2509</v>
      </c>
      <c r="F1320" s="1">
        <v>10</v>
      </c>
      <c r="G1320" s="1" t="s">
        <v>2398</v>
      </c>
      <c r="H1320" s="234">
        <v>18</v>
      </c>
      <c r="I1320" s="235">
        <f t="shared" si="104"/>
        <v>180</v>
      </c>
      <c r="K1320" s="250">
        <f>12.6*10</f>
        <v>126</v>
      </c>
      <c r="L1320" s="237">
        <v>41327</v>
      </c>
      <c r="M1320" s="1" t="s">
        <v>166</v>
      </c>
      <c r="N1320" s="235">
        <f t="shared" si="99"/>
        <v>180</v>
      </c>
      <c r="O1320" s="235">
        <f t="shared" si="102"/>
        <v>0</v>
      </c>
      <c r="P1320" s="238" t="s">
        <v>4880</v>
      </c>
      <c r="Q1320" s="5" t="s">
        <v>4881</v>
      </c>
      <c r="R1320" s="239" t="s">
        <v>4586</v>
      </c>
      <c r="S1320" s="238" t="s">
        <v>4587</v>
      </c>
      <c r="T1320" s="238" t="s">
        <v>4588</v>
      </c>
      <c r="U1320" s="238" t="s">
        <v>4882</v>
      </c>
      <c r="V1320" s="238" t="s">
        <v>4905</v>
      </c>
      <c r="W1320" s="236">
        <v>9687.5</v>
      </c>
      <c r="X1320" s="233">
        <v>41305</v>
      </c>
      <c r="Y1320" s="238" t="s">
        <v>4941</v>
      </c>
      <c r="AB1320" s="1" t="s">
        <v>2079</v>
      </c>
    </row>
    <row r="1321" spans="1:28">
      <c r="A1321" s="233">
        <v>41304</v>
      </c>
      <c r="B1321" s="1" t="s">
        <v>4604</v>
      </c>
      <c r="C1321" s="1" t="s">
        <v>188</v>
      </c>
      <c r="D1321" s="1" t="s">
        <v>2041</v>
      </c>
      <c r="E1321" s="1" t="s">
        <v>4808</v>
      </c>
      <c r="F1321" s="1">
        <v>-3</v>
      </c>
      <c r="G1321" s="1" t="s">
        <v>4888</v>
      </c>
      <c r="H1321" s="234">
        <v>9</v>
      </c>
      <c r="I1321" s="235">
        <f t="shared" ref="I1321:I1338" si="105">F1321*H1321</f>
        <v>-27</v>
      </c>
      <c r="K1321" s="282">
        <v>0</v>
      </c>
      <c r="L1321" s="237">
        <v>41304</v>
      </c>
      <c r="M1321" s="1" t="s">
        <v>4896</v>
      </c>
      <c r="N1321" s="235">
        <f t="shared" si="99"/>
        <v>-27</v>
      </c>
      <c r="O1321" s="235">
        <f t="shared" si="102"/>
        <v>0</v>
      </c>
      <c r="P1321" s="238" t="s">
        <v>4892</v>
      </c>
      <c r="Q1321" s="1" t="s">
        <v>4892</v>
      </c>
      <c r="R1321" s="239" t="s">
        <v>4892</v>
      </c>
      <c r="S1321" s="238" t="s">
        <v>4892</v>
      </c>
      <c r="T1321" s="238" t="s">
        <v>4892</v>
      </c>
      <c r="U1321" s="238" t="s">
        <v>4893</v>
      </c>
      <c r="V1321" s="238" t="s">
        <v>4892</v>
      </c>
      <c r="W1321" s="236" t="s">
        <v>4892</v>
      </c>
      <c r="X1321" s="233" t="s">
        <v>4892</v>
      </c>
      <c r="Y1321" s="238" t="s">
        <v>4892</v>
      </c>
      <c r="Z1321" s="255" t="s">
        <v>6033</v>
      </c>
      <c r="AB1321" s="1" t="s">
        <v>2064</v>
      </c>
    </row>
    <row r="1322" spans="1:28">
      <c r="A1322" s="233">
        <v>41304</v>
      </c>
      <c r="B1322" s="1" t="s">
        <v>4604</v>
      </c>
      <c r="C1322" s="5" t="s">
        <v>162</v>
      </c>
      <c r="D1322" s="1" t="s">
        <v>1820</v>
      </c>
      <c r="E1322" s="1" t="s">
        <v>4889</v>
      </c>
      <c r="F1322" s="1">
        <v>-1</v>
      </c>
      <c r="G1322" s="1" t="s">
        <v>4890</v>
      </c>
      <c r="H1322" s="234">
        <v>125</v>
      </c>
      <c r="I1322" s="235">
        <f t="shared" si="105"/>
        <v>-125</v>
      </c>
      <c r="K1322" s="250">
        <f>-1*85</f>
        <v>-85</v>
      </c>
      <c r="L1322" s="237">
        <v>41304</v>
      </c>
      <c r="M1322" s="1" t="s">
        <v>4896</v>
      </c>
      <c r="N1322" s="235">
        <f t="shared" si="99"/>
        <v>-125</v>
      </c>
      <c r="O1322" s="235">
        <f t="shared" si="102"/>
        <v>0</v>
      </c>
      <c r="P1322" s="238" t="s">
        <v>4892</v>
      </c>
      <c r="Q1322" s="1" t="s">
        <v>4892</v>
      </c>
      <c r="R1322" s="239" t="s">
        <v>4892</v>
      </c>
      <c r="S1322" s="238" t="s">
        <v>4892</v>
      </c>
      <c r="T1322" s="238" t="s">
        <v>4892</v>
      </c>
      <c r="U1322" s="238" t="s">
        <v>4893</v>
      </c>
      <c r="V1322" s="238" t="s">
        <v>4892</v>
      </c>
      <c r="W1322" s="236" t="s">
        <v>4892</v>
      </c>
      <c r="X1322" s="233" t="s">
        <v>4892</v>
      </c>
      <c r="Y1322" s="238" t="s">
        <v>4892</v>
      </c>
      <c r="AB1322" s="1" t="s">
        <v>2064</v>
      </c>
    </row>
    <row r="1323" spans="1:28">
      <c r="A1323" s="233">
        <v>41304</v>
      </c>
      <c r="B1323" s="1" t="s">
        <v>4604</v>
      </c>
      <c r="C1323" s="5" t="s">
        <v>162</v>
      </c>
      <c r="D1323" s="283" t="s">
        <v>1964</v>
      </c>
      <c r="E1323" s="283" t="s">
        <v>1787</v>
      </c>
      <c r="F1323" s="1">
        <v>-1</v>
      </c>
      <c r="G1323" s="1" t="s">
        <v>4890</v>
      </c>
      <c r="H1323" s="234">
        <v>48</v>
      </c>
      <c r="I1323" s="235">
        <f t="shared" si="105"/>
        <v>-48</v>
      </c>
      <c r="K1323" s="250">
        <f>-1*25</f>
        <v>-25</v>
      </c>
      <c r="L1323" s="237">
        <v>41304</v>
      </c>
      <c r="M1323" s="1" t="s">
        <v>4896</v>
      </c>
      <c r="N1323" s="235">
        <f t="shared" si="99"/>
        <v>-48</v>
      </c>
      <c r="O1323" s="235">
        <f t="shared" si="102"/>
        <v>0</v>
      </c>
      <c r="P1323" s="238" t="s">
        <v>4892</v>
      </c>
      <c r="Q1323" s="1" t="s">
        <v>4892</v>
      </c>
      <c r="R1323" s="239" t="s">
        <v>4892</v>
      </c>
      <c r="S1323" s="238" t="s">
        <v>4892</v>
      </c>
      <c r="T1323" s="238" t="s">
        <v>4892</v>
      </c>
      <c r="U1323" s="238" t="s">
        <v>4893</v>
      </c>
      <c r="V1323" s="238" t="s">
        <v>4892</v>
      </c>
      <c r="W1323" s="236" t="s">
        <v>4892</v>
      </c>
      <c r="X1323" s="233" t="s">
        <v>4892</v>
      </c>
      <c r="Y1323" s="238" t="s">
        <v>4892</v>
      </c>
      <c r="AB1323" s="1" t="s">
        <v>2064</v>
      </c>
    </row>
    <row r="1324" spans="1:28">
      <c r="A1324" s="233">
        <v>41304</v>
      </c>
      <c r="B1324" s="1" t="s">
        <v>4604</v>
      </c>
      <c r="C1324" s="5" t="s">
        <v>162</v>
      </c>
      <c r="D1324" s="5" t="s">
        <v>4614</v>
      </c>
      <c r="E1324" s="1" t="s">
        <v>1613</v>
      </c>
      <c r="F1324" s="1">
        <v>-1</v>
      </c>
      <c r="G1324" s="1" t="s">
        <v>4890</v>
      </c>
      <c r="H1324" s="234">
        <v>45</v>
      </c>
      <c r="I1324" s="235">
        <f t="shared" si="105"/>
        <v>-45</v>
      </c>
      <c r="K1324" s="250">
        <f>-1*19.8</f>
        <v>-19.8</v>
      </c>
      <c r="L1324" s="237">
        <v>41304</v>
      </c>
      <c r="M1324" s="1" t="s">
        <v>4896</v>
      </c>
      <c r="N1324" s="235">
        <f t="shared" si="99"/>
        <v>-45</v>
      </c>
      <c r="O1324" s="235">
        <f t="shared" si="102"/>
        <v>0</v>
      </c>
      <c r="P1324" s="238" t="s">
        <v>4892</v>
      </c>
      <c r="Q1324" s="1" t="s">
        <v>4892</v>
      </c>
      <c r="R1324" s="239" t="s">
        <v>4892</v>
      </c>
      <c r="S1324" s="238" t="s">
        <v>4892</v>
      </c>
      <c r="T1324" s="238" t="s">
        <v>4892</v>
      </c>
      <c r="U1324" s="238" t="s">
        <v>4893</v>
      </c>
      <c r="V1324" s="238" t="s">
        <v>4892</v>
      </c>
      <c r="W1324" s="236" t="s">
        <v>4892</v>
      </c>
      <c r="X1324" s="233" t="s">
        <v>4892</v>
      </c>
      <c r="Y1324" s="238" t="s">
        <v>4892</v>
      </c>
      <c r="AB1324" s="1" t="s">
        <v>2064</v>
      </c>
    </row>
    <row r="1325" spans="1:28">
      <c r="A1325" s="233">
        <v>41304</v>
      </c>
      <c r="B1325" s="1" t="s">
        <v>4604</v>
      </c>
      <c r="C1325" s="5" t="s">
        <v>162</v>
      </c>
      <c r="D1325" s="283" t="s">
        <v>1965</v>
      </c>
      <c r="E1325" s="283" t="s">
        <v>1615</v>
      </c>
      <c r="F1325" s="1">
        <v>-1</v>
      </c>
      <c r="G1325" s="1" t="s">
        <v>1071</v>
      </c>
      <c r="H1325" s="234">
        <v>42</v>
      </c>
      <c r="I1325" s="235">
        <f t="shared" si="105"/>
        <v>-42</v>
      </c>
      <c r="K1325" s="250">
        <f>17.82*-1</f>
        <v>-17.82</v>
      </c>
      <c r="L1325" s="237">
        <v>41304</v>
      </c>
      <c r="M1325" s="1" t="s">
        <v>4896</v>
      </c>
      <c r="N1325" s="235">
        <f t="shared" si="99"/>
        <v>-42</v>
      </c>
      <c r="O1325" s="235">
        <f t="shared" si="102"/>
        <v>0</v>
      </c>
      <c r="P1325" s="238" t="s">
        <v>4892</v>
      </c>
      <c r="Q1325" s="1" t="s">
        <v>4892</v>
      </c>
      <c r="R1325" s="239" t="s">
        <v>4892</v>
      </c>
      <c r="S1325" s="238" t="s">
        <v>4892</v>
      </c>
      <c r="T1325" s="238" t="s">
        <v>4892</v>
      </c>
      <c r="U1325" s="238" t="s">
        <v>4893</v>
      </c>
      <c r="V1325" s="238" t="s">
        <v>4892</v>
      </c>
      <c r="W1325" s="236" t="s">
        <v>4892</v>
      </c>
      <c r="X1325" s="233" t="s">
        <v>4892</v>
      </c>
      <c r="Y1325" s="238" t="s">
        <v>4892</v>
      </c>
      <c r="AB1325" s="1" t="s">
        <v>2064</v>
      </c>
    </row>
    <row r="1326" spans="1:28">
      <c r="A1326" s="233">
        <v>41304</v>
      </c>
      <c r="B1326" s="1" t="s">
        <v>4604</v>
      </c>
      <c r="C1326" s="5" t="s">
        <v>162</v>
      </c>
      <c r="D1326" s="1" t="s">
        <v>4891</v>
      </c>
      <c r="E1326" s="1" t="s">
        <v>4894</v>
      </c>
      <c r="F1326" s="1">
        <v>-1</v>
      </c>
      <c r="G1326" s="1" t="s">
        <v>1626</v>
      </c>
      <c r="H1326" s="234">
        <v>35</v>
      </c>
      <c r="I1326" s="235">
        <f t="shared" si="105"/>
        <v>-35</v>
      </c>
      <c r="K1326" s="250">
        <f>-1*27</f>
        <v>-27</v>
      </c>
      <c r="L1326" s="237">
        <v>41304</v>
      </c>
      <c r="M1326" s="1" t="s">
        <v>4896</v>
      </c>
      <c r="N1326" s="235">
        <f t="shared" si="99"/>
        <v>-35</v>
      </c>
      <c r="O1326" s="235">
        <f t="shared" si="102"/>
        <v>0</v>
      </c>
      <c r="P1326" s="238" t="s">
        <v>4892</v>
      </c>
      <c r="Q1326" s="1" t="s">
        <v>4892</v>
      </c>
      <c r="R1326" s="239" t="s">
        <v>4892</v>
      </c>
      <c r="S1326" s="238" t="s">
        <v>4892</v>
      </c>
      <c r="T1326" s="238" t="s">
        <v>4892</v>
      </c>
      <c r="U1326" s="238" t="s">
        <v>4893</v>
      </c>
      <c r="V1326" s="238" t="s">
        <v>4892</v>
      </c>
      <c r="W1326" s="236" t="s">
        <v>4892</v>
      </c>
      <c r="X1326" s="233" t="s">
        <v>4892</v>
      </c>
      <c r="Y1326" s="238" t="s">
        <v>4892</v>
      </c>
      <c r="AB1326" s="1" t="s">
        <v>2064</v>
      </c>
    </row>
    <row r="1327" spans="1:28">
      <c r="A1327" s="233">
        <v>41304</v>
      </c>
      <c r="B1327" s="1" t="s">
        <v>1569</v>
      </c>
      <c r="C1327" s="5" t="s">
        <v>162</v>
      </c>
      <c r="D1327" s="284" t="s">
        <v>353</v>
      </c>
      <c r="E1327" s="1" t="s">
        <v>4897</v>
      </c>
      <c r="F1327" s="1">
        <v>120</v>
      </c>
      <c r="G1327" s="1" t="s">
        <v>4890</v>
      </c>
      <c r="H1327" s="234">
        <v>12.93</v>
      </c>
      <c r="I1327" s="235">
        <f t="shared" si="105"/>
        <v>1551.6</v>
      </c>
      <c r="K1327" s="250">
        <f>10.94*120</f>
        <v>1312.8</v>
      </c>
      <c r="L1327" s="237">
        <v>41361</v>
      </c>
      <c r="M1327" s="1" t="s">
        <v>166</v>
      </c>
      <c r="N1327" s="235">
        <f t="shared" si="99"/>
        <v>1551.6</v>
      </c>
      <c r="O1327" s="235">
        <f t="shared" si="102"/>
        <v>0</v>
      </c>
      <c r="P1327" s="238" t="s">
        <v>4902</v>
      </c>
      <c r="Q1327" s="1" t="s">
        <v>1571</v>
      </c>
      <c r="R1327" s="239" t="s">
        <v>1570</v>
      </c>
      <c r="S1327" s="238">
        <v>13368068212</v>
      </c>
      <c r="T1327" s="238" t="s">
        <v>167</v>
      </c>
      <c r="U1327" s="238" t="s">
        <v>167</v>
      </c>
      <c r="V1327" s="238" t="s">
        <v>5263</v>
      </c>
      <c r="W1327" s="236">
        <v>4068.78</v>
      </c>
      <c r="X1327" s="233">
        <v>41332</v>
      </c>
      <c r="Y1327" s="238" t="s">
        <v>3866</v>
      </c>
      <c r="AB1327" s="1" t="s">
        <v>1561</v>
      </c>
    </row>
    <row r="1328" spans="1:28">
      <c r="A1328" s="233">
        <v>41304</v>
      </c>
      <c r="B1328" s="1" t="s">
        <v>1569</v>
      </c>
      <c r="C1328" s="5" t="s">
        <v>162</v>
      </c>
      <c r="D1328" s="1" t="s">
        <v>240</v>
      </c>
      <c r="E1328" s="1">
        <v>6200</v>
      </c>
      <c r="F1328" s="1">
        <v>7</v>
      </c>
      <c r="G1328" s="1" t="s">
        <v>4890</v>
      </c>
      <c r="H1328" s="234">
        <v>45</v>
      </c>
      <c r="I1328" s="235">
        <f t="shared" si="105"/>
        <v>315</v>
      </c>
      <c r="K1328" s="250">
        <f>42.5*7</f>
        <v>297.5</v>
      </c>
      <c r="L1328" s="237">
        <v>41361</v>
      </c>
      <c r="M1328" s="1" t="s">
        <v>166</v>
      </c>
      <c r="N1328" s="235">
        <f t="shared" si="99"/>
        <v>315</v>
      </c>
      <c r="O1328" s="235">
        <f t="shared" si="102"/>
        <v>0</v>
      </c>
      <c r="P1328" s="238" t="s">
        <v>4902</v>
      </c>
      <c r="Q1328" s="1" t="s">
        <v>1571</v>
      </c>
      <c r="R1328" s="239" t="s">
        <v>1570</v>
      </c>
      <c r="S1328" s="238">
        <v>13368068212</v>
      </c>
      <c r="T1328" s="238" t="s">
        <v>167</v>
      </c>
      <c r="U1328" s="238" t="s">
        <v>167</v>
      </c>
      <c r="V1328" s="238" t="s">
        <v>5263</v>
      </c>
      <c r="W1328" s="236">
        <v>4068.78</v>
      </c>
      <c r="X1328" s="233">
        <v>41332</v>
      </c>
      <c r="Y1328" s="238" t="s">
        <v>3866</v>
      </c>
      <c r="AB1328" s="1" t="s">
        <v>1561</v>
      </c>
    </row>
    <row r="1329" spans="1:28">
      <c r="A1329" s="233">
        <v>41304</v>
      </c>
      <c r="B1329" s="1" t="s">
        <v>1569</v>
      </c>
      <c r="C1329" s="5" t="s">
        <v>162</v>
      </c>
      <c r="D1329" s="284" t="s">
        <v>4901</v>
      </c>
      <c r="E1329" s="1">
        <v>501</v>
      </c>
      <c r="F1329" s="1">
        <v>18</v>
      </c>
      <c r="G1329" s="1" t="s">
        <v>4890</v>
      </c>
      <c r="H1329" s="234">
        <v>1.53</v>
      </c>
      <c r="I1329" s="235">
        <f t="shared" si="105"/>
        <v>27.54</v>
      </c>
      <c r="K1329" s="250">
        <f>1.4*18</f>
        <v>25.2</v>
      </c>
      <c r="L1329" s="237">
        <v>41361</v>
      </c>
      <c r="M1329" s="1" t="s">
        <v>166</v>
      </c>
      <c r="N1329" s="235">
        <f t="shared" si="99"/>
        <v>27.54</v>
      </c>
      <c r="O1329" s="235">
        <f t="shared" si="102"/>
        <v>0</v>
      </c>
      <c r="P1329" s="238" t="s">
        <v>4902</v>
      </c>
      <c r="Q1329" s="1" t="s">
        <v>1571</v>
      </c>
      <c r="R1329" s="239" t="s">
        <v>1570</v>
      </c>
      <c r="S1329" s="238">
        <v>13368068212</v>
      </c>
      <c r="T1329" s="238" t="s">
        <v>167</v>
      </c>
      <c r="U1329" s="238" t="s">
        <v>167</v>
      </c>
      <c r="V1329" s="238" t="s">
        <v>5263</v>
      </c>
      <c r="W1329" s="236">
        <v>4068.78</v>
      </c>
      <c r="X1329" s="233">
        <v>41332</v>
      </c>
      <c r="Y1329" s="238" t="s">
        <v>3866</v>
      </c>
      <c r="AB1329" s="1" t="s">
        <v>1561</v>
      </c>
    </row>
    <row r="1330" spans="1:28">
      <c r="A1330" s="233">
        <v>41304</v>
      </c>
      <c r="B1330" s="1" t="s">
        <v>1569</v>
      </c>
      <c r="C1330" s="5" t="s">
        <v>162</v>
      </c>
      <c r="D1330" s="5" t="s">
        <v>182</v>
      </c>
      <c r="E1330" s="1" t="s">
        <v>4898</v>
      </c>
      <c r="F1330" s="1">
        <v>18</v>
      </c>
      <c r="G1330" s="1" t="s">
        <v>4899</v>
      </c>
      <c r="H1330" s="234">
        <v>5.2</v>
      </c>
      <c r="I1330" s="235">
        <f t="shared" si="105"/>
        <v>93.600000000000009</v>
      </c>
      <c r="K1330" s="250">
        <f>4.75*18</f>
        <v>85.5</v>
      </c>
      <c r="L1330" s="237">
        <v>41361</v>
      </c>
      <c r="M1330" s="1" t="s">
        <v>166</v>
      </c>
      <c r="N1330" s="235">
        <f t="shared" si="99"/>
        <v>93.600000000000009</v>
      </c>
      <c r="O1330" s="235">
        <f t="shared" si="102"/>
        <v>0</v>
      </c>
      <c r="P1330" s="238" t="s">
        <v>4902</v>
      </c>
      <c r="Q1330" s="1" t="s">
        <v>1571</v>
      </c>
      <c r="R1330" s="239" t="s">
        <v>1570</v>
      </c>
      <c r="S1330" s="238">
        <v>13368068212</v>
      </c>
      <c r="T1330" s="238" t="s">
        <v>167</v>
      </c>
      <c r="U1330" s="238" t="s">
        <v>167</v>
      </c>
      <c r="V1330" s="238" t="s">
        <v>5263</v>
      </c>
      <c r="W1330" s="236">
        <v>4068.78</v>
      </c>
      <c r="X1330" s="233">
        <v>41332</v>
      </c>
      <c r="Y1330" s="238" t="s">
        <v>3866</v>
      </c>
      <c r="AB1330" s="1" t="s">
        <v>1561</v>
      </c>
    </row>
    <row r="1331" spans="1:28">
      <c r="A1331" s="233">
        <v>41304</v>
      </c>
      <c r="B1331" s="1" t="s">
        <v>1569</v>
      </c>
      <c r="C1331" s="5" t="s">
        <v>162</v>
      </c>
      <c r="D1331" s="5" t="s">
        <v>1882</v>
      </c>
      <c r="E1331" s="1" t="s">
        <v>145</v>
      </c>
      <c r="F1331" s="1">
        <v>18</v>
      </c>
      <c r="G1331" s="1" t="s">
        <v>4890</v>
      </c>
      <c r="H1331" s="234">
        <v>18</v>
      </c>
      <c r="I1331" s="235">
        <f t="shared" si="105"/>
        <v>324</v>
      </c>
      <c r="K1331" s="250">
        <f>16.5*H1331</f>
        <v>297</v>
      </c>
      <c r="L1331" s="237">
        <v>41361</v>
      </c>
      <c r="M1331" s="1" t="s">
        <v>166</v>
      </c>
      <c r="N1331" s="235">
        <f t="shared" si="99"/>
        <v>324</v>
      </c>
      <c r="O1331" s="235">
        <f t="shared" si="102"/>
        <v>0</v>
      </c>
      <c r="P1331" s="238" t="s">
        <v>4902</v>
      </c>
      <c r="Q1331" s="1" t="s">
        <v>1571</v>
      </c>
      <c r="R1331" s="239" t="s">
        <v>1570</v>
      </c>
      <c r="S1331" s="238">
        <v>13368068212</v>
      </c>
      <c r="T1331" s="238" t="s">
        <v>167</v>
      </c>
      <c r="U1331" s="238" t="s">
        <v>167</v>
      </c>
      <c r="V1331" s="238" t="s">
        <v>5263</v>
      </c>
      <c r="W1331" s="236">
        <v>4068.78</v>
      </c>
      <c r="X1331" s="233">
        <v>41332</v>
      </c>
      <c r="Y1331" s="238" t="s">
        <v>3866</v>
      </c>
      <c r="AB1331" s="1" t="s">
        <v>1561</v>
      </c>
    </row>
    <row r="1332" spans="1:28">
      <c r="A1332" s="233">
        <v>41304</v>
      </c>
      <c r="B1332" s="1" t="s">
        <v>1569</v>
      </c>
      <c r="C1332" s="5" t="s">
        <v>162</v>
      </c>
      <c r="D1332" s="284" t="s">
        <v>593</v>
      </c>
      <c r="E1332" s="1">
        <v>3200</v>
      </c>
      <c r="F1332" s="1">
        <v>40</v>
      </c>
      <c r="G1332" s="1" t="s">
        <v>4890</v>
      </c>
      <c r="H1332" s="234">
        <v>27</v>
      </c>
      <c r="I1332" s="235">
        <f t="shared" si="105"/>
        <v>1080</v>
      </c>
      <c r="K1332" s="250">
        <f>23.94*40</f>
        <v>957.6</v>
      </c>
      <c r="L1332" s="237">
        <v>41361</v>
      </c>
      <c r="M1332" s="1" t="s">
        <v>166</v>
      </c>
      <c r="N1332" s="235">
        <f t="shared" si="99"/>
        <v>1080</v>
      </c>
      <c r="O1332" s="235">
        <f t="shared" si="102"/>
        <v>0</v>
      </c>
      <c r="P1332" s="238" t="s">
        <v>4902</v>
      </c>
      <c r="Q1332" s="1" t="s">
        <v>1571</v>
      </c>
      <c r="R1332" s="239" t="s">
        <v>1570</v>
      </c>
      <c r="S1332" s="238">
        <v>13368068212</v>
      </c>
      <c r="T1332" s="238" t="s">
        <v>167</v>
      </c>
      <c r="U1332" s="238" t="s">
        <v>167</v>
      </c>
      <c r="V1332" s="238" t="s">
        <v>5263</v>
      </c>
      <c r="W1332" s="236">
        <v>4068.78</v>
      </c>
      <c r="X1332" s="233">
        <v>41332</v>
      </c>
      <c r="Y1332" s="238" t="s">
        <v>3866</v>
      </c>
      <c r="AB1332" s="1" t="s">
        <v>1561</v>
      </c>
    </row>
    <row r="1333" spans="1:28">
      <c r="A1333" s="233">
        <v>41304</v>
      </c>
      <c r="B1333" s="1" t="s">
        <v>4058</v>
      </c>
      <c r="C1333" s="5" t="s">
        <v>162</v>
      </c>
      <c r="D1333" s="5" t="s">
        <v>1892</v>
      </c>
      <c r="E1333" s="1">
        <v>9032</v>
      </c>
      <c r="F1333" s="1">
        <v>100</v>
      </c>
      <c r="G1333" s="1" t="s">
        <v>170</v>
      </c>
      <c r="H1333" s="234">
        <v>2.7</v>
      </c>
      <c r="I1333" s="235">
        <f t="shared" si="105"/>
        <v>270</v>
      </c>
      <c r="K1333" s="250">
        <f>1.4929*100</f>
        <v>149.29</v>
      </c>
      <c r="N1333" s="235">
        <v>0</v>
      </c>
      <c r="O1333" s="235">
        <f t="shared" si="102"/>
        <v>270</v>
      </c>
      <c r="P1333" s="238" t="s">
        <v>4903</v>
      </c>
      <c r="Q1333" s="1" t="s">
        <v>2505</v>
      </c>
      <c r="R1333" s="239" t="s">
        <v>5479</v>
      </c>
      <c r="S1333" s="238" t="s">
        <v>5480</v>
      </c>
      <c r="T1333" s="238" t="s">
        <v>3924</v>
      </c>
      <c r="U1333" s="238" t="s">
        <v>167</v>
      </c>
      <c r="V1333" s="238" t="s">
        <v>5508</v>
      </c>
      <c r="W1333" s="236">
        <v>4580</v>
      </c>
      <c r="X1333" s="233">
        <v>41346</v>
      </c>
      <c r="AB1333" s="1" t="s">
        <v>2064</v>
      </c>
    </row>
    <row r="1334" spans="1:28">
      <c r="A1334" s="233">
        <v>41304</v>
      </c>
      <c r="B1334" s="1" t="s">
        <v>4058</v>
      </c>
      <c r="C1334" s="5" t="s">
        <v>162</v>
      </c>
      <c r="D1334" s="1" t="s">
        <v>2010</v>
      </c>
      <c r="E1334" s="1">
        <v>10434</v>
      </c>
      <c r="F1334" s="1">
        <v>20</v>
      </c>
      <c r="G1334" s="1" t="s">
        <v>172</v>
      </c>
      <c r="H1334" s="234">
        <v>23</v>
      </c>
      <c r="I1334" s="235">
        <f t="shared" si="105"/>
        <v>460</v>
      </c>
      <c r="K1334" s="250">
        <f>14.88*20</f>
        <v>297.60000000000002</v>
      </c>
      <c r="N1334" s="235">
        <v>0</v>
      </c>
      <c r="O1334" s="235">
        <f t="shared" si="102"/>
        <v>460</v>
      </c>
      <c r="P1334" s="238" t="s">
        <v>4903</v>
      </c>
      <c r="Q1334" s="1" t="s">
        <v>2505</v>
      </c>
      <c r="R1334" s="239" t="s">
        <v>5479</v>
      </c>
      <c r="S1334" s="238" t="s">
        <v>5480</v>
      </c>
      <c r="T1334" s="238" t="s">
        <v>3924</v>
      </c>
      <c r="U1334" s="238" t="s">
        <v>167</v>
      </c>
      <c r="V1334" s="238" t="s">
        <v>5508</v>
      </c>
      <c r="W1334" s="236">
        <v>4580</v>
      </c>
      <c r="X1334" s="233">
        <v>41346</v>
      </c>
      <c r="AB1334" s="1" t="s">
        <v>2064</v>
      </c>
    </row>
    <row r="1335" spans="1:28">
      <c r="A1335" s="233">
        <v>41304</v>
      </c>
      <c r="B1335" s="1" t="s">
        <v>3515</v>
      </c>
      <c r="C1335" s="5" t="s">
        <v>162</v>
      </c>
      <c r="D1335" s="5" t="s">
        <v>1902</v>
      </c>
      <c r="E1335" s="1">
        <v>1270</v>
      </c>
      <c r="F1335" s="1">
        <v>200</v>
      </c>
      <c r="G1335" s="1" t="s">
        <v>172</v>
      </c>
      <c r="H1335" s="234">
        <v>6.5</v>
      </c>
      <c r="I1335" s="235">
        <f t="shared" si="105"/>
        <v>1300</v>
      </c>
      <c r="K1335" s="250">
        <f>4.31*200</f>
        <v>861.99999999999989</v>
      </c>
      <c r="N1335" s="235">
        <v>0</v>
      </c>
      <c r="O1335" s="235">
        <f t="shared" si="102"/>
        <v>1300</v>
      </c>
      <c r="P1335" s="238" t="s">
        <v>4904</v>
      </c>
      <c r="Q1335" s="1" t="s">
        <v>2505</v>
      </c>
      <c r="R1335" s="239" t="s">
        <v>3858</v>
      </c>
      <c r="S1335" s="238" t="s">
        <v>3859</v>
      </c>
      <c r="T1335" s="238" t="s">
        <v>3924</v>
      </c>
      <c r="U1335" s="238" t="s">
        <v>167</v>
      </c>
      <c r="V1335" s="238" t="s">
        <v>5816</v>
      </c>
      <c r="W1335" s="236">
        <v>5100</v>
      </c>
      <c r="X1335" s="233">
        <v>41360</v>
      </c>
      <c r="Y1335" s="238" t="s">
        <v>5817</v>
      </c>
      <c r="AB1335" s="1" t="s">
        <v>2064</v>
      </c>
    </row>
    <row r="1336" spans="1:28">
      <c r="A1336" s="233">
        <v>41304</v>
      </c>
      <c r="B1336" s="1" t="s">
        <v>3515</v>
      </c>
      <c r="C1336" s="5" t="s">
        <v>162</v>
      </c>
      <c r="D1336" s="1" t="s">
        <v>2010</v>
      </c>
      <c r="E1336" s="1">
        <v>10434</v>
      </c>
      <c r="F1336" s="1">
        <v>100</v>
      </c>
      <c r="G1336" s="1" t="s">
        <v>172</v>
      </c>
      <c r="H1336" s="234">
        <v>23</v>
      </c>
      <c r="I1336" s="235">
        <f t="shared" si="105"/>
        <v>2300</v>
      </c>
      <c r="K1336" s="250">
        <f>14.88*100</f>
        <v>1488</v>
      </c>
      <c r="N1336" s="235">
        <v>0</v>
      </c>
      <c r="O1336" s="235">
        <f t="shared" si="102"/>
        <v>2300</v>
      </c>
      <c r="P1336" s="238" t="s">
        <v>4904</v>
      </c>
      <c r="Q1336" s="1" t="s">
        <v>2505</v>
      </c>
      <c r="R1336" s="239" t="s">
        <v>3858</v>
      </c>
      <c r="S1336" s="238" t="s">
        <v>3859</v>
      </c>
      <c r="T1336" s="238" t="s">
        <v>3924</v>
      </c>
      <c r="U1336" s="238" t="s">
        <v>167</v>
      </c>
      <c r="V1336" s="238" t="s">
        <v>5816</v>
      </c>
      <c r="W1336" s="236">
        <v>5100</v>
      </c>
      <c r="X1336" s="233">
        <v>41360</v>
      </c>
      <c r="Y1336" s="238" t="s">
        <v>5817</v>
      </c>
      <c r="AB1336" s="1" t="s">
        <v>2064</v>
      </c>
    </row>
    <row r="1337" spans="1:28">
      <c r="A1337" s="233">
        <v>41304</v>
      </c>
      <c r="B1337" s="1" t="s">
        <v>3515</v>
      </c>
      <c r="C1337" s="5" t="s">
        <v>162</v>
      </c>
      <c r="D1337" s="1" t="s">
        <v>1711</v>
      </c>
      <c r="E1337" s="1">
        <v>8210</v>
      </c>
      <c r="F1337" s="1">
        <v>100</v>
      </c>
      <c r="G1337" s="1" t="s">
        <v>170</v>
      </c>
      <c r="H1337" s="234">
        <v>6.9</v>
      </c>
      <c r="I1337" s="235">
        <f t="shared" si="105"/>
        <v>690</v>
      </c>
      <c r="K1337" s="250">
        <f>3.63*100</f>
        <v>363</v>
      </c>
      <c r="N1337" s="235">
        <v>0</v>
      </c>
      <c r="O1337" s="235">
        <f t="shared" si="102"/>
        <v>690</v>
      </c>
      <c r="P1337" s="238" t="s">
        <v>4904</v>
      </c>
      <c r="Q1337" s="1" t="s">
        <v>2505</v>
      </c>
      <c r="R1337" s="239" t="s">
        <v>3858</v>
      </c>
      <c r="S1337" s="238" t="s">
        <v>3859</v>
      </c>
      <c r="T1337" s="238" t="s">
        <v>3924</v>
      </c>
      <c r="U1337" s="238" t="s">
        <v>167</v>
      </c>
      <c r="V1337" s="238" t="s">
        <v>5816</v>
      </c>
      <c r="W1337" s="236">
        <v>5100</v>
      </c>
      <c r="X1337" s="233">
        <v>41360</v>
      </c>
      <c r="Y1337" s="238" t="s">
        <v>5817</v>
      </c>
      <c r="AB1337" s="1" t="s">
        <v>2064</v>
      </c>
    </row>
    <row r="1338" spans="1:28">
      <c r="A1338" s="233">
        <v>41304</v>
      </c>
      <c r="B1338" s="1" t="s">
        <v>3515</v>
      </c>
      <c r="C1338" s="5" t="s">
        <v>162</v>
      </c>
      <c r="D1338" s="5" t="s">
        <v>854</v>
      </c>
      <c r="E1338" s="1">
        <v>9032</v>
      </c>
      <c r="F1338" s="1">
        <v>300</v>
      </c>
      <c r="G1338" s="1" t="s">
        <v>170</v>
      </c>
      <c r="H1338" s="234">
        <v>2.7</v>
      </c>
      <c r="I1338" s="235">
        <f t="shared" si="105"/>
        <v>810</v>
      </c>
      <c r="K1338" s="250">
        <f>1.4929*300</f>
        <v>447.86999999999995</v>
      </c>
      <c r="N1338" s="235">
        <v>0</v>
      </c>
      <c r="O1338" s="235">
        <f t="shared" si="102"/>
        <v>810</v>
      </c>
      <c r="P1338" s="238" t="s">
        <v>4904</v>
      </c>
      <c r="Q1338" s="1" t="s">
        <v>2505</v>
      </c>
      <c r="R1338" s="239" t="s">
        <v>3858</v>
      </c>
      <c r="S1338" s="238" t="s">
        <v>3859</v>
      </c>
      <c r="T1338" s="238" t="s">
        <v>3924</v>
      </c>
      <c r="U1338" s="238" t="s">
        <v>167</v>
      </c>
      <c r="V1338" s="238" t="s">
        <v>5816</v>
      </c>
      <c r="W1338" s="236">
        <v>5100</v>
      </c>
      <c r="X1338" s="233">
        <v>41360</v>
      </c>
      <c r="Y1338" s="238" t="s">
        <v>5817</v>
      </c>
      <c r="AB1338" s="1" t="s">
        <v>2064</v>
      </c>
    </row>
    <row r="1339" spans="1:28">
      <c r="A1339" s="233">
        <v>41305</v>
      </c>
      <c r="B1339" s="1" t="s">
        <v>2709</v>
      </c>
      <c r="C1339" s="1" t="s">
        <v>2080</v>
      </c>
      <c r="D1339" s="5" t="s">
        <v>983</v>
      </c>
      <c r="E1339" s="1">
        <v>6800</v>
      </c>
      <c r="F1339" s="1">
        <v>26</v>
      </c>
      <c r="G1339" s="1" t="s">
        <v>2086</v>
      </c>
      <c r="H1339" s="234">
        <v>440</v>
      </c>
      <c r="I1339" s="235">
        <f>F1339*H1339</f>
        <v>11440</v>
      </c>
      <c r="K1339" s="250">
        <f>418*8+434*18</f>
        <v>11156</v>
      </c>
      <c r="L1339" s="237">
        <v>41305</v>
      </c>
      <c r="M1339" s="1" t="s">
        <v>166</v>
      </c>
      <c r="N1339" s="235">
        <f t="shared" si="99"/>
        <v>11440</v>
      </c>
      <c r="O1339" s="235">
        <f t="shared" ref="O1339:O1350" si="106">I1339-N1339</f>
        <v>0</v>
      </c>
      <c r="P1339" s="238" t="s">
        <v>4932</v>
      </c>
      <c r="Q1339" s="5" t="s">
        <v>1562</v>
      </c>
      <c r="R1339" s="239" t="s">
        <v>167</v>
      </c>
      <c r="S1339" s="238" t="s">
        <v>167</v>
      </c>
      <c r="T1339" s="238" t="s">
        <v>167</v>
      </c>
      <c r="U1339" s="238" t="s">
        <v>167</v>
      </c>
      <c r="V1339" s="238" t="s">
        <v>4988</v>
      </c>
      <c r="W1339" s="236">
        <v>34207</v>
      </c>
      <c r="X1339" s="233">
        <v>41309</v>
      </c>
      <c r="Y1339" s="238" t="s">
        <v>5295</v>
      </c>
      <c r="AB1339" s="1" t="s">
        <v>2527</v>
      </c>
    </row>
    <row r="1340" spans="1:28">
      <c r="A1340" s="233">
        <v>41305</v>
      </c>
      <c r="B1340" s="1" t="s">
        <v>2709</v>
      </c>
      <c r="C1340" s="1" t="s">
        <v>2080</v>
      </c>
      <c r="D1340" s="1" t="s">
        <v>240</v>
      </c>
      <c r="E1340" s="1">
        <v>6200</v>
      </c>
      <c r="F1340" s="1">
        <v>40</v>
      </c>
      <c r="G1340" s="1" t="s">
        <v>2086</v>
      </c>
      <c r="H1340" s="234">
        <v>45.7</v>
      </c>
      <c r="I1340" s="235">
        <f t="shared" ref="I1340:I1350" si="107">F1340*H1340</f>
        <v>1828</v>
      </c>
      <c r="K1340" s="250">
        <f>42.5*40</f>
        <v>1700</v>
      </c>
      <c r="L1340" s="237">
        <v>41305</v>
      </c>
      <c r="M1340" s="1" t="s">
        <v>166</v>
      </c>
      <c r="N1340" s="235">
        <f t="shared" si="99"/>
        <v>1828</v>
      </c>
      <c r="O1340" s="235">
        <f t="shared" si="106"/>
        <v>0</v>
      </c>
      <c r="P1340" s="238" t="s">
        <v>4932</v>
      </c>
      <c r="Q1340" s="5" t="s">
        <v>1562</v>
      </c>
      <c r="R1340" s="239" t="s">
        <v>167</v>
      </c>
      <c r="S1340" s="238" t="s">
        <v>167</v>
      </c>
      <c r="T1340" s="238" t="s">
        <v>167</v>
      </c>
      <c r="U1340" s="238" t="s">
        <v>167</v>
      </c>
      <c r="V1340" s="238" t="s">
        <v>4988</v>
      </c>
      <c r="W1340" s="236">
        <v>34207</v>
      </c>
      <c r="X1340" s="233">
        <v>41309</v>
      </c>
      <c r="Y1340" s="238" t="s">
        <v>5295</v>
      </c>
      <c r="AB1340" s="1" t="s">
        <v>2527</v>
      </c>
    </row>
    <row r="1341" spans="1:28">
      <c r="A1341" s="233">
        <v>41305</v>
      </c>
      <c r="B1341" s="1" t="s">
        <v>2311</v>
      </c>
      <c r="C1341" s="1" t="s">
        <v>162</v>
      </c>
      <c r="D1341" s="1" t="s">
        <v>240</v>
      </c>
      <c r="E1341" s="1">
        <v>6200</v>
      </c>
      <c r="F1341" s="1">
        <v>10</v>
      </c>
      <c r="G1341" s="1" t="s">
        <v>170</v>
      </c>
      <c r="H1341" s="234">
        <v>45.7</v>
      </c>
      <c r="I1341" s="235">
        <f t="shared" si="107"/>
        <v>457</v>
      </c>
      <c r="K1341" s="250">
        <f>42.5*10</f>
        <v>425</v>
      </c>
      <c r="L1341" s="237">
        <v>41309</v>
      </c>
      <c r="M1341" s="1" t="s">
        <v>166</v>
      </c>
      <c r="N1341" s="235">
        <f t="shared" si="99"/>
        <v>457</v>
      </c>
      <c r="O1341" s="235">
        <f t="shared" si="106"/>
        <v>0</v>
      </c>
      <c r="P1341" s="238" t="s">
        <v>4932</v>
      </c>
      <c r="Q1341" s="5" t="s">
        <v>1562</v>
      </c>
      <c r="R1341" s="239" t="s">
        <v>167</v>
      </c>
      <c r="S1341" s="238" t="s">
        <v>167</v>
      </c>
      <c r="T1341" s="238" t="s">
        <v>167</v>
      </c>
      <c r="U1341" s="238" t="s">
        <v>167</v>
      </c>
      <c r="V1341" s="238" t="s">
        <v>4988</v>
      </c>
      <c r="W1341" s="236">
        <v>34207</v>
      </c>
      <c r="X1341" s="233">
        <v>41309</v>
      </c>
      <c r="Y1341" s="238" t="s">
        <v>5295</v>
      </c>
      <c r="AB1341" s="1" t="s">
        <v>1561</v>
      </c>
    </row>
    <row r="1342" spans="1:28">
      <c r="A1342" s="233">
        <v>41305</v>
      </c>
      <c r="B1342" s="1" t="s">
        <v>2709</v>
      </c>
      <c r="C1342" s="1" t="s">
        <v>2080</v>
      </c>
      <c r="D1342" s="225" t="s">
        <v>273</v>
      </c>
      <c r="E1342" s="1" t="s">
        <v>2110</v>
      </c>
      <c r="F1342" s="1">
        <v>170</v>
      </c>
      <c r="G1342" s="1" t="s">
        <v>2086</v>
      </c>
      <c r="H1342" s="234">
        <v>31.5</v>
      </c>
      <c r="I1342" s="235">
        <f t="shared" si="107"/>
        <v>5355</v>
      </c>
      <c r="K1342" s="250">
        <f>29*170</f>
        <v>4930</v>
      </c>
      <c r="L1342" s="237">
        <v>41305</v>
      </c>
      <c r="M1342" s="1" t="s">
        <v>166</v>
      </c>
      <c r="N1342" s="235">
        <f t="shared" si="99"/>
        <v>5355</v>
      </c>
      <c r="O1342" s="235">
        <f t="shared" si="106"/>
        <v>0</v>
      </c>
      <c r="P1342" s="238" t="s">
        <v>4932</v>
      </c>
      <c r="Q1342" s="5" t="s">
        <v>1562</v>
      </c>
      <c r="R1342" s="239" t="s">
        <v>167</v>
      </c>
      <c r="S1342" s="238" t="s">
        <v>167</v>
      </c>
      <c r="T1342" s="238" t="s">
        <v>167</v>
      </c>
      <c r="U1342" s="238" t="s">
        <v>167</v>
      </c>
      <c r="V1342" s="238" t="s">
        <v>4988</v>
      </c>
      <c r="W1342" s="236">
        <v>34207</v>
      </c>
      <c r="X1342" s="233">
        <v>41309</v>
      </c>
      <c r="Y1342" s="238" t="s">
        <v>5295</v>
      </c>
      <c r="AB1342" s="1" t="s">
        <v>2527</v>
      </c>
    </row>
    <row r="1343" spans="1:28">
      <c r="A1343" s="233">
        <v>41305</v>
      </c>
      <c r="B1343" s="1" t="s">
        <v>2709</v>
      </c>
      <c r="C1343" s="1" t="s">
        <v>2080</v>
      </c>
      <c r="D1343" s="1" t="s">
        <v>1218</v>
      </c>
      <c r="E1343" s="1">
        <v>6004</v>
      </c>
      <c r="F1343" s="1">
        <v>270</v>
      </c>
      <c r="G1343" s="1" t="s">
        <v>2086</v>
      </c>
      <c r="H1343" s="234">
        <v>43.1</v>
      </c>
      <c r="I1343" s="235">
        <f t="shared" si="107"/>
        <v>11637</v>
      </c>
      <c r="K1343" s="250">
        <f>40*270</f>
        <v>10800</v>
      </c>
      <c r="L1343" s="237">
        <v>41305</v>
      </c>
      <c r="M1343" s="1" t="s">
        <v>166</v>
      </c>
      <c r="N1343" s="235">
        <f t="shared" ref="N1343:N1406" si="108">I1343</f>
        <v>11637</v>
      </c>
      <c r="O1343" s="235">
        <f t="shared" si="106"/>
        <v>0</v>
      </c>
      <c r="P1343" s="238" t="s">
        <v>4932</v>
      </c>
      <c r="Q1343" s="5" t="s">
        <v>1562</v>
      </c>
      <c r="R1343" s="239" t="s">
        <v>167</v>
      </c>
      <c r="S1343" s="238" t="s">
        <v>167</v>
      </c>
      <c r="T1343" s="238" t="s">
        <v>167</v>
      </c>
      <c r="U1343" s="238" t="s">
        <v>167</v>
      </c>
      <c r="V1343" s="238" t="s">
        <v>4988</v>
      </c>
      <c r="W1343" s="236">
        <v>34207</v>
      </c>
      <c r="X1343" s="233">
        <v>41309</v>
      </c>
      <c r="Y1343" s="238" t="s">
        <v>5295</v>
      </c>
      <c r="AB1343" s="1" t="s">
        <v>2527</v>
      </c>
    </row>
    <row r="1344" spans="1:28">
      <c r="A1344" s="233">
        <v>41305</v>
      </c>
      <c r="B1344" s="1" t="s">
        <v>2709</v>
      </c>
      <c r="C1344" s="1" t="s">
        <v>2080</v>
      </c>
      <c r="D1344" s="5" t="s">
        <v>2009</v>
      </c>
      <c r="E1344" s="1" t="s">
        <v>2081</v>
      </c>
      <c r="F1344" s="1">
        <v>20</v>
      </c>
      <c r="G1344" s="1" t="s">
        <v>2398</v>
      </c>
      <c r="H1344" s="234">
        <v>30.5</v>
      </c>
      <c r="I1344" s="235">
        <f t="shared" si="107"/>
        <v>610</v>
      </c>
      <c r="K1344" s="250">
        <f>30.15*10+29.25*10</f>
        <v>594</v>
      </c>
      <c r="L1344" s="237">
        <v>41305</v>
      </c>
      <c r="M1344" s="1" t="s">
        <v>166</v>
      </c>
      <c r="N1344" s="235">
        <f t="shared" si="108"/>
        <v>610</v>
      </c>
      <c r="O1344" s="235">
        <f t="shared" si="106"/>
        <v>0</v>
      </c>
      <c r="P1344" s="238" t="s">
        <v>4932</v>
      </c>
      <c r="Q1344" s="5" t="s">
        <v>1562</v>
      </c>
      <c r="R1344" s="239" t="s">
        <v>167</v>
      </c>
      <c r="S1344" s="238" t="s">
        <v>167</v>
      </c>
      <c r="T1344" s="238" t="s">
        <v>167</v>
      </c>
      <c r="U1344" s="238" t="s">
        <v>167</v>
      </c>
      <c r="V1344" s="238" t="s">
        <v>4988</v>
      </c>
      <c r="W1344" s="236">
        <v>34207</v>
      </c>
      <c r="X1344" s="233">
        <v>41309</v>
      </c>
      <c r="Y1344" s="238" t="s">
        <v>5295</v>
      </c>
      <c r="AB1344" s="1" t="s">
        <v>2527</v>
      </c>
    </row>
    <row r="1345" spans="1:28">
      <c r="A1345" s="233">
        <v>41305</v>
      </c>
      <c r="B1345" s="1" t="s">
        <v>4919</v>
      </c>
      <c r="C1345" s="1" t="s">
        <v>188</v>
      </c>
      <c r="D1345" s="1" t="s">
        <v>4930</v>
      </c>
      <c r="E1345" s="1" t="s">
        <v>4920</v>
      </c>
      <c r="F1345" s="1">
        <v>5</v>
      </c>
      <c r="G1345" s="1" t="s">
        <v>172</v>
      </c>
      <c r="H1345" s="234">
        <v>190</v>
      </c>
      <c r="I1345" s="235">
        <f t="shared" si="107"/>
        <v>950</v>
      </c>
      <c r="K1345" s="250">
        <f>170*5</f>
        <v>850</v>
      </c>
      <c r="L1345" s="237">
        <v>41305</v>
      </c>
      <c r="M1345" s="1" t="s">
        <v>4921</v>
      </c>
      <c r="N1345" s="235">
        <f t="shared" si="108"/>
        <v>950</v>
      </c>
      <c r="O1345" s="235">
        <f t="shared" si="106"/>
        <v>0</v>
      </c>
      <c r="P1345" s="238" t="s">
        <v>4922</v>
      </c>
      <c r="Q1345" s="1" t="s">
        <v>4923</v>
      </c>
      <c r="R1345" s="239" t="s">
        <v>4924</v>
      </c>
      <c r="S1345" s="238" t="s">
        <v>4926</v>
      </c>
      <c r="T1345" s="238" t="s">
        <v>4925</v>
      </c>
      <c r="U1345" s="238" t="s">
        <v>4927</v>
      </c>
      <c r="AB1345" s="1" t="s">
        <v>1561</v>
      </c>
    </row>
    <row r="1346" spans="1:28">
      <c r="A1346" s="233">
        <v>41306</v>
      </c>
      <c r="B1346" s="1" t="s">
        <v>4934</v>
      </c>
      <c r="C1346" s="1" t="s">
        <v>162</v>
      </c>
      <c r="D1346" s="5" t="s">
        <v>182</v>
      </c>
      <c r="E1346" s="1" t="s">
        <v>186</v>
      </c>
      <c r="F1346" s="1">
        <v>2000</v>
      </c>
      <c r="G1346" s="1" t="s">
        <v>4935</v>
      </c>
      <c r="H1346" s="234">
        <v>2</v>
      </c>
      <c r="I1346" s="235">
        <f t="shared" si="107"/>
        <v>4000</v>
      </c>
      <c r="K1346" s="250">
        <f>1.54*2000</f>
        <v>3080</v>
      </c>
      <c r="N1346" s="235">
        <v>0</v>
      </c>
      <c r="O1346" s="235">
        <f t="shared" si="106"/>
        <v>4000</v>
      </c>
      <c r="P1346" s="238" t="s">
        <v>4945</v>
      </c>
      <c r="Q1346" s="1" t="s">
        <v>1571</v>
      </c>
      <c r="R1346" s="239" t="s">
        <v>167</v>
      </c>
      <c r="S1346" s="238" t="s">
        <v>167</v>
      </c>
      <c r="T1346" s="238" t="s">
        <v>5695</v>
      </c>
      <c r="U1346" s="238" t="s">
        <v>167</v>
      </c>
      <c r="V1346" s="238" t="s">
        <v>5694</v>
      </c>
      <c r="W1346" s="236">
        <v>8324</v>
      </c>
      <c r="X1346" s="233">
        <v>41354</v>
      </c>
      <c r="Y1346" s="238" t="s">
        <v>5696</v>
      </c>
      <c r="AB1346" s="1" t="s">
        <v>2064</v>
      </c>
    </row>
    <row r="1347" spans="1:28">
      <c r="A1347" s="233">
        <v>41306</v>
      </c>
      <c r="B1347" s="1" t="s">
        <v>4934</v>
      </c>
      <c r="C1347" s="1" t="s">
        <v>162</v>
      </c>
      <c r="D1347" s="5" t="s">
        <v>2012</v>
      </c>
      <c r="E1347" s="1" t="s">
        <v>4936</v>
      </c>
      <c r="F1347" s="1">
        <v>1000</v>
      </c>
      <c r="G1347" s="1" t="s">
        <v>4970</v>
      </c>
      <c r="H1347" s="234">
        <v>1.72</v>
      </c>
      <c r="I1347" s="235">
        <f t="shared" si="107"/>
        <v>1720</v>
      </c>
      <c r="K1347" s="250">
        <f>1.4*F1347</f>
        <v>1400</v>
      </c>
      <c r="N1347" s="235">
        <v>0</v>
      </c>
      <c r="O1347" s="235">
        <f t="shared" si="106"/>
        <v>1720</v>
      </c>
      <c r="P1347" s="238" t="s">
        <v>4945</v>
      </c>
      <c r="Q1347" s="1" t="s">
        <v>1571</v>
      </c>
      <c r="R1347" s="239" t="s">
        <v>167</v>
      </c>
      <c r="S1347" s="238" t="s">
        <v>167</v>
      </c>
      <c r="T1347" s="238" t="s">
        <v>5695</v>
      </c>
      <c r="U1347" s="238" t="s">
        <v>167</v>
      </c>
      <c r="V1347" s="238" t="s">
        <v>5694</v>
      </c>
      <c r="W1347" s="236">
        <v>8324</v>
      </c>
      <c r="X1347" s="233">
        <v>41354</v>
      </c>
      <c r="Y1347" s="238" t="s">
        <v>5696</v>
      </c>
      <c r="AB1347" s="1" t="s">
        <v>2064</v>
      </c>
    </row>
    <row r="1348" spans="1:28">
      <c r="A1348" s="233">
        <v>41306</v>
      </c>
      <c r="B1348" s="1" t="s">
        <v>4934</v>
      </c>
      <c r="C1348" s="1" t="s">
        <v>162</v>
      </c>
      <c r="D1348" s="1" t="s">
        <v>1210</v>
      </c>
      <c r="E1348" s="1">
        <v>3200</v>
      </c>
      <c r="F1348" s="1">
        <v>70</v>
      </c>
      <c r="G1348" s="1" t="s">
        <v>4937</v>
      </c>
      <c r="H1348" s="234">
        <v>30.5</v>
      </c>
      <c r="I1348" s="235">
        <f t="shared" si="107"/>
        <v>2135</v>
      </c>
      <c r="K1348" s="250">
        <f>20.89*70</f>
        <v>1462.3</v>
      </c>
      <c r="N1348" s="235">
        <v>0</v>
      </c>
      <c r="O1348" s="235">
        <f t="shared" si="106"/>
        <v>2135</v>
      </c>
      <c r="P1348" s="238" t="s">
        <v>4945</v>
      </c>
      <c r="Q1348" s="1" t="s">
        <v>1571</v>
      </c>
      <c r="R1348" s="239" t="s">
        <v>167</v>
      </c>
      <c r="S1348" s="238" t="s">
        <v>167</v>
      </c>
      <c r="T1348" s="238" t="s">
        <v>5695</v>
      </c>
      <c r="U1348" s="238" t="s">
        <v>167</v>
      </c>
      <c r="V1348" s="238" t="s">
        <v>5694</v>
      </c>
      <c r="W1348" s="236">
        <v>8324</v>
      </c>
      <c r="X1348" s="233">
        <v>41354</v>
      </c>
      <c r="Y1348" s="238" t="s">
        <v>5696</v>
      </c>
      <c r="AB1348" s="1" t="s">
        <v>2064</v>
      </c>
    </row>
    <row r="1349" spans="1:28">
      <c r="A1349" s="233">
        <v>41306</v>
      </c>
      <c r="B1349" s="1" t="s">
        <v>4934</v>
      </c>
      <c r="C1349" s="1" t="s">
        <v>162</v>
      </c>
      <c r="D1349" s="5" t="s">
        <v>346</v>
      </c>
      <c r="E1349" s="1">
        <v>3700</v>
      </c>
      <c r="F1349" s="1">
        <v>70</v>
      </c>
      <c r="G1349" s="1" t="s">
        <v>4937</v>
      </c>
      <c r="H1349" s="234">
        <v>4.7</v>
      </c>
      <c r="I1349" s="235">
        <f t="shared" si="107"/>
        <v>329</v>
      </c>
      <c r="K1349" s="250">
        <f>2.865*70</f>
        <v>200.55</v>
      </c>
      <c r="N1349" s="235">
        <v>0</v>
      </c>
      <c r="O1349" s="235">
        <f t="shared" si="106"/>
        <v>329</v>
      </c>
      <c r="P1349" s="238" t="s">
        <v>4945</v>
      </c>
      <c r="Q1349" s="1" t="s">
        <v>1571</v>
      </c>
      <c r="R1349" s="239" t="s">
        <v>167</v>
      </c>
      <c r="S1349" s="238" t="s">
        <v>167</v>
      </c>
      <c r="T1349" s="238" t="s">
        <v>5695</v>
      </c>
      <c r="U1349" s="238" t="s">
        <v>167</v>
      </c>
      <c r="V1349" s="238" t="s">
        <v>5694</v>
      </c>
      <c r="W1349" s="236">
        <v>8324</v>
      </c>
      <c r="X1349" s="233">
        <v>41354</v>
      </c>
      <c r="Y1349" s="238" t="s">
        <v>5696</v>
      </c>
      <c r="AB1349" s="1" t="s">
        <v>2064</v>
      </c>
    </row>
    <row r="1350" spans="1:28">
      <c r="A1350" s="233">
        <v>41306</v>
      </c>
      <c r="B1350" s="1" t="s">
        <v>4934</v>
      </c>
      <c r="C1350" s="1" t="s">
        <v>162</v>
      </c>
      <c r="D1350" s="5" t="s">
        <v>182</v>
      </c>
      <c r="E1350" s="1" t="s">
        <v>186</v>
      </c>
      <c r="F1350" s="1">
        <v>70</v>
      </c>
      <c r="G1350" s="1" t="s">
        <v>4935</v>
      </c>
      <c r="H1350" s="234">
        <v>2</v>
      </c>
      <c r="I1350" s="235">
        <f t="shared" si="107"/>
        <v>140</v>
      </c>
      <c r="K1350" s="250">
        <f>1.54*70</f>
        <v>107.8</v>
      </c>
      <c r="N1350" s="235">
        <v>0</v>
      </c>
      <c r="O1350" s="235">
        <f t="shared" si="106"/>
        <v>140</v>
      </c>
      <c r="P1350" s="238" t="s">
        <v>4945</v>
      </c>
      <c r="Q1350" s="1" t="s">
        <v>1571</v>
      </c>
      <c r="R1350" s="239" t="s">
        <v>167</v>
      </c>
      <c r="S1350" s="238" t="s">
        <v>167</v>
      </c>
      <c r="T1350" s="238" t="s">
        <v>5695</v>
      </c>
      <c r="U1350" s="238" t="s">
        <v>167</v>
      </c>
      <c r="V1350" s="238" t="s">
        <v>5694</v>
      </c>
      <c r="W1350" s="236">
        <v>8324</v>
      </c>
      <c r="X1350" s="233">
        <v>41354</v>
      </c>
      <c r="Y1350" s="238" t="s">
        <v>5696</v>
      </c>
      <c r="AB1350" s="1" t="s">
        <v>2064</v>
      </c>
    </row>
    <row r="1351" spans="1:28">
      <c r="A1351" s="233">
        <v>41306</v>
      </c>
      <c r="B1351" s="1" t="s">
        <v>2174</v>
      </c>
      <c r="C1351" s="1" t="s">
        <v>162</v>
      </c>
      <c r="D1351" s="1" t="s">
        <v>1749</v>
      </c>
      <c r="E1351" s="1">
        <v>1621</v>
      </c>
      <c r="F1351" s="1">
        <v>5</v>
      </c>
      <c r="G1351" s="1" t="s">
        <v>4939</v>
      </c>
      <c r="H1351" s="234">
        <v>14</v>
      </c>
      <c r="I1351" s="235">
        <f t="shared" ref="I1351:I1364" si="109">F1351*H1351</f>
        <v>70</v>
      </c>
      <c r="K1351" s="250">
        <f>8.84*5</f>
        <v>44.2</v>
      </c>
      <c r="L1351" s="237">
        <v>41306</v>
      </c>
      <c r="M1351" s="1" t="s">
        <v>4949</v>
      </c>
      <c r="N1351" s="235">
        <f t="shared" si="108"/>
        <v>70</v>
      </c>
      <c r="O1351" s="235">
        <f t="shared" ref="O1351:O1414" si="110">I1351-N1351</f>
        <v>0</v>
      </c>
      <c r="P1351" s="238" t="s">
        <v>4940</v>
      </c>
      <c r="Q1351" s="1" t="s">
        <v>2505</v>
      </c>
      <c r="R1351" s="239" t="s">
        <v>2176</v>
      </c>
      <c r="S1351" s="238" t="s">
        <v>2177</v>
      </c>
      <c r="T1351" s="238" t="s">
        <v>3533</v>
      </c>
      <c r="U1351" s="238" t="s">
        <v>167</v>
      </c>
      <c r="V1351" s="246" t="s">
        <v>175</v>
      </c>
      <c r="W1351" s="236" t="s">
        <v>167</v>
      </c>
      <c r="X1351" s="233" t="s">
        <v>167</v>
      </c>
      <c r="Y1351" s="238" t="s">
        <v>167</v>
      </c>
      <c r="AB1351" s="5" t="s">
        <v>1561</v>
      </c>
    </row>
    <row r="1352" spans="1:28">
      <c r="A1352" s="233">
        <v>41306</v>
      </c>
      <c r="B1352" s="1" t="s">
        <v>2174</v>
      </c>
      <c r="C1352" s="1" t="s">
        <v>162</v>
      </c>
      <c r="D1352" s="297" t="s">
        <v>1869</v>
      </c>
      <c r="E1352" s="1">
        <v>501</v>
      </c>
      <c r="F1352" s="1">
        <v>20</v>
      </c>
      <c r="G1352" s="1" t="s">
        <v>4937</v>
      </c>
      <c r="H1352" s="234">
        <v>1.49</v>
      </c>
      <c r="I1352" s="235">
        <f t="shared" si="109"/>
        <v>29.8</v>
      </c>
      <c r="K1352" s="250">
        <f>1.39*20</f>
        <v>27.799999999999997</v>
      </c>
      <c r="L1352" s="237">
        <v>41306</v>
      </c>
      <c r="M1352" s="1" t="s">
        <v>4949</v>
      </c>
      <c r="N1352" s="235">
        <f t="shared" si="108"/>
        <v>29.8</v>
      </c>
      <c r="O1352" s="235">
        <f t="shared" si="110"/>
        <v>0</v>
      </c>
      <c r="P1352" s="238" t="s">
        <v>4940</v>
      </c>
      <c r="Q1352" s="1" t="s">
        <v>2505</v>
      </c>
      <c r="R1352" s="239" t="s">
        <v>2176</v>
      </c>
      <c r="S1352" s="238" t="s">
        <v>2177</v>
      </c>
      <c r="T1352" s="238" t="s">
        <v>3533</v>
      </c>
      <c r="U1352" s="238" t="s">
        <v>167</v>
      </c>
      <c r="V1352" s="246" t="s">
        <v>175</v>
      </c>
      <c r="W1352" s="236" t="s">
        <v>167</v>
      </c>
      <c r="X1352" s="233" t="s">
        <v>167</v>
      </c>
      <c r="Y1352" s="238" t="s">
        <v>167</v>
      </c>
      <c r="AB1352" s="5" t="s">
        <v>1561</v>
      </c>
    </row>
    <row r="1353" spans="1:28">
      <c r="A1353" s="233">
        <v>41306</v>
      </c>
      <c r="B1353" s="1" t="s">
        <v>2174</v>
      </c>
      <c r="C1353" s="1" t="s">
        <v>162</v>
      </c>
      <c r="D1353" s="5" t="s">
        <v>1882</v>
      </c>
      <c r="E1353" s="1" t="s">
        <v>145</v>
      </c>
      <c r="F1353" s="1">
        <v>20</v>
      </c>
      <c r="G1353" s="1" t="s">
        <v>4937</v>
      </c>
      <c r="H1353" s="234">
        <v>19.850000000000001</v>
      </c>
      <c r="I1353" s="235">
        <f t="shared" si="109"/>
        <v>397</v>
      </c>
      <c r="K1353" s="250">
        <f>17.2*14+16.5*6</f>
        <v>339.79999999999995</v>
      </c>
      <c r="L1353" s="237">
        <v>41306</v>
      </c>
      <c r="M1353" s="1" t="s">
        <v>4949</v>
      </c>
      <c r="N1353" s="235">
        <f t="shared" si="108"/>
        <v>397</v>
      </c>
      <c r="O1353" s="235">
        <f t="shared" si="110"/>
        <v>0</v>
      </c>
      <c r="P1353" s="238" t="s">
        <v>4940</v>
      </c>
      <c r="Q1353" s="1" t="s">
        <v>2505</v>
      </c>
      <c r="R1353" s="239" t="s">
        <v>2176</v>
      </c>
      <c r="S1353" s="238" t="s">
        <v>2177</v>
      </c>
      <c r="T1353" s="238" t="s">
        <v>3533</v>
      </c>
      <c r="U1353" s="238" t="s">
        <v>167</v>
      </c>
      <c r="V1353" s="246" t="s">
        <v>175</v>
      </c>
      <c r="W1353" s="236" t="s">
        <v>167</v>
      </c>
      <c r="X1353" s="233" t="s">
        <v>167</v>
      </c>
      <c r="Y1353" s="238" t="s">
        <v>167</v>
      </c>
      <c r="AB1353" s="5" t="s">
        <v>1561</v>
      </c>
    </row>
    <row r="1354" spans="1:28">
      <c r="A1354" s="233">
        <v>41306</v>
      </c>
      <c r="B1354" s="1" t="s">
        <v>2174</v>
      </c>
      <c r="C1354" s="1" t="s">
        <v>162</v>
      </c>
      <c r="D1354" s="5" t="s">
        <v>182</v>
      </c>
      <c r="E1354" s="1" t="s">
        <v>4938</v>
      </c>
      <c r="F1354" s="1">
        <v>2</v>
      </c>
      <c r="G1354" s="1" t="s">
        <v>4935</v>
      </c>
      <c r="H1354" s="234">
        <v>6.46</v>
      </c>
      <c r="I1354" s="235">
        <f t="shared" si="109"/>
        <v>12.92</v>
      </c>
      <c r="K1354" s="250">
        <f>4.75*2</f>
        <v>9.5</v>
      </c>
      <c r="L1354" s="237">
        <v>41306</v>
      </c>
      <c r="M1354" s="1" t="s">
        <v>4949</v>
      </c>
      <c r="N1354" s="235">
        <f t="shared" si="108"/>
        <v>12.92</v>
      </c>
      <c r="O1354" s="235">
        <f t="shared" si="110"/>
        <v>0</v>
      </c>
      <c r="P1354" s="238" t="s">
        <v>4940</v>
      </c>
      <c r="Q1354" s="1" t="s">
        <v>2505</v>
      </c>
      <c r="R1354" s="239" t="s">
        <v>2176</v>
      </c>
      <c r="S1354" s="238" t="s">
        <v>2177</v>
      </c>
      <c r="T1354" s="238" t="s">
        <v>3533</v>
      </c>
      <c r="U1354" s="238" t="s">
        <v>167</v>
      </c>
      <c r="V1354" s="246" t="s">
        <v>175</v>
      </c>
      <c r="W1354" s="236" t="s">
        <v>167</v>
      </c>
      <c r="X1354" s="233" t="s">
        <v>167</v>
      </c>
      <c r="Y1354" s="238" t="s">
        <v>167</v>
      </c>
      <c r="AB1354" s="5" t="s">
        <v>1561</v>
      </c>
    </row>
    <row r="1355" spans="1:28">
      <c r="A1355" s="233">
        <v>41306</v>
      </c>
      <c r="B1355" s="1" t="s">
        <v>2174</v>
      </c>
      <c r="C1355" s="1" t="s">
        <v>162</v>
      </c>
      <c r="D1355" s="1" t="s">
        <v>1711</v>
      </c>
      <c r="E1355" s="1">
        <v>8210</v>
      </c>
      <c r="F1355" s="1">
        <v>50</v>
      </c>
      <c r="G1355" s="1" t="s">
        <v>4937</v>
      </c>
      <c r="H1355" s="234">
        <v>4.5</v>
      </c>
      <c r="I1355" s="235">
        <f t="shared" si="109"/>
        <v>225</v>
      </c>
      <c r="K1355" s="250">
        <f>3.36*50</f>
        <v>168</v>
      </c>
      <c r="L1355" s="237">
        <v>41306</v>
      </c>
      <c r="M1355" s="1" t="s">
        <v>4949</v>
      </c>
      <c r="N1355" s="235">
        <f t="shared" si="108"/>
        <v>225</v>
      </c>
      <c r="O1355" s="235">
        <f t="shared" si="110"/>
        <v>0</v>
      </c>
      <c r="P1355" s="238" t="s">
        <v>4940</v>
      </c>
      <c r="Q1355" s="1" t="s">
        <v>2505</v>
      </c>
      <c r="R1355" s="239" t="s">
        <v>2176</v>
      </c>
      <c r="S1355" s="238" t="s">
        <v>2177</v>
      </c>
      <c r="T1355" s="238" t="s">
        <v>3533</v>
      </c>
      <c r="U1355" s="238" t="s">
        <v>167</v>
      </c>
      <c r="V1355" s="246" t="s">
        <v>175</v>
      </c>
      <c r="W1355" s="236" t="s">
        <v>167</v>
      </c>
      <c r="X1355" s="233" t="s">
        <v>167</v>
      </c>
      <c r="Y1355" s="238" t="s">
        <v>167</v>
      </c>
      <c r="AB1355" s="5" t="s">
        <v>1561</v>
      </c>
    </row>
    <row r="1356" spans="1:28">
      <c r="A1356" s="233">
        <v>41306</v>
      </c>
      <c r="B1356" s="1" t="s">
        <v>2174</v>
      </c>
      <c r="C1356" s="1" t="s">
        <v>162</v>
      </c>
      <c r="D1356" s="5" t="s">
        <v>182</v>
      </c>
      <c r="E1356" s="1" t="s">
        <v>4938</v>
      </c>
      <c r="F1356" s="1">
        <v>18</v>
      </c>
      <c r="G1356" s="1" t="s">
        <v>4935</v>
      </c>
      <c r="H1356" s="234">
        <v>6.46</v>
      </c>
      <c r="I1356" s="235">
        <f t="shared" si="109"/>
        <v>116.28</v>
      </c>
      <c r="K1356" s="250">
        <f>4.75*18</f>
        <v>85.5</v>
      </c>
      <c r="L1356" s="237">
        <v>41306</v>
      </c>
      <c r="M1356" s="1" t="s">
        <v>4949</v>
      </c>
      <c r="N1356" s="235">
        <f t="shared" si="108"/>
        <v>116.28</v>
      </c>
      <c r="O1356" s="235">
        <f t="shared" si="110"/>
        <v>0</v>
      </c>
      <c r="P1356" s="238" t="s">
        <v>4948</v>
      </c>
      <c r="Q1356" s="1" t="s">
        <v>2505</v>
      </c>
      <c r="R1356" s="239" t="s">
        <v>2176</v>
      </c>
      <c r="S1356" s="238" t="s">
        <v>2177</v>
      </c>
      <c r="T1356" s="238" t="s">
        <v>3533</v>
      </c>
      <c r="U1356" s="238" t="s">
        <v>167</v>
      </c>
      <c r="V1356" s="246" t="s">
        <v>175</v>
      </c>
      <c r="W1356" s="236" t="s">
        <v>167</v>
      </c>
      <c r="X1356" s="233" t="s">
        <v>167</v>
      </c>
      <c r="Y1356" s="238" t="s">
        <v>167</v>
      </c>
      <c r="AB1356" s="5" t="s">
        <v>1561</v>
      </c>
    </row>
    <row r="1357" spans="1:28">
      <c r="A1357" s="233">
        <v>41306</v>
      </c>
      <c r="B1357" s="1" t="s">
        <v>5030</v>
      </c>
      <c r="C1357" s="1" t="s">
        <v>162</v>
      </c>
      <c r="D1357" s="5" t="s">
        <v>854</v>
      </c>
      <c r="E1357" s="1">
        <v>9032</v>
      </c>
      <c r="F1357" s="1">
        <v>100</v>
      </c>
      <c r="G1357" s="1" t="s">
        <v>170</v>
      </c>
      <c r="H1357" s="234">
        <v>2</v>
      </c>
      <c r="I1357" s="235">
        <f t="shared" si="109"/>
        <v>200</v>
      </c>
      <c r="K1357" s="250">
        <f>1.4929*100</f>
        <v>149.29</v>
      </c>
      <c r="L1357" s="237">
        <v>41306</v>
      </c>
      <c r="M1357" s="1" t="s">
        <v>4949</v>
      </c>
      <c r="N1357" s="235">
        <f t="shared" si="108"/>
        <v>200</v>
      </c>
      <c r="O1357" s="235">
        <f t="shared" si="110"/>
        <v>0</v>
      </c>
      <c r="P1357" s="238" t="s">
        <v>4957</v>
      </c>
      <c r="Q1357" s="1" t="s">
        <v>4958</v>
      </c>
      <c r="R1357" s="239" t="s">
        <v>4933</v>
      </c>
      <c r="S1357" s="238" t="s">
        <v>4960</v>
      </c>
      <c r="T1357" s="238" t="s">
        <v>4933</v>
      </c>
      <c r="U1357" s="238" t="s">
        <v>4933</v>
      </c>
      <c r="V1357" s="238" t="s">
        <v>4933</v>
      </c>
      <c r="W1357" s="236" t="s">
        <v>4933</v>
      </c>
      <c r="X1357" s="233" t="s">
        <v>4933</v>
      </c>
      <c r="Y1357" s="238" t="s">
        <v>4933</v>
      </c>
      <c r="AB1357" s="5" t="s">
        <v>1561</v>
      </c>
    </row>
    <row r="1358" spans="1:28">
      <c r="A1358" s="233">
        <v>41306</v>
      </c>
      <c r="B1358" s="1" t="s">
        <v>4950</v>
      </c>
      <c r="C1358" s="1" t="s">
        <v>162</v>
      </c>
      <c r="D1358" s="5" t="s">
        <v>854</v>
      </c>
      <c r="E1358" s="1">
        <v>9032</v>
      </c>
      <c r="F1358" s="1">
        <v>100</v>
      </c>
      <c r="G1358" s="1" t="s">
        <v>170</v>
      </c>
      <c r="H1358" s="234">
        <v>2.2000000000000002</v>
      </c>
      <c r="I1358" s="235">
        <f t="shared" si="109"/>
        <v>220.00000000000003</v>
      </c>
      <c r="K1358" s="250">
        <f>1.4929*100</f>
        <v>149.29</v>
      </c>
      <c r="L1358" s="237">
        <v>41306</v>
      </c>
      <c r="M1358" s="1" t="s">
        <v>4952</v>
      </c>
      <c r="N1358" s="235">
        <f t="shared" si="108"/>
        <v>220.00000000000003</v>
      </c>
      <c r="O1358" s="235">
        <f t="shared" si="110"/>
        <v>0</v>
      </c>
      <c r="P1358" s="238" t="s">
        <v>4953</v>
      </c>
      <c r="Q1358" s="1" t="s">
        <v>4954</v>
      </c>
      <c r="R1358" s="239" t="s">
        <v>4955</v>
      </c>
      <c r="S1358" s="238" t="s">
        <v>4956</v>
      </c>
      <c r="T1358" s="238" t="s">
        <v>4933</v>
      </c>
      <c r="U1358" s="238" t="s">
        <v>4933</v>
      </c>
      <c r="V1358" s="238" t="s">
        <v>4933</v>
      </c>
      <c r="W1358" s="236" t="s">
        <v>4933</v>
      </c>
      <c r="X1358" s="233" t="s">
        <v>4933</v>
      </c>
      <c r="Y1358" s="238" t="s">
        <v>4933</v>
      </c>
      <c r="AB1358" s="1" t="s">
        <v>2064</v>
      </c>
    </row>
    <row r="1359" spans="1:28">
      <c r="A1359" s="233">
        <v>41306</v>
      </c>
      <c r="B1359" s="1" t="s">
        <v>4950</v>
      </c>
      <c r="C1359" s="1" t="s">
        <v>162</v>
      </c>
      <c r="D1359" s="1" t="s">
        <v>4951</v>
      </c>
      <c r="E1359" s="1">
        <v>11356</v>
      </c>
      <c r="F1359" s="1">
        <v>3</v>
      </c>
      <c r="G1359" s="1" t="s">
        <v>4939</v>
      </c>
      <c r="H1359" s="234">
        <v>150</v>
      </c>
      <c r="I1359" s="235">
        <f t="shared" si="109"/>
        <v>450</v>
      </c>
      <c r="K1359" s="282">
        <v>0</v>
      </c>
      <c r="L1359" s="237">
        <v>41306</v>
      </c>
      <c r="M1359" s="1" t="s">
        <v>4952</v>
      </c>
      <c r="N1359" s="235">
        <f t="shared" si="108"/>
        <v>450</v>
      </c>
      <c r="O1359" s="235">
        <f t="shared" si="110"/>
        <v>0</v>
      </c>
      <c r="P1359" s="238" t="s">
        <v>4953</v>
      </c>
      <c r="Q1359" s="1" t="s">
        <v>4954</v>
      </c>
      <c r="R1359" s="239" t="s">
        <v>4955</v>
      </c>
      <c r="S1359" s="238" t="s">
        <v>4956</v>
      </c>
      <c r="T1359" s="238" t="s">
        <v>4933</v>
      </c>
      <c r="U1359" s="238" t="s">
        <v>4933</v>
      </c>
      <c r="V1359" s="238" t="s">
        <v>4933</v>
      </c>
      <c r="W1359" s="236" t="s">
        <v>4933</v>
      </c>
      <c r="X1359" s="233" t="s">
        <v>4933</v>
      </c>
      <c r="Y1359" s="238" t="s">
        <v>4933</v>
      </c>
      <c r="Z1359" s="255" t="s">
        <v>4959</v>
      </c>
      <c r="AB1359" s="1" t="s">
        <v>2064</v>
      </c>
    </row>
    <row r="1360" spans="1:28">
      <c r="A1360" s="233">
        <v>41309</v>
      </c>
      <c r="B1360" s="1" t="s">
        <v>4972</v>
      </c>
      <c r="C1360" s="1" t="s">
        <v>162</v>
      </c>
      <c r="D1360" s="5" t="s">
        <v>2009</v>
      </c>
      <c r="E1360" s="1" t="s">
        <v>4973</v>
      </c>
      <c r="F1360" s="1">
        <v>60</v>
      </c>
      <c r="G1360" s="1" t="s">
        <v>172</v>
      </c>
      <c r="H1360" s="234">
        <v>31</v>
      </c>
      <c r="I1360" s="235">
        <f t="shared" si="109"/>
        <v>1860</v>
      </c>
      <c r="K1360" s="250">
        <f>29.3*60</f>
        <v>1758</v>
      </c>
      <c r="L1360" s="237">
        <v>41306</v>
      </c>
      <c r="M1360" s="1" t="s">
        <v>166</v>
      </c>
      <c r="N1360" s="235">
        <f t="shared" si="108"/>
        <v>1860</v>
      </c>
      <c r="O1360" s="235">
        <f t="shared" si="110"/>
        <v>0</v>
      </c>
      <c r="P1360" s="238" t="s">
        <v>4981</v>
      </c>
      <c r="Q1360" s="1" t="s">
        <v>4982</v>
      </c>
      <c r="R1360" s="239" t="s">
        <v>4983</v>
      </c>
      <c r="S1360" s="238" t="s">
        <v>4985</v>
      </c>
      <c r="T1360" s="238" t="s">
        <v>4984</v>
      </c>
      <c r="U1360" s="238" t="s">
        <v>4986</v>
      </c>
      <c r="V1360" s="238" t="s">
        <v>5264</v>
      </c>
      <c r="W1360" s="236">
        <v>1860</v>
      </c>
      <c r="X1360" s="233">
        <v>41332</v>
      </c>
      <c r="Y1360" s="238" t="s">
        <v>5265</v>
      </c>
      <c r="AB1360" s="5" t="s">
        <v>1561</v>
      </c>
    </row>
    <row r="1361" spans="1:28">
      <c r="A1361" s="233">
        <v>41310</v>
      </c>
      <c r="B1361" s="1" t="s">
        <v>4696</v>
      </c>
      <c r="C1361" s="1" t="s">
        <v>188</v>
      </c>
      <c r="D1361" s="301" t="s">
        <v>4978</v>
      </c>
      <c r="E1361" s="1" t="s">
        <v>4989</v>
      </c>
      <c r="F1361" s="1">
        <v>100</v>
      </c>
      <c r="G1361" s="1" t="s">
        <v>4991</v>
      </c>
      <c r="H1361" s="234">
        <v>14.5</v>
      </c>
      <c r="I1361" s="235">
        <f t="shared" si="109"/>
        <v>1450</v>
      </c>
      <c r="K1361" s="250">
        <f>13.39*F1361</f>
        <v>1339</v>
      </c>
      <c r="L1361" s="237">
        <v>41331</v>
      </c>
      <c r="M1361" s="1" t="s">
        <v>166</v>
      </c>
      <c r="N1361" s="235">
        <f t="shared" si="108"/>
        <v>1450</v>
      </c>
      <c r="O1361" s="235">
        <f t="shared" si="110"/>
        <v>0</v>
      </c>
      <c r="P1361" s="238" t="s">
        <v>4992</v>
      </c>
      <c r="Q1361" s="5" t="s">
        <v>1562</v>
      </c>
      <c r="R1361" s="239" t="s">
        <v>167</v>
      </c>
      <c r="S1361" s="238" t="s">
        <v>167</v>
      </c>
      <c r="T1361" s="238" t="s">
        <v>167</v>
      </c>
      <c r="U1361" s="238" t="s">
        <v>167</v>
      </c>
      <c r="V1361" s="238" t="s">
        <v>5266</v>
      </c>
      <c r="W1361" s="236">
        <v>10793</v>
      </c>
      <c r="X1361" s="233">
        <v>41332</v>
      </c>
      <c r="Y1361" s="238" t="s">
        <v>5250</v>
      </c>
      <c r="AB1361" s="5" t="s">
        <v>1561</v>
      </c>
    </row>
    <row r="1362" spans="1:28">
      <c r="A1362" s="233">
        <v>41310</v>
      </c>
      <c r="B1362" s="1" t="s">
        <v>4696</v>
      </c>
      <c r="C1362" s="1" t="s">
        <v>7</v>
      </c>
      <c r="D1362" s="301" t="s">
        <v>4977</v>
      </c>
      <c r="E1362" s="1" t="s">
        <v>4990</v>
      </c>
      <c r="F1362" s="1">
        <v>4800</v>
      </c>
      <c r="G1362" s="1" t="s">
        <v>4991</v>
      </c>
      <c r="H1362" s="234">
        <v>1.42</v>
      </c>
      <c r="I1362" s="235">
        <f t="shared" si="109"/>
        <v>6816</v>
      </c>
      <c r="K1362" s="250">
        <f>1.32*F1362</f>
        <v>6336</v>
      </c>
      <c r="L1362" s="237">
        <v>41331</v>
      </c>
      <c r="M1362" s="1" t="s">
        <v>166</v>
      </c>
      <c r="N1362" s="235">
        <f t="shared" si="108"/>
        <v>6816</v>
      </c>
      <c r="O1362" s="235">
        <f t="shared" si="110"/>
        <v>0</v>
      </c>
      <c r="P1362" s="238" t="s">
        <v>4992</v>
      </c>
      <c r="Q1362" s="5" t="s">
        <v>1562</v>
      </c>
      <c r="R1362" s="239" t="s">
        <v>167</v>
      </c>
      <c r="S1362" s="238" t="s">
        <v>167</v>
      </c>
      <c r="T1362" s="238" t="s">
        <v>167</v>
      </c>
      <c r="U1362" s="238" t="s">
        <v>167</v>
      </c>
      <c r="V1362" s="238" t="s">
        <v>5266</v>
      </c>
      <c r="W1362" s="236">
        <v>10793</v>
      </c>
      <c r="X1362" s="233">
        <v>41332</v>
      </c>
      <c r="Y1362" s="238" t="s">
        <v>5250</v>
      </c>
      <c r="AB1362" s="5" t="s">
        <v>1561</v>
      </c>
    </row>
    <row r="1363" spans="1:28">
      <c r="A1363" s="233">
        <v>41310</v>
      </c>
      <c r="B1363" s="1" t="s">
        <v>2174</v>
      </c>
      <c r="C1363" s="1" t="s">
        <v>861</v>
      </c>
      <c r="D1363" s="301" t="s">
        <v>1043</v>
      </c>
      <c r="E1363" s="95" t="s">
        <v>1067</v>
      </c>
      <c r="F1363" s="1">
        <v>5</v>
      </c>
      <c r="G1363" s="1" t="s">
        <v>4993</v>
      </c>
      <c r="H1363" s="234">
        <v>245</v>
      </c>
      <c r="I1363" s="235">
        <f t="shared" si="109"/>
        <v>1225</v>
      </c>
      <c r="K1363" s="250">
        <f>221*F1363</f>
        <v>1105</v>
      </c>
      <c r="L1363" s="237">
        <v>41310</v>
      </c>
      <c r="M1363" s="1" t="s">
        <v>4995</v>
      </c>
      <c r="N1363" s="235">
        <f t="shared" si="108"/>
        <v>1225</v>
      </c>
      <c r="O1363" s="235">
        <f t="shared" si="110"/>
        <v>0</v>
      </c>
      <c r="P1363" s="238" t="s">
        <v>4996</v>
      </c>
      <c r="Q1363" s="1" t="s">
        <v>2505</v>
      </c>
      <c r="R1363" s="239" t="s">
        <v>2176</v>
      </c>
      <c r="S1363" s="238" t="s">
        <v>2177</v>
      </c>
      <c r="T1363" s="238" t="s">
        <v>3533</v>
      </c>
      <c r="U1363" s="238" t="s">
        <v>167</v>
      </c>
      <c r="V1363" s="246" t="s">
        <v>175</v>
      </c>
      <c r="W1363" s="236" t="s">
        <v>167</v>
      </c>
      <c r="X1363" s="233" t="s">
        <v>167</v>
      </c>
      <c r="Y1363" s="238" t="s">
        <v>167</v>
      </c>
      <c r="AB1363" s="5" t="s">
        <v>1561</v>
      </c>
    </row>
    <row r="1364" spans="1:28">
      <c r="A1364" s="233">
        <v>41310</v>
      </c>
      <c r="B1364" s="1" t="s">
        <v>2174</v>
      </c>
      <c r="C1364" s="1" t="s">
        <v>162</v>
      </c>
      <c r="D1364" s="301" t="s">
        <v>1891</v>
      </c>
      <c r="E1364" s="1" t="s">
        <v>4994</v>
      </c>
      <c r="F1364" s="1">
        <v>22</v>
      </c>
      <c r="G1364" s="1" t="s">
        <v>192</v>
      </c>
      <c r="H1364" s="234">
        <v>113</v>
      </c>
      <c r="I1364" s="235">
        <f t="shared" si="109"/>
        <v>2486</v>
      </c>
      <c r="K1364" s="250">
        <f>111.72*F1364</f>
        <v>2457.84</v>
      </c>
      <c r="L1364" s="237">
        <v>41310</v>
      </c>
      <c r="M1364" s="1" t="s">
        <v>4995</v>
      </c>
      <c r="N1364" s="235">
        <f t="shared" si="108"/>
        <v>2486</v>
      </c>
      <c r="O1364" s="235">
        <f t="shared" si="110"/>
        <v>0</v>
      </c>
      <c r="P1364" s="238" t="s">
        <v>4996</v>
      </c>
      <c r="Q1364" s="1" t="s">
        <v>2505</v>
      </c>
      <c r="R1364" s="239" t="s">
        <v>2176</v>
      </c>
      <c r="S1364" s="238" t="s">
        <v>2177</v>
      </c>
      <c r="T1364" s="238" t="s">
        <v>3533</v>
      </c>
      <c r="U1364" s="238" t="s">
        <v>167</v>
      </c>
      <c r="V1364" s="246" t="s">
        <v>175</v>
      </c>
      <c r="W1364" s="236" t="s">
        <v>167</v>
      </c>
      <c r="X1364" s="233" t="s">
        <v>167</v>
      </c>
      <c r="Y1364" s="238" t="s">
        <v>167</v>
      </c>
      <c r="AB1364" s="5" t="s">
        <v>1561</v>
      </c>
    </row>
    <row r="1365" spans="1:28">
      <c r="A1365" s="233">
        <v>41323</v>
      </c>
      <c r="B1365" s="1" t="s">
        <v>4696</v>
      </c>
      <c r="C1365" s="1" t="s">
        <v>162</v>
      </c>
      <c r="D1365" s="1" t="s">
        <v>5031</v>
      </c>
      <c r="E1365" s="1">
        <v>85078</v>
      </c>
      <c r="F1365" s="1">
        <v>10</v>
      </c>
      <c r="G1365" s="1" t="s">
        <v>170</v>
      </c>
      <c r="H1365" s="234">
        <v>28.2</v>
      </c>
      <c r="I1365" s="235">
        <f t="shared" ref="I1365:I1379" si="111">F1365*H1365</f>
        <v>282</v>
      </c>
      <c r="K1365" s="250">
        <f>27*10</f>
        <v>270</v>
      </c>
      <c r="L1365" s="237">
        <v>41331</v>
      </c>
      <c r="M1365" s="1" t="s">
        <v>166</v>
      </c>
      <c r="N1365" s="235">
        <f t="shared" si="108"/>
        <v>282</v>
      </c>
      <c r="O1365" s="235">
        <f t="shared" si="110"/>
        <v>0</v>
      </c>
      <c r="P1365" s="238" t="s">
        <v>5033</v>
      </c>
      <c r="Q1365" s="5" t="s">
        <v>1562</v>
      </c>
      <c r="R1365" s="239" t="s">
        <v>167</v>
      </c>
      <c r="S1365" s="238" t="s">
        <v>167</v>
      </c>
      <c r="T1365" s="238" t="s">
        <v>167</v>
      </c>
      <c r="U1365" s="238" t="s">
        <v>167</v>
      </c>
      <c r="V1365" s="238" t="s">
        <v>5266</v>
      </c>
      <c r="W1365" s="236">
        <v>10793</v>
      </c>
      <c r="X1365" s="233">
        <v>41332</v>
      </c>
      <c r="Y1365" s="238" t="s">
        <v>5250</v>
      </c>
      <c r="AB1365" s="5" t="s">
        <v>1561</v>
      </c>
    </row>
    <row r="1366" spans="1:28">
      <c r="A1366" s="233">
        <v>41323</v>
      </c>
      <c r="B1366" s="1" t="s">
        <v>2311</v>
      </c>
      <c r="C1366" s="1" t="s">
        <v>162</v>
      </c>
      <c r="D1366" s="5" t="s">
        <v>2012</v>
      </c>
      <c r="E1366" s="1" t="s">
        <v>180</v>
      </c>
      <c r="F1366" s="1">
        <v>600</v>
      </c>
      <c r="G1366" s="1" t="s">
        <v>4970</v>
      </c>
      <c r="H1366" s="234">
        <v>1.65</v>
      </c>
      <c r="I1366" s="235">
        <f t="shared" si="111"/>
        <v>990</v>
      </c>
      <c r="K1366" s="250">
        <f>1.4*F1366</f>
        <v>840</v>
      </c>
      <c r="L1366" s="237">
        <v>41309</v>
      </c>
      <c r="M1366" s="1" t="s">
        <v>166</v>
      </c>
      <c r="N1366" s="235">
        <f t="shared" si="108"/>
        <v>990</v>
      </c>
      <c r="O1366" s="235">
        <f t="shared" si="110"/>
        <v>0</v>
      </c>
      <c r="P1366" s="238" t="s">
        <v>4971</v>
      </c>
      <c r="Q1366" s="5" t="s">
        <v>1562</v>
      </c>
      <c r="R1366" s="239" t="s">
        <v>167</v>
      </c>
      <c r="S1366" s="238" t="s">
        <v>167</v>
      </c>
      <c r="T1366" s="238" t="s">
        <v>167</v>
      </c>
      <c r="U1366" s="238" t="s">
        <v>167</v>
      </c>
      <c r="V1366" s="238" t="s">
        <v>5267</v>
      </c>
      <c r="W1366" s="236">
        <v>1920</v>
      </c>
      <c r="X1366" s="233">
        <v>41332</v>
      </c>
      <c r="Y1366" s="238" t="s">
        <v>5299</v>
      </c>
      <c r="AB1366" s="5" t="s">
        <v>1561</v>
      </c>
    </row>
    <row r="1367" spans="1:28">
      <c r="A1367" s="233">
        <v>41323</v>
      </c>
      <c r="B1367" s="1" t="s">
        <v>2311</v>
      </c>
      <c r="C1367" s="1" t="s">
        <v>162</v>
      </c>
      <c r="D1367" s="1" t="s">
        <v>1210</v>
      </c>
      <c r="E1367" s="1">
        <v>3200</v>
      </c>
      <c r="F1367" s="1">
        <v>10</v>
      </c>
      <c r="G1367" s="1" t="s">
        <v>170</v>
      </c>
      <c r="H1367" s="234">
        <v>26.81</v>
      </c>
      <c r="I1367" s="235">
        <f t="shared" si="111"/>
        <v>268.09999999999997</v>
      </c>
      <c r="K1367" s="250">
        <f>23.94*10</f>
        <v>239.4</v>
      </c>
      <c r="L1367" s="237">
        <v>41334</v>
      </c>
      <c r="M1367" s="1" t="s">
        <v>166</v>
      </c>
      <c r="N1367" s="235">
        <f t="shared" si="108"/>
        <v>268.09999999999997</v>
      </c>
      <c r="O1367" s="235">
        <f t="shared" si="110"/>
        <v>0</v>
      </c>
      <c r="P1367" s="238" t="s">
        <v>5045</v>
      </c>
      <c r="Q1367" s="5" t="s">
        <v>1562</v>
      </c>
      <c r="R1367" s="239" t="s">
        <v>167</v>
      </c>
      <c r="S1367" s="238" t="s">
        <v>167</v>
      </c>
      <c r="T1367" s="238" t="s">
        <v>167</v>
      </c>
      <c r="U1367" s="238" t="s">
        <v>167</v>
      </c>
      <c r="V1367" s="238" t="s">
        <v>5267</v>
      </c>
      <c r="W1367" s="236">
        <v>1920</v>
      </c>
      <c r="X1367" s="233">
        <v>41332</v>
      </c>
      <c r="Y1367" s="238" t="s">
        <v>5299</v>
      </c>
      <c r="AB1367" s="5" t="s">
        <v>1561</v>
      </c>
    </row>
    <row r="1368" spans="1:28">
      <c r="A1368" s="233">
        <v>41323</v>
      </c>
      <c r="B1368" s="1" t="s">
        <v>2311</v>
      </c>
      <c r="C1368" s="1" t="s">
        <v>162</v>
      </c>
      <c r="D1368" s="5" t="s">
        <v>346</v>
      </c>
      <c r="E1368" s="1">
        <v>3700</v>
      </c>
      <c r="F1368" s="1">
        <v>10</v>
      </c>
      <c r="G1368" s="1" t="s">
        <v>170</v>
      </c>
      <c r="H1368" s="234">
        <v>3.46</v>
      </c>
      <c r="I1368" s="235">
        <f t="shared" si="111"/>
        <v>34.6</v>
      </c>
      <c r="K1368" s="250">
        <f>3.3*10</f>
        <v>33</v>
      </c>
      <c r="L1368" s="237">
        <v>41334</v>
      </c>
      <c r="M1368" s="1" t="s">
        <v>166</v>
      </c>
      <c r="N1368" s="235">
        <f t="shared" si="108"/>
        <v>34.6</v>
      </c>
      <c r="O1368" s="235">
        <f t="shared" si="110"/>
        <v>0</v>
      </c>
      <c r="P1368" s="238" t="s">
        <v>5045</v>
      </c>
      <c r="Q1368" s="5" t="s">
        <v>1562</v>
      </c>
      <c r="R1368" s="239" t="s">
        <v>167</v>
      </c>
      <c r="S1368" s="238" t="s">
        <v>167</v>
      </c>
      <c r="T1368" s="238" t="s">
        <v>167</v>
      </c>
      <c r="U1368" s="238" t="s">
        <v>167</v>
      </c>
      <c r="V1368" s="238" t="s">
        <v>5267</v>
      </c>
      <c r="W1368" s="236">
        <v>1920</v>
      </c>
      <c r="X1368" s="233">
        <v>41332</v>
      </c>
      <c r="Y1368" s="238" t="s">
        <v>5299</v>
      </c>
      <c r="AB1368" s="5" t="s">
        <v>1561</v>
      </c>
    </row>
    <row r="1369" spans="1:28">
      <c r="A1369" s="233">
        <v>41323</v>
      </c>
      <c r="B1369" s="1" t="s">
        <v>2311</v>
      </c>
      <c r="C1369" s="1" t="s">
        <v>162</v>
      </c>
      <c r="D1369" s="5" t="s">
        <v>182</v>
      </c>
      <c r="E1369" s="1" t="s">
        <v>5043</v>
      </c>
      <c r="F1369" s="1">
        <v>10</v>
      </c>
      <c r="G1369" s="1" t="s">
        <v>5044</v>
      </c>
      <c r="H1369" s="234">
        <v>1.73</v>
      </c>
      <c r="I1369" s="235">
        <f t="shared" si="111"/>
        <v>17.3</v>
      </c>
      <c r="K1369" s="250">
        <f>1.54*10</f>
        <v>15.4</v>
      </c>
      <c r="L1369" s="237">
        <v>41334</v>
      </c>
      <c r="M1369" s="1" t="s">
        <v>166</v>
      </c>
      <c r="N1369" s="235">
        <f t="shared" si="108"/>
        <v>17.3</v>
      </c>
      <c r="O1369" s="235">
        <f t="shared" si="110"/>
        <v>0</v>
      </c>
      <c r="P1369" s="238" t="s">
        <v>5045</v>
      </c>
      <c r="Q1369" s="5" t="s">
        <v>1562</v>
      </c>
      <c r="R1369" s="239" t="s">
        <v>167</v>
      </c>
      <c r="S1369" s="238" t="s">
        <v>167</v>
      </c>
      <c r="T1369" s="238" t="s">
        <v>167</v>
      </c>
      <c r="U1369" s="238" t="s">
        <v>167</v>
      </c>
      <c r="V1369" s="238" t="s">
        <v>5267</v>
      </c>
      <c r="W1369" s="236">
        <v>1920</v>
      </c>
      <c r="X1369" s="233">
        <v>41332</v>
      </c>
      <c r="Y1369" s="238" t="s">
        <v>5299</v>
      </c>
      <c r="AB1369" s="5" t="s">
        <v>1561</v>
      </c>
    </row>
    <row r="1370" spans="1:28">
      <c r="A1370" s="233">
        <v>41324</v>
      </c>
      <c r="B1370" s="1" t="s">
        <v>3053</v>
      </c>
      <c r="C1370" s="1" t="s">
        <v>162</v>
      </c>
      <c r="D1370" s="5" t="s">
        <v>307</v>
      </c>
      <c r="E1370" s="1">
        <v>1110</v>
      </c>
      <c r="F1370" s="1">
        <v>50</v>
      </c>
      <c r="G1370" s="1" t="s">
        <v>5118</v>
      </c>
      <c r="H1370" s="234">
        <v>0.86</v>
      </c>
      <c r="I1370" s="235">
        <f t="shared" si="111"/>
        <v>43</v>
      </c>
      <c r="K1370" s="250">
        <f>0.72*50</f>
        <v>36</v>
      </c>
      <c r="L1370" s="237">
        <v>41324</v>
      </c>
      <c r="M1370" s="1" t="s">
        <v>5121</v>
      </c>
      <c r="N1370" s="235">
        <f t="shared" si="108"/>
        <v>43</v>
      </c>
      <c r="O1370" s="235">
        <f t="shared" si="110"/>
        <v>0</v>
      </c>
      <c r="P1370" s="238" t="s">
        <v>5066</v>
      </c>
      <c r="Q1370" s="5" t="s">
        <v>1562</v>
      </c>
      <c r="R1370" s="239" t="s">
        <v>167</v>
      </c>
      <c r="S1370" s="238" t="s">
        <v>167</v>
      </c>
      <c r="T1370" s="238" t="s">
        <v>167</v>
      </c>
      <c r="U1370" s="238" t="s">
        <v>167</v>
      </c>
      <c r="AB1370" s="5" t="s">
        <v>1561</v>
      </c>
    </row>
    <row r="1371" spans="1:28">
      <c r="A1371" s="233">
        <v>41324</v>
      </c>
      <c r="B1371" s="1" t="s">
        <v>3053</v>
      </c>
      <c r="C1371" s="1" t="s">
        <v>162</v>
      </c>
      <c r="D1371" s="5" t="s">
        <v>2012</v>
      </c>
      <c r="E1371" s="1" t="s">
        <v>5064</v>
      </c>
      <c r="F1371" s="1">
        <v>30</v>
      </c>
      <c r="G1371" s="1" t="s">
        <v>5119</v>
      </c>
      <c r="H1371" s="234">
        <v>1.8</v>
      </c>
      <c r="I1371" s="235">
        <f t="shared" si="111"/>
        <v>54</v>
      </c>
      <c r="K1371" s="250">
        <f>1.4*30</f>
        <v>42</v>
      </c>
      <c r="L1371" s="237">
        <v>41324</v>
      </c>
      <c r="M1371" s="1" t="s">
        <v>5121</v>
      </c>
      <c r="N1371" s="235">
        <f t="shared" si="108"/>
        <v>54</v>
      </c>
      <c r="O1371" s="235">
        <f t="shared" si="110"/>
        <v>0</v>
      </c>
      <c r="P1371" s="238" t="s">
        <v>5066</v>
      </c>
      <c r="Q1371" s="5" t="s">
        <v>1562</v>
      </c>
      <c r="R1371" s="239" t="s">
        <v>167</v>
      </c>
      <c r="S1371" s="238" t="s">
        <v>167</v>
      </c>
      <c r="T1371" s="238" t="s">
        <v>167</v>
      </c>
      <c r="U1371" s="238" t="s">
        <v>167</v>
      </c>
      <c r="AB1371" s="5" t="s">
        <v>1561</v>
      </c>
    </row>
    <row r="1372" spans="1:28">
      <c r="A1372" s="233">
        <v>41324</v>
      </c>
      <c r="B1372" s="1" t="s">
        <v>5117</v>
      </c>
      <c r="C1372" s="1" t="s">
        <v>162</v>
      </c>
      <c r="D1372" s="5" t="s">
        <v>4427</v>
      </c>
      <c r="E1372" s="1" t="s">
        <v>5053</v>
      </c>
      <c r="F1372" s="1">
        <v>1</v>
      </c>
      <c r="G1372" s="1" t="s">
        <v>5054</v>
      </c>
      <c r="H1372" s="234">
        <v>50</v>
      </c>
      <c r="I1372" s="235">
        <f>F1372*H1372</f>
        <v>50</v>
      </c>
      <c r="K1372" s="250">
        <v>33.110999999999997</v>
      </c>
      <c r="L1372" s="237">
        <v>41323</v>
      </c>
      <c r="M1372" s="1" t="s">
        <v>165</v>
      </c>
      <c r="N1372" s="235">
        <f t="shared" si="108"/>
        <v>50</v>
      </c>
      <c r="O1372" s="235">
        <f t="shared" si="110"/>
        <v>0</v>
      </c>
      <c r="P1372" s="238" t="s">
        <v>5055</v>
      </c>
      <c r="Q1372" s="5" t="s">
        <v>4839</v>
      </c>
      <c r="R1372" s="239" t="s">
        <v>5056</v>
      </c>
      <c r="S1372" s="238" t="s">
        <v>5057</v>
      </c>
      <c r="T1372" s="238" t="s">
        <v>5058</v>
      </c>
      <c r="U1372" s="238" t="s">
        <v>5059</v>
      </c>
      <c r="V1372" s="238" t="s">
        <v>5060</v>
      </c>
      <c r="W1372" s="236" t="s">
        <v>167</v>
      </c>
      <c r="X1372" s="233" t="s">
        <v>167</v>
      </c>
      <c r="Y1372" s="238" t="s">
        <v>167</v>
      </c>
      <c r="AB1372" s="5" t="s">
        <v>1561</v>
      </c>
    </row>
    <row r="1373" spans="1:28">
      <c r="A1373" s="233">
        <v>41324</v>
      </c>
      <c r="B1373" s="1" t="s">
        <v>5117</v>
      </c>
      <c r="C1373" s="1" t="s">
        <v>162</v>
      </c>
      <c r="D1373" s="5" t="s">
        <v>2013</v>
      </c>
      <c r="E1373" s="1" t="s">
        <v>1560</v>
      </c>
      <c r="F1373" s="1">
        <v>-1</v>
      </c>
      <c r="G1373" s="1" t="s">
        <v>192</v>
      </c>
      <c r="H1373" s="234">
        <v>50</v>
      </c>
      <c r="I1373" s="235">
        <f>F1373*H1373</f>
        <v>-50</v>
      </c>
      <c r="K1373" s="250">
        <v>-33.110999999999997</v>
      </c>
      <c r="L1373" s="237" t="s">
        <v>5171</v>
      </c>
      <c r="M1373" s="1" t="s">
        <v>5171</v>
      </c>
      <c r="N1373" s="235">
        <f t="shared" si="108"/>
        <v>-50</v>
      </c>
      <c r="O1373" s="235">
        <f t="shared" si="110"/>
        <v>0</v>
      </c>
      <c r="P1373" s="238" t="s">
        <v>5171</v>
      </c>
      <c r="Q1373" s="5" t="s">
        <v>5173</v>
      </c>
      <c r="R1373" s="5" t="s">
        <v>5173</v>
      </c>
      <c r="S1373" s="5" t="s">
        <v>5173</v>
      </c>
      <c r="T1373" s="5" t="s">
        <v>5173</v>
      </c>
      <c r="U1373" s="5" t="s">
        <v>5173</v>
      </c>
      <c r="V1373" s="5" t="s">
        <v>5173</v>
      </c>
      <c r="W1373" s="5" t="s">
        <v>5173</v>
      </c>
      <c r="X1373" s="5" t="s">
        <v>5173</v>
      </c>
      <c r="Y1373" s="5" t="s">
        <v>5173</v>
      </c>
      <c r="AB1373" s="5" t="s">
        <v>1561</v>
      </c>
    </row>
    <row r="1374" spans="1:28">
      <c r="A1374" s="233">
        <v>41324</v>
      </c>
      <c r="B1374" s="1" t="s">
        <v>2174</v>
      </c>
      <c r="C1374" s="1" t="s">
        <v>162</v>
      </c>
      <c r="D1374" s="65" t="s">
        <v>1566</v>
      </c>
      <c r="E1374" s="1" t="s">
        <v>4946</v>
      </c>
      <c r="F1374" s="1">
        <v>4</v>
      </c>
      <c r="G1374" s="1" t="s">
        <v>4947</v>
      </c>
      <c r="H1374" s="234">
        <v>46.27</v>
      </c>
      <c r="I1374" s="235">
        <f>F1374*H1374</f>
        <v>185.08</v>
      </c>
      <c r="K1374" s="250">
        <f>42.939*4</f>
        <v>171.756</v>
      </c>
      <c r="L1374" s="237">
        <v>41330</v>
      </c>
      <c r="M1374" s="1" t="s">
        <v>5297</v>
      </c>
      <c r="N1374" s="235">
        <f t="shared" si="108"/>
        <v>185.08</v>
      </c>
      <c r="O1374" s="235">
        <f t="shared" si="110"/>
        <v>0</v>
      </c>
      <c r="P1374" s="238" t="s">
        <v>5065</v>
      </c>
      <c r="Q1374" s="1" t="s">
        <v>2505</v>
      </c>
      <c r="R1374" s="239" t="s">
        <v>2176</v>
      </c>
      <c r="S1374" s="238" t="s">
        <v>2177</v>
      </c>
      <c r="T1374" s="238" t="s">
        <v>3533</v>
      </c>
      <c r="U1374" s="238" t="s">
        <v>167</v>
      </c>
      <c r="V1374" s="246" t="s">
        <v>175</v>
      </c>
      <c r="W1374" s="236" t="s">
        <v>167</v>
      </c>
      <c r="X1374" s="233" t="s">
        <v>167</v>
      </c>
      <c r="Y1374" s="238" t="s">
        <v>167</v>
      </c>
      <c r="AB1374" s="5" t="s">
        <v>1561</v>
      </c>
    </row>
    <row r="1375" spans="1:28">
      <c r="A1375" s="233">
        <v>41324</v>
      </c>
      <c r="B1375" s="228" t="s">
        <v>1488</v>
      </c>
      <c r="C1375" s="1" t="s">
        <v>7</v>
      </c>
      <c r="D1375" s="95" t="s">
        <v>5008</v>
      </c>
      <c r="E1375" s="1" t="s">
        <v>4998</v>
      </c>
      <c r="F1375" s="1">
        <v>144</v>
      </c>
      <c r="G1375" s="1" t="s">
        <v>5000</v>
      </c>
      <c r="H1375" s="234">
        <v>11</v>
      </c>
      <c r="I1375" s="235">
        <f t="shared" si="111"/>
        <v>1584</v>
      </c>
      <c r="K1375" s="250">
        <f>10*144</f>
        <v>1440</v>
      </c>
      <c r="L1375" s="237">
        <v>41322</v>
      </c>
      <c r="M1375" s="1" t="s">
        <v>166</v>
      </c>
      <c r="N1375" s="235">
        <f t="shared" si="108"/>
        <v>1584</v>
      </c>
      <c r="O1375" s="235">
        <f t="shared" si="110"/>
        <v>0</v>
      </c>
      <c r="P1375" s="238" t="s">
        <v>5003</v>
      </c>
      <c r="Q1375" s="1" t="s">
        <v>5092</v>
      </c>
      <c r="R1375" s="239" t="s">
        <v>4326</v>
      </c>
      <c r="S1375" s="238" t="s">
        <v>4327</v>
      </c>
      <c r="T1375" s="238" t="s">
        <v>1471</v>
      </c>
      <c r="U1375" s="238" t="s">
        <v>6069</v>
      </c>
      <c r="V1375" s="238" t="s">
        <v>5268</v>
      </c>
      <c r="W1375" s="236">
        <v>7268</v>
      </c>
      <c r="X1375" s="233">
        <v>41332</v>
      </c>
      <c r="Y1375" s="238" t="s">
        <v>5269</v>
      </c>
      <c r="AB1375" s="1" t="s">
        <v>1561</v>
      </c>
    </row>
    <row r="1376" spans="1:28">
      <c r="A1376" s="233">
        <v>41324</v>
      </c>
      <c r="B1376" s="228" t="s">
        <v>1488</v>
      </c>
      <c r="C1376" s="1" t="s">
        <v>162</v>
      </c>
      <c r="D1376" s="1" t="s">
        <v>5048</v>
      </c>
      <c r="E1376" s="1">
        <v>8210</v>
      </c>
      <c r="F1376" s="1">
        <v>200</v>
      </c>
      <c r="G1376" s="1" t="s">
        <v>5001</v>
      </c>
      <c r="H1376" s="234">
        <v>4.5999999999999996</v>
      </c>
      <c r="I1376" s="235">
        <f t="shared" si="111"/>
        <v>919.99999999999989</v>
      </c>
      <c r="K1376" s="250">
        <f>3.63*130+4.45*70</f>
        <v>783.4</v>
      </c>
      <c r="L1376" s="237">
        <v>41322</v>
      </c>
      <c r="M1376" s="1" t="s">
        <v>166</v>
      </c>
      <c r="N1376" s="235">
        <f t="shared" si="108"/>
        <v>919.99999999999989</v>
      </c>
      <c r="O1376" s="235">
        <f t="shared" si="110"/>
        <v>0</v>
      </c>
      <c r="P1376" s="238" t="s">
        <v>5003</v>
      </c>
      <c r="Q1376" s="1" t="s">
        <v>5092</v>
      </c>
      <c r="R1376" s="239" t="s">
        <v>4326</v>
      </c>
      <c r="S1376" s="238" t="s">
        <v>4327</v>
      </c>
      <c r="T1376" s="238" t="s">
        <v>1471</v>
      </c>
      <c r="U1376" s="238" t="s">
        <v>6069</v>
      </c>
      <c r="V1376" s="238" t="s">
        <v>5268</v>
      </c>
      <c r="W1376" s="236">
        <v>7268</v>
      </c>
      <c r="X1376" s="233">
        <v>41332</v>
      </c>
      <c r="Y1376" s="238" t="s">
        <v>5269</v>
      </c>
      <c r="AB1376" s="1" t="s">
        <v>1561</v>
      </c>
    </row>
    <row r="1377" spans="1:28">
      <c r="A1377" s="233">
        <v>41324</v>
      </c>
      <c r="B1377" s="228" t="s">
        <v>1488</v>
      </c>
      <c r="C1377" s="1" t="s">
        <v>162</v>
      </c>
      <c r="D1377" s="5" t="s">
        <v>2012</v>
      </c>
      <c r="E1377" s="1" t="s">
        <v>4999</v>
      </c>
      <c r="F1377" s="1">
        <v>1500</v>
      </c>
      <c r="G1377" s="1" t="s">
        <v>5001</v>
      </c>
      <c r="H1377" s="234">
        <v>1.7</v>
      </c>
      <c r="I1377" s="235">
        <f t="shared" si="111"/>
        <v>2550</v>
      </c>
      <c r="K1377" s="250">
        <f>1.4*1000+1.55*500</f>
        <v>2175</v>
      </c>
      <c r="L1377" s="237">
        <v>41322</v>
      </c>
      <c r="M1377" s="1" t="s">
        <v>166</v>
      </c>
      <c r="N1377" s="235">
        <f t="shared" si="108"/>
        <v>2550</v>
      </c>
      <c r="O1377" s="235">
        <f t="shared" si="110"/>
        <v>0</v>
      </c>
      <c r="P1377" s="238" t="s">
        <v>5003</v>
      </c>
      <c r="Q1377" s="1" t="s">
        <v>5092</v>
      </c>
      <c r="R1377" s="239" t="s">
        <v>4326</v>
      </c>
      <c r="S1377" s="238" t="s">
        <v>4327</v>
      </c>
      <c r="T1377" s="238" t="s">
        <v>1471</v>
      </c>
      <c r="U1377" s="238" t="s">
        <v>6069</v>
      </c>
      <c r="V1377" s="238" t="s">
        <v>5268</v>
      </c>
      <c r="W1377" s="236">
        <v>7268</v>
      </c>
      <c r="X1377" s="233">
        <v>41332</v>
      </c>
      <c r="Y1377" s="238" t="s">
        <v>5269</v>
      </c>
      <c r="AB1377" s="1" t="s">
        <v>1561</v>
      </c>
    </row>
    <row r="1378" spans="1:28">
      <c r="A1378" s="233">
        <v>41324</v>
      </c>
      <c r="B1378" s="228" t="s">
        <v>1488</v>
      </c>
      <c r="C1378" s="1" t="s">
        <v>7</v>
      </c>
      <c r="D1378" s="95" t="s">
        <v>5008</v>
      </c>
      <c r="E1378" s="1" t="s">
        <v>855</v>
      </c>
      <c r="F1378" s="1">
        <v>144</v>
      </c>
      <c r="G1378" s="1" t="s">
        <v>827</v>
      </c>
      <c r="H1378" s="234">
        <v>11</v>
      </c>
      <c r="I1378" s="235">
        <f t="shared" si="111"/>
        <v>1584</v>
      </c>
      <c r="K1378" s="250">
        <f>10*144</f>
        <v>1440</v>
      </c>
      <c r="L1378" s="237">
        <v>41324</v>
      </c>
      <c r="M1378" s="1" t="s">
        <v>166</v>
      </c>
      <c r="N1378" s="235">
        <f t="shared" si="108"/>
        <v>1584</v>
      </c>
      <c r="O1378" s="235">
        <f t="shared" si="110"/>
        <v>0</v>
      </c>
      <c r="P1378" s="238" t="s">
        <v>5078</v>
      </c>
      <c r="Q1378" s="1" t="s">
        <v>5092</v>
      </c>
      <c r="R1378" s="239" t="s">
        <v>4326</v>
      </c>
      <c r="S1378" s="238" t="s">
        <v>4327</v>
      </c>
      <c r="T1378" s="238" t="s">
        <v>1471</v>
      </c>
      <c r="U1378" s="238" t="s">
        <v>6069</v>
      </c>
      <c r="V1378" s="238" t="s">
        <v>5268</v>
      </c>
      <c r="W1378" s="236">
        <v>7268</v>
      </c>
      <c r="X1378" s="233">
        <v>41332</v>
      </c>
      <c r="Y1378" s="238" t="s">
        <v>5269</v>
      </c>
      <c r="AB1378" s="1" t="s">
        <v>1561</v>
      </c>
    </row>
    <row r="1379" spans="1:28">
      <c r="A1379" s="233">
        <v>41324</v>
      </c>
      <c r="B1379" s="228" t="s">
        <v>1488</v>
      </c>
      <c r="C1379" s="1" t="s">
        <v>162</v>
      </c>
      <c r="D1379" s="5" t="s">
        <v>5069</v>
      </c>
      <c r="E1379" s="1" t="s">
        <v>5068</v>
      </c>
      <c r="F1379" s="1">
        <v>50</v>
      </c>
      <c r="G1379" s="1" t="s">
        <v>5063</v>
      </c>
      <c r="H1379" s="234">
        <v>12.6</v>
      </c>
      <c r="I1379" s="235">
        <f t="shared" si="111"/>
        <v>630</v>
      </c>
      <c r="K1379" s="282">
        <f>11.7*8+42*12.06</f>
        <v>600.12</v>
      </c>
      <c r="L1379" s="237">
        <v>41324</v>
      </c>
      <c r="M1379" s="1" t="s">
        <v>166</v>
      </c>
      <c r="N1379" s="235">
        <f t="shared" si="108"/>
        <v>630</v>
      </c>
      <c r="O1379" s="235">
        <f t="shared" si="110"/>
        <v>0</v>
      </c>
      <c r="P1379" s="238" t="s">
        <v>5078</v>
      </c>
      <c r="Q1379" s="1" t="s">
        <v>5092</v>
      </c>
      <c r="R1379" s="239" t="s">
        <v>4326</v>
      </c>
      <c r="S1379" s="238" t="s">
        <v>4327</v>
      </c>
      <c r="T1379" s="238" t="s">
        <v>1471</v>
      </c>
      <c r="U1379" s="238" t="s">
        <v>6069</v>
      </c>
      <c r="V1379" s="238" t="s">
        <v>5268</v>
      </c>
      <c r="W1379" s="236">
        <v>7268</v>
      </c>
      <c r="X1379" s="233">
        <v>41332</v>
      </c>
      <c r="Y1379" s="238" t="s">
        <v>5269</v>
      </c>
      <c r="Z1379" s="255" t="s">
        <v>5070</v>
      </c>
      <c r="AB1379" s="1" t="s">
        <v>1561</v>
      </c>
    </row>
    <row r="1380" spans="1:28">
      <c r="A1380" s="233">
        <v>41324</v>
      </c>
      <c r="B1380" s="1" t="s">
        <v>2463</v>
      </c>
      <c r="C1380" s="1" t="s">
        <v>162</v>
      </c>
      <c r="D1380" s="1" t="s">
        <v>1213</v>
      </c>
      <c r="E1380" s="1" t="s">
        <v>5038</v>
      </c>
      <c r="F1380" s="1">
        <v>50</v>
      </c>
      <c r="G1380" s="1" t="s">
        <v>5039</v>
      </c>
      <c r="H1380" s="234">
        <v>14.47</v>
      </c>
      <c r="I1380" s="235">
        <f>F1380*H1380</f>
        <v>723.5</v>
      </c>
      <c r="K1380" s="250">
        <f>12.6*50</f>
        <v>630</v>
      </c>
      <c r="L1380" s="237">
        <v>41323</v>
      </c>
      <c r="M1380" s="1" t="s">
        <v>5049</v>
      </c>
      <c r="N1380" s="235">
        <f t="shared" si="108"/>
        <v>723.5</v>
      </c>
      <c r="O1380" s="235">
        <f t="shared" si="110"/>
        <v>0</v>
      </c>
      <c r="P1380" s="238" t="s">
        <v>5067</v>
      </c>
      <c r="Q1380" s="1" t="s">
        <v>5091</v>
      </c>
      <c r="R1380" s="239" t="s">
        <v>2467</v>
      </c>
      <c r="S1380" s="238" t="s">
        <v>733</v>
      </c>
      <c r="T1380" s="238" t="s">
        <v>734</v>
      </c>
      <c r="V1380" s="238" t="s">
        <v>5742</v>
      </c>
      <c r="W1380" s="236">
        <v>1247.5</v>
      </c>
      <c r="X1380" s="233">
        <v>41347</v>
      </c>
      <c r="Y1380" s="238" t="s">
        <v>5743</v>
      </c>
      <c r="AA1380" s="334" t="s">
        <v>5586</v>
      </c>
      <c r="AB1380" s="1" t="s">
        <v>1561</v>
      </c>
    </row>
    <row r="1381" spans="1:28">
      <c r="A1381" s="233">
        <v>41324</v>
      </c>
      <c r="B1381" s="1" t="s">
        <v>2463</v>
      </c>
      <c r="C1381" s="1" t="s">
        <v>162</v>
      </c>
      <c r="D1381" s="1" t="s">
        <v>1186</v>
      </c>
      <c r="E1381" s="1">
        <v>8247</v>
      </c>
      <c r="F1381" s="1">
        <v>40</v>
      </c>
      <c r="G1381" s="1" t="s">
        <v>5040</v>
      </c>
      <c r="H1381" s="234">
        <v>13.1</v>
      </c>
      <c r="I1381" s="235">
        <f>F1381*H1381</f>
        <v>524</v>
      </c>
      <c r="K1381" s="250">
        <f>12.35*40</f>
        <v>494</v>
      </c>
      <c r="L1381" s="237">
        <v>41323</v>
      </c>
      <c r="M1381" s="1" t="s">
        <v>5049</v>
      </c>
      <c r="N1381" s="235">
        <f t="shared" si="108"/>
        <v>524</v>
      </c>
      <c r="O1381" s="235">
        <f t="shared" si="110"/>
        <v>0</v>
      </c>
      <c r="P1381" s="238" t="s">
        <v>5067</v>
      </c>
      <c r="Q1381" s="1" t="s">
        <v>5091</v>
      </c>
      <c r="R1381" s="239" t="s">
        <v>2467</v>
      </c>
      <c r="S1381" s="238" t="s">
        <v>733</v>
      </c>
      <c r="T1381" s="238" t="s">
        <v>734</v>
      </c>
      <c r="V1381" s="238" t="s">
        <v>5742</v>
      </c>
      <c r="W1381" s="236">
        <v>1247.5</v>
      </c>
      <c r="X1381" s="233">
        <v>41347</v>
      </c>
      <c r="Y1381" s="238" t="s">
        <v>5743</v>
      </c>
      <c r="AA1381" s="334" t="s">
        <v>5586</v>
      </c>
      <c r="AB1381" s="1" t="s">
        <v>1561</v>
      </c>
    </row>
    <row r="1382" spans="1:28">
      <c r="A1382" s="233">
        <v>41325</v>
      </c>
      <c r="B1382" s="1" t="s">
        <v>5082</v>
      </c>
      <c r="C1382" s="1" t="s">
        <v>162</v>
      </c>
      <c r="D1382" s="1" t="s">
        <v>1186</v>
      </c>
      <c r="E1382" s="1">
        <v>8247</v>
      </c>
      <c r="F1382" s="1">
        <v>3</v>
      </c>
      <c r="G1382" s="1" t="s">
        <v>170</v>
      </c>
      <c r="H1382" s="234">
        <v>20</v>
      </c>
      <c r="I1382" s="235">
        <f>F1382*H1382</f>
        <v>60</v>
      </c>
      <c r="K1382" s="250">
        <f>12.35*3</f>
        <v>37.049999999999997</v>
      </c>
      <c r="L1382" s="237">
        <v>41325</v>
      </c>
      <c r="M1382" s="1" t="s">
        <v>5084</v>
      </c>
      <c r="N1382" s="235">
        <f t="shared" si="108"/>
        <v>60</v>
      </c>
      <c r="O1382" s="235">
        <f t="shared" si="110"/>
        <v>0</v>
      </c>
      <c r="P1382" s="238" t="s">
        <v>5085</v>
      </c>
      <c r="Q1382" s="1" t="s">
        <v>5086</v>
      </c>
      <c r="R1382" s="239" t="s">
        <v>5087</v>
      </c>
      <c r="S1382" s="238" t="s">
        <v>5088</v>
      </c>
      <c r="T1382" s="238" t="s">
        <v>5080</v>
      </c>
      <c r="U1382" s="238" t="s">
        <v>5080</v>
      </c>
      <c r="V1382" s="238" t="s">
        <v>5089</v>
      </c>
      <c r="W1382" s="236" t="s">
        <v>5080</v>
      </c>
      <c r="X1382" s="233" t="s">
        <v>5080</v>
      </c>
      <c r="Y1382" s="238" t="s">
        <v>5080</v>
      </c>
      <c r="AB1382" s="1" t="s">
        <v>2064</v>
      </c>
    </row>
    <row r="1383" spans="1:28">
      <c r="A1383" s="233">
        <v>41325</v>
      </c>
      <c r="B1383" s="1" t="s">
        <v>5082</v>
      </c>
      <c r="C1383" s="1" t="s">
        <v>162</v>
      </c>
      <c r="D1383" s="1" t="s">
        <v>854</v>
      </c>
      <c r="E1383" s="1">
        <v>9031</v>
      </c>
      <c r="F1383" s="1">
        <v>2</v>
      </c>
      <c r="G1383" s="1" t="s">
        <v>170</v>
      </c>
      <c r="H1383" s="234">
        <v>2.5</v>
      </c>
      <c r="I1383" s="235">
        <f>F1383*H1383</f>
        <v>5</v>
      </c>
      <c r="K1383" s="250">
        <f>1.4929*2</f>
        <v>2.9857999999999998</v>
      </c>
      <c r="L1383" s="237">
        <v>41325</v>
      </c>
      <c r="M1383" s="1" t="s">
        <v>5084</v>
      </c>
      <c r="N1383" s="235">
        <f t="shared" si="108"/>
        <v>5</v>
      </c>
      <c r="O1383" s="235">
        <f t="shared" si="110"/>
        <v>0</v>
      </c>
      <c r="P1383" s="238" t="s">
        <v>5085</v>
      </c>
      <c r="Q1383" s="1" t="s">
        <v>5086</v>
      </c>
      <c r="R1383" s="239" t="s">
        <v>5087</v>
      </c>
      <c r="S1383" s="238" t="s">
        <v>5088</v>
      </c>
      <c r="T1383" s="238" t="s">
        <v>5080</v>
      </c>
      <c r="U1383" s="238" t="s">
        <v>5080</v>
      </c>
      <c r="V1383" s="238" t="s">
        <v>5089</v>
      </c>
      <c r="W1383" s="236" t="s">
        <v>5080</v>
      </c>
      <c r="X1383" s="233" t="s">
        <v>5080</v>
      </c>
      <c r="Y1383" s="238" t="s">
        <v>5080</v>
      </c>
      <c r="AB1383" s="1" t="s">
        <v>2064</v>
      </c>
    </row>
    <row r="1384" spans="1:28">
      <c r="A1384" s="233">
        <v>41325</v>
      </c>
      <c r="B1384" s="1" t="s">
        <v>5082</v>
      </c>
      <c r="C1384" s="1" t="s">
        <v>162</v>
      </c>
      <c r="D1384" s="1" t="s">
        <v>1219</v>
      </c>
      <c r="E1384" s="1" t="s">
        <v>5083</v>
      </c>
      <c r="F1384" s="1">
        <v>2</v>
      </c>
      <c r="G1384" s="1" t="s">
        <v>170</v>
      </c>
      <c r="H1384" s="234">
        <v>15</v>
      </c>
      <c r="I1384" s="235">
        <f>F1384*H1384</f>
        <v>30</v>
      </c>
      <c r="K1384" s="250">
        <f>3.6*2</f>
        <v>7.2</v>
      </c>
      <c r="L1384" s="237">
        <v>41325</v>
      </c>
      <c r="M1384" s="1" t="s">
        <v>5084</v>
      </c>
      <c r="N1384" s="235">
        <f t="shared" si="108"/>
        <v>30</v>
      </c>
      <c r="O1384" s="235">
        <f t="shared" si="110"/>
        <v>0</v>
      </c>
      <c r="P1384" s="238" t="s">
        <v>5085</v>
      </c>
      <c r="Q1384" s="1" t="s">
        <v>5086</v>
      </c>
      <c r="R1384" s="239" t="s">
        <v>5087</v>
      </c>
      <c r="S1384" s="238" t="s">
        <v>5088</v>
      </c>
      <c r="T1384" s="238" t="s">
        <v>5080</v>
      </c>
      <c r="U1384" s="238" t="s">
        <v>5080</v>
      </c>
      <c r="V1384" s="238" t="s">
        <v>5089</v>
      </c>
      <c r="W1384" s="236" t="s">
        <v>5080</v>
      </c>
      <c r="X1384" s="233" t="s">
        <v>5080</v>
      </c>
      <c r="Y1384" s="238" t="s">
        <v>5080</v>
      </c>
      <c r="AB1384" s="1" t="s">
        <v>2064</v>
      </c>
    </row>
    <row r="1385" spans="1:28" ht="11.25" customHeight="1">
      <c r="A1385" s="233">
        <v>41325</v>
      </c>
      <c r="B1385" s="1" t="s">
        <v>2105</v>
      </c>
      <c r="C1385" s="1" t="s">
        <v>162</v>
      </c>
      <c r="D1385" s="1" t="s">
        <v>2021</v>
      </c>
      <c r="E1385" s="1" t="s">
        <v>179</v>
      </c>
      <c r="F1385" s="5">
        <v>-1000</v>
      </c>
      <c r="G1385" s="1" t="s">
        <v>231</v>
      </c>
      <c r="H1385" s="234">
        <v>1.6</v>
      </c>
      <c r="I1385" s="236">
        <f t="shared" ref="I1385:I1393" si="112">H1385*F1385</f>
        <v>-1600</v>
      </c>
      <c r="K1385" s="241">
        <f>1.5*F1385</f>
        <v>-1500</v>
      </c>
      <c r="L1385" s="237" t="s">
        <v>5093</v>
      </c>
      <c r="M1385" s="1" t="s">
        <v>5093</v>
      </c>
      <c r="N1385" s="235">
        <f t="shared" si="108"/>
        <v>-1600</v>
      </c>
      <c r="O1385" s="235">
        <f t="shared" si="110"/>
        <v>0</v>
      </c>
      <c r="P1385" s="238" t="s">
        <v>4886</v>
      </c>
      <c r="Q1385" s="1" t="s">
        <v>1564</v>
      </c>
      <c r="R1385" s="239" t="s">
        <v>2470</v>
      </c>
      <c r="S1385" s="238" t="s">
        <v>2103</v>
      </c>
      <c r="T1385" s="238" t="s">
        <v>773</v>
      </c>
      <c r="U1385" s="238" t="s">
        <v>2569</v>
      </c>
      <c r="V1385" s="238" t="s">
        <v>175</v>
      </c>
      <c r="Y1385" s="239"/>
      <c r="Z1385" s="239"/>
      <c r="AA1385" s="240" t="s">
        <v>2473</v>
      </c>
      <c r="AB1385" s="1" t="s">
        <v>1561</v>
      </c>
    </row>
    <row r="1386" spans="1:28" ht="11.25" customHeight="1">
      <c r="A1386" s="233">
        <v>41325</v>
      </c>
      <c r="B1386" s="1" t="s">
        <v>2105</v>
      </c>
      <c r="C1386" s="1" t="s">
        <v>162</v>
      </c>
      <c r="D1386" s="5" t="s">
        <v>182</v>
      </c>
      <c r="E1386" s="1" t="s">
        <v>5094</v>
      </c>
      <c r="F1386" s="5">
        <v>200</v>
      </c>
      <c r="G1386" s="1" t="s">
        <v>171</v>
      </c>
      <c r="H1386" s="234">
        <v>2.02</v>
      </c>
      <c r="I1386" s="236">
        <f t="shared" si="112"/>
        <v>404</v>
      </c>
      <c r="K1386" s="241">
        <f>1.24*200</f>
        <v>248</v>
      </c>
      <c r="L1386" s="237">
        <v>41361</v>
      </c>
      <c r="M1386" s="1" t="s">
        <v>165</v>
      </c>
      <c r="N1386" s="235">
        <f t="shared" si="108"/>
        <v>404</v>
      </c>
      <c r="O1386" s="235">
        <f t="shared" si="110"/>
        <v>0</v>
      </c>
      <c r="P1386" s="238" t="s">
        <v>5095</v>
      </c>
      <c r="Q1386" s="1" t="s">
        <v>5120</v>
      </c>
      <c r="R1386" s="239" t="s">
        <v>2470</v>
      </c>
      <c r="S1386" s="238" t="s">
        <v>2103</v>
      </c>
      <c r="T1386" s="238" t="s">
        <v>773</v>
      </c>
      <c r="U1386" s="238" t="s">
        <v>2569</v>
      </c>
      <c r="V1386" s="238" t="s">
        <v>175</v>
      </c>
      <c r="Y1386" s="239"/>
      <c r="Z1386" s="239"/>
      <c r="AA1386" s="240" t="s">
        <v>2473</v>
      </c>
      <c r="AB1386" s="1" t="s">
        <v>1561</v>
      </c>
    </row>
    <row r="1387" spans="1:28" ht="11.25" customHeight="1">
      <c r="A1387" s="233">
        <v>41326</v>
      </c>
      <c r="B1387" s="1" t="s">
        <v>5127</v>
      </c>
      <c r="C1387" s="1" t="s">
        <v>162</v>
      </c>
      <c r="D1387" s="1" t="s">
        <v>1210</v>
      </c>
      <c r="E1387" s="1">
        <v>3200</v>
      </c>
      <c r="F1387" s="5">
        <v>10</v>
      </c>
      <c r="G1387" s="1" t="s">
        <v>170</v>
      </c>
      <c r="H1387" s="234">
        <v>29.51</v>
      </c>
      <c r="I1387" s="236">
        <f t="shared" si="112"/>
        <v>295.10000000000002</v>
      </c>
      <c r="K1387" s="241">
        <f>23.94*10</f>
        <v>239.4</v>
      </c>
      <c r="L1387" s="237">
        <v>41326</v>
      </c>
      <c r="M1387" s="1" t="s">
        <v>165</v>
      </c>
      <c r="N1387" s="235">
        <f t="shared" si="108"/>
        <v>295.10000000000002</v>
      </c>
      <c r="O1387" s="235">
        <f t="shared" si="110"/>
        <v>0</v>
      </c>
      <c r="P1387" s="238" t="s">
        <v>5128</v>
      </c>
      <c r="Q1387" s="1" t="s">
        <v>5322</v>
      </c>
      <c r="R1387" s="239" t="s">
        <v>5129</v>
      </c>
      <c r="S1387" s="238" t="s">
        <v>5130</v>
      </c>
      <c r="T1387" s="238" t="s">
        <v>2233</v>
      </c>
      <c r="U1387" s="238" t="s">
        <v>5131</v>
      </c>
      <c r="V1387" s="238" t="s">
        <v>175</v>
      </c>
      <c r="W1387" s="236" t="s">
        <v>5324</v>
      </c>
      <c r="X1387" s="233" t="s">
        <v>5324</v>
      </c>
      <c r="Y1387" s="239" t="s">
        <v>5324</v>
      </c>
      <c r="Z1387" s="239"/>
      <c r="AB1387" s="1" t="s">
        <v>1561</v>
      </c>
    </row>
    <row r="1388" spans="1:28" ht="11.25" customHeight="1">
      <c r="A1388" s="233">
        <v>41326</v>
      </c>
      <c r="B1388" s="1" t="s">
        <v>5127</v>
      </c>
      <c r="C1388" s="1" t="s">
        <v>162</v>
      </c>
      <c r="D1388" s="5" t="s">
        <v>346</v>
      </c>
      <c r="E1388" s="1">
        <v>3700</v>
      </c>
      <c r="F1388" s="5">
        <v>10</v>
      </c>
      <c r="G1388" s="1" t="s">
        <v>170</v>
      </c>
      <c r="H1388" s="234">
        <v>3.66</v>
      </c>
      <c r="I1388" s="236">
        <f t="shared" si="112"/>
        <v>36.6</v>
      </c>
      <c r="K1388" s="241">
        <f>3.09*10</f>
        <v>30.9</v>
      </c>
      <c r="L1388" s="237">
        <v>41326</v>
      </c>
      <c r="M1388" s="1" t="s">
        <v>165</v>
      </c>
      <c r="N1388" s="235">
        <f t="shared" si="108"/>
        <v>36.6</v>
      </c>
      <c r="O1388" s="235">
        <f t="shared" si="110"/>
        <v>0</v>
      </c>
      <c r="P1388" s="238" t="s">
        <v>5128</v>
      </c>
      <c r="Q1388" s="1" t="s">
        <v>5322</v>
      </c>
      <c r="R1388" s="239" t="s">
        <v>5129</v>
      </c>
      <c r="S1388" s="238" t="s">
        <v>5130</v>
      </c>
      <c r="T1388" s="238" t="s">
        <v>2233</v>
      </c>
      <c r="U1388" s="238" t="s">
        <v>5131</v>
      </c>
      <c r="V1388" s="238" t="s">
        <v>175</v>
      </c>
      <c r="W1388" s="236" t="s">
        <v>5324</v>
      </c>
      <c r="X1388" s="233" t="s">
        <v>5324</v>
      </c>
      <c r="Y1388" s="239" t="s">
        <v>5324</v>
      </c>
      <c r="Z1388" s="239"/>
      <c r="AB1388" s="1" t="s">
        <v>1561</v>
      </c>
    </row>
    <row r="1389" spans="1:28" ht="11.25" customHeight="1">
      <c r="A1389" s="233">
        <v>41326</v>
      </c>
      <c r="B1389" s="1" t="s">
        <v>5127</v>
      </c>
      <c r="C1389" s="1" t="s">
        <v>162</v>
      </c>
      <c r="D1389" s="5" t="s">
        <v>182</v>
      </c>
      <c r="E1389" s="1" t="s">
        <v>186</v>
      </c>
      <c r="F1389" s="5">
        <v>10</v>
      </c>
      <c r="G1389" s="1" t="s">
        <v>171</v>
      </c>
      <c r="H1389" s="234">
        <v>1.83</v>
      </c>
      <c r="I1389" s="236">
        <f t="shared" si="112"/>
        <v>18.3</v>
      </c>
      <c r="K1389" s="241">
        <f>1.54*10</f>
        <v>15.4</v>
      </c>
      <c r="L1389" s="237">
        <v>41326</v>
      </c>
      <c r="M1389" s="1" t="s">
        <v>165</v>
      </c>
      <c r="N1389" s="235">
        <f t="shared" si="108"/>
        <v>18.3</v>
      </c>
      <c r="O1389" s="235">
        <f t="shared" si="110"/>
        <v>0</v>
      </c>
      <c r="P1389" s="238" t="s">
        <v>5128</v>
      </c>
      <c r="Q1389" s="1" t="s">
        <v>5322</v>
      </c>
      <c r="R1389" s="239" t="s">
        <v>5129</v>
      </c>
      <c r="S1389" s="238" t="s">
        <v>5130</v>
      </c>
      <c r="T1389" s="238" t="s">
        <v>2233</v>
      </c>
      <c r="U1389" s="238" t="s">
        <v>5131</v>
      </c>
      <c r="V1389" s="238" t="s">
        <v>175</v>
      </c>
      <c r="W1389" s="236" t="s">
        <v>5324</v>
      </c>
      <c r="X1389" s="233" t="s">
        <v>5324</v>
      </c>
      <c r="Y1389" s="239" t="s">
        <v>5324</v>
      </c>
      <c r="Z1389" s="239"/>
      <c r="AB1389" s="1" t="s">
        <v>1561</v>
      </c>
    </row>
    <row r="1390" spans="1:28" ht="11.25" customHeight="1">
      <c r="A1390" s="233">
        <v>41327</v>
      </c>
      <c r="B1390" s="1" t="s">
        <v>2123</v>
      </c>
      <c r="C1390" s="1" t="s">
        <v>162</v>
      </c>
      <c r="D1390" s="1" t="s">
        <v>240</v>
      </c>
      <c r="E1390" s="1">
        <v>6200</v>
      </c>
      <c r="F1390" s="5">
        <v>1</v>
      </c>
      <c r="G1390" s="1" t="s">
        <v>170</v>
      </c>
      <c r="H1390" s="234">
        <v>59</v>
      </c>
      <c r="I1390" s="236">
        <f t="shared" si="112"/>
        <v>59</v>
      </c>
      <c r="K1390" s="241">
        <f>42.5*1</f>
        <v>42.5</v>
      </c>
      <c r="L1390" s="237">
        <v>41327</v>
      </c>
      <c r="M1390" s="1" t="s">
        <v>698</v>
      </c>
      <c r="N1390" s="235">
        <f t="shared" si="108"/>
        <v>59</v>
      </c>
      <c r="O1390" s="235">
        <f t="shared" si="110"/>
        <v>0</v>
      </c>
      <c r="P1390" s="238" t="s">
        <v>5132</v>
      </c>
      <c r="Q1390" s="1" t="s">
        <v>391</v>
      </c>
      <c r="R1390" s="239" t="s">
        <v>2121</v>
      </c>
      <c r="S1390" s="238" t="s">
        <v>2656</v>
      </c>
      <c r="T1390" s="238" t="s">
        <v>2657</v>
      </c>
      <c r="V1390" s="238" t="s">
        <v>175</v>
      </c>
      <c r="Y1390" s="239"/>
      <c r="Z1390" s="239"/>
      <c r="AB1390" s="1" t="s">
        <v>1561</v>
      </c>
    </row>
    <row r="1391" spans="1:28" ht="11.25" customHeight="1">
      <c r="A1391" s="233">
        <v>41327</v>
      </c>
      <c r="B1391" s="1" t="s">
        <v>2123</v>
      </c>
      <c r="C1391" s="1" t="s">
        <v>162</v>
      </c>
      <c r="D1391" s="1" t="s">
        <v>353</v>
      </c>
      <c r="E1391" s="1" t="s">
        <v>145</v>
      </c>
      <c r="F1391" s="5">
        <v>2</v>
      </c>
      <c r="G1391" s="1" t="s">
        <v>229</v>
      </c>
      <c r="H1391" s="234">
        <v>22</v>
      </c>
      <c r="I1391" s="236">
        <f t="shared" si="112"/>
        <v>44</v>
      </c>
      <c r="K1391" s="241">
        <f>16.5*2</f>
        <v>33</v>
      </c>
      <c r="L1391" s="237">
        <v>41327</v>
      </c>
      <c r="M1391" s="1" t="s">
        <v>698</v>
      </c>
      <c r="N1391" s="235">
        <f t="shared" si="108"/>
        <v>44</v>
      </c>
      <c r="O1391" s="235">
        <f t="shared" si="110"/>
        <v>0</v>
      </c>
      <c r="P1391" s="238" t="s">
        <v>5132</v>
      </c>
      <c r="Q1391" s="1" t="s">
        <v>391</v>
      </c>
      <c r="R1391" s="239" t="s">
        <v>2121</v>
      </c>
      <c r="S1391" s="238" t="s">
        <v>2656</v>
      </c>
      <c r="T1391" s="238" t="s">
        <v>2657</v>
      </c>
      <c r="V1391" s="238" t="s">
        <v>175</v>
      </c>
      <c r="Y1391" s="239"/>
      <c r="Z1391" s="239"/>
      <c r="AB1391" s="1" t="s">
        <v>1561</v>
      </c>
    </row>
    <row r="1392" spans="1:28" ht="11.25" customHeight="1">
      <c r="A1392" s="233">
        <v>41327</v>
      </c>
      <c r="B1392" s="1" t="s">
        <v>2123</v>
      </c>
      <c r="C1392" s="1" t="s">
        <v>162</v>
      </c>
      <c r="D1392" s="1" t="s">
        <v>232</v>
      </c>
      <c r="E1392" s="1" t="s">
        <v>194</v>
      </c>
      <c r="F1392" s="5">
        <v>2</v>
      </c>
      <c r="G1392" s="1" t="s">
        <v>231</v>
      </c>
      <c r="H1392" s="234">
        <v>7</v>
      </c>
      <c r="I1392" s="236">
        <f t="shared" si="112"/>
        <v>14</v>
      </c>
      <c r="K1392" s="241">
        <f>4.75*2</f>
        <v>9.5</v>
      </c>
      <c r="L1392" s="237">
        <v>41327</v>
      </c>
      <c r="M1392" s="1" t="s">
        <v>698</v>
      </c>
      <c r="N1392" s="235">
        <f t="shared" si="108"/>
        <v>14</v>
      </c>
      <c r="O1392" s="235">
        <f t="shared" si="110"/>
        <v>0</v>
      </c>
      <c r="P1392" s="238" t="s">
        <v>5132</v>
      </c>
      <c r="Q1392" s="1" t="s">
        <v>391</v>
      </c>
      <c r="R1392" s="239" t="s">
        <v>2121</v>
      </c>
      <c r="S1392" s="238" t="s">
        <v>2656</v>
      </c>
      <c r="T1392" s="238" t="s">
        <v>2657</v>
      </c>
      <c r="V1392" s="238" t="s">
        <v>175</v>
      </c>
      <c r="Y1392" s="239"/>
      <c r="Z1392" s="239"/>
      <c r="AB1392" s="1" t="s">
        <v>1561</v>
      </c>
    </row>
    <row r="1393" spans="1:28" ht="11.25" customHeight="1">
      <c r="A1393" s="233">
        <v>41327</v>
      </c>
      <c r="B1393" s="1" t="s">
        <v>2123</v>
      </c>
      <c r="C1393" s="1" t="s">
        <v>162</v>
      </c>
      <c r="D1393" s="1" t="s">
        <v>263</v>
      </c>
      <c r="E1393" s="1">
        <v>501</v>
      </c>
      <c r="F1393" s="5">
        <v>2</v>
      </c>
      <c r="G1393" s="1" t="s">
        <v>229</v>
      </c>
      <c r="H1393" s="234">
        <v>1.5</v>
      </c>
      <c r="I1393" s="236">
        <f t="shared" si="112"/>
        <v>3</v>
      </c>
      <c r="K1393" s="241">
        <f>1.4*2</f>
        <v>2.8</v>
      </c>
      <c r="L1393" s="237">
        <v>41327</v>
      </c>
      <c r="M1393" s="1" t="s">
        <v>698</v>
      </c>
      <c r="N1393" s="235">
        <f t="shared" si="108"/>
        <v>3</v>
      </c>
      <c r="O1393" s="235">
        <f t="shared" si="110"/>
        <v>0</v>
      </c>
      <c r="P1393" s="238" t="s">
        <v>5132</v>
      </c>
      <c r="Q1393" s="1" t="s">
        <v>391</v>
      </c>
      <c r="R1393" s="239" t="s">
        <v>2121</v>
      </c>
      <c r="S1393" s="238" t="s">
        <v>2656</v>
      </c>
      <c r="T1393" s="238" t="s">
        <v>2657</v>
      </c>
      <c r="V1393" s="238" t="s">
        <v>175</v>
      </c>
      <c r="Y1393" s="239"/>
      <c r="Z1393" s="239"/>
      <c r="AB1393" s="1" t="s">
        <v>1561</v>
      </c>
    </row>
    <row r="1394" spans="1:28">
      <c r="A1394" s="233">
        <v>41327</v>
      </c>
      <c r="B1394" s="1" t="s">
        <v>5079</v>
      </c>
      <c r="C1394" s="1" t="s">
        <v>162</v>
      </c>
      <c r="D1394" s="304" t="s">
        <v>5075</v>
      </c>
      <c r="E1394" s="304">
        <v>52000166497</v>
      </c>
      <c r="F1394" s="1">
        <v>25</v>
      </c>
      <c r="G1394" s="1" t="s">
        <v>5051</v>
      </c>
      <c r="H1394" s="234">
        <v>16.5</v>
      </c>
      <c r="I1394" s="235">
        <f>F1394*H1394</f>
        <v>412.5</v>
      </c>
      <c r="K1394" s="250">
        <f>15.8*25</f>
        <v>395</v>
      </c>
      <c r="L1394" s="237">
        <v>41327</v>
      </c>
      <c r="M1394" s="1" t="s">
        <v>5138</v>
      </c>
      <c r="N1394" s="235">
        <f t="shared" si="108"/>
        <v>412.5</v>
      </c>
      <c r="O1394" s="235">
        <f t="shared" si="110"/>
        <v>0</v>
      </c>
      <c r="P1394" s="238" t="s">
        <v>5139</v>
      </c>
      <c r="Q1394" s="1" t="s">
        <v>391</v>
      </c>
      <c r="R1394" s="265" t="s">
        <v>5140</v>
      </c>
      <c r="S1394" s="265">
        <v>13883590995</v>
      </c>
      <c r="T1394" s="265" t="s">
        <v>5141</v>
      </c>
      <c r="U1394" s="238" t="s">
        <v>5137</v>
      </c>
      <c r="V1394" s="238" t="s">
        <v>5270</v>
      </c>
      <c r="W1394" s="236">
        <v>5347.5</v>
      </c>
      <c r="X1394" s="233">
        <v>41332</v>
      </c>
      <c r="Y1394" s="238" t="s">
        <v>5250</v>
      </c>
      <c r="AB1394" s="1" t="s">
        <v>1561</v>
      </c>
    </row>
    <row r="1395" spans="1:28">
      <c r="A1395" s="233">
        <v>41327</v>
      </c>
      <c r="B1395" s="1" t="s">
        <v>5079</v>
      </c>
      <c r="C1395" s="1" t="s">
        <v>162</v>
      </c>
      <c r="D1395" s="304" t="s">
        <v>5076</v>
      </c>
      <c r="E1395" s="304">
        <v>52000183666</v>
      </c>
      <c r="F1395" s="1">
        <v>50</v>
      </c>
      <c r="G1395" s="1" t="s">
        <v>5051</v>
      </c>
      <c r="H1395" s="234">
        <v>18.2</v>
      </c>
      <c r="I1395" s="235">
        <f>F1395*H1395</f>
        <v>910</v>
      </c>
      <c r="K1395" s="250">
        <f>17.1*50</f>
        <v>855.00000000000011</v>
      </c>
      <c r="L1395" s="237">
        <v>41327</v>
      </c>
      <c r="M1395" s="1" t="s">
        <v>5138</v>
      </c>
      <c r="N1395" s="235">
        <f t="shared" si="108"/>
        <v>910</v>
      </c>
      <c r="O1395" s="235">
        <f t="shared" si="110"/>
        <v>0</v>
      </c>
      <c r="P1395" s="238" t="s">
        <v>5139</v>
      </c>
      <c r="Q1395" s="1" t="s">
        <v>391</v>
      </c>
      <c r="R1395" s="265" t="s">
        <v>5140</v>
      </c>
      <c r="S1395" s="265">
        <v>13883590995</v>
      </c>
      <c r="T1395" s="265" t="s">
        <v>5141</v>
      </c>
      <c r="U1395" s="238" t="s">
        <v>5137</v>
      </c>
      <c r="V1395" s="238" t="s">
        <v>5270</v>
      </c>
      <c r="W1395" s="236">
        <v>5347.5</v>
      </c>
      <c r="X1395" s="233">
        <v>41332</v>
      </c>
      <c r="Y1395" s="238" t="s">
        <v>5250</v>
      </c>
      <c r="AB1395" s="1" t="s">
        <v>1561</v>
      </c>
    </row>
    <row r="1396" spans="1:28">
      <c r="A1396" s="233">
        <v>41327</v>
      </c>
      <c r="B1396" s="1" t="s">
        <v>5079</v>
      </c>
      <c r="C1396" s="1" t="s">
        <v>162</v>
      </c>
      <c r="D1396" s="1" t="s">
        <v>1867</v>
      </c>
      <c r="E1396" s="1">
        <v>6006</v>
      </c>
      <c r="F1396" s="1">
        <v>70</v>
      </c>
      <c r="G1396" s="1" t="s">
        <v>5050</v>
      </c>
      <c r="H1396" s="234">
        <v>57.5</v>
      </c>
      <c r="I1396" s="235">
        <f>F1396*H1396</f>
        <v>4025</v>
      </c>
      <c r="K1396" s="250">
        <f>56*70</f>
        <v>3920</v>
      </c>
      <c r="L1396" s="237">
        <v>41327</v>
      </c>
      <c r="M1396" s="1" t="s">
        <v>5138</v>
      </c>
      <c r="N1396" s="235">
        <f t="shared" si="108"/>
        <v>4025</v>
      </c>
      <c r="O1396" s="235">
        <f t="shared" si="110"/>
        <v>0</v>
      </c>
      <c r="P1396" s="238" t="s">
        <v>5139</v>
      </c>
      <c r="Q1396" s="1" t="s">
        <v>391</v>
      </c>
      <c r="R1396" s="265" t="s">
        <v>5140</v>
      </c>
      <c r="S1396" s="265">
        <v>13883590995</v>
      </c>
      <c r="T1396" s="265" t="s">
        <v>5141</v>
      </c>
      <c r="U1396" s="238" t="s">
        <v>5137</v>
      </c>
      <c r="V1396" s="238" t="s">
        <v>5270</v>
      </c>
      <c r="W1396" s="236">
        <v>5347.5</v>
      </c>
      <c r="X1396" s="233">
        <v>41332</v>
      </c>
      <c r="Y1396" s="238" t="s">
        <v>5250</v>
      </c>
      <c r="AB1396" s="1" t="s">
        <v>1561</v>
      </c>
    </row>
    <row r="1397" spans="1:28">
      <c r="A1397" s="233">
        <v>41327</v>
      </c>
      <c r="B1397" s="1" t="s">
        <v>4338</v>
      </c>
      <c r="C1397" s="5" t="s">
        <v>162</v>
      </c>
      <c r="D1397" s="1" t="s">
        <v>854</v>
      </c>
      <c r="E1397" s="1">
        <v>9031</v>
      </c>
      <c r="F1397" s="1">
        <v>1000</v>
      </c>
      <c r="G1397" s="1" t="s">
        <v>170</v>
      </c>
      <c r="H1397" s="234">
        <v>1.57</v>
      </c>
      <c r="I1397" s="235">
        <f>F1397*H1397</f>
        <v>1570</v>
      </c>
      <c r="K1397" s="250">
        <f>1.4929*1000</f>
        <v>1492.8999999999999</v>
      </c>
      <c r="L1397" s="237">
        <v>41329</v>
      </c>
      <c r="M1397" s="1" t="s">
        <v>165</v>
      </c>
      <c r="N1397" s="235">
        <f t="shared" si="108"/>
        <v>1570</v>
      </c>
      <c r="O1397" s="235">
        <f t="shared" si="110"/>
        <v>0</v>
      </c>
      <c r="P1397" s="238" t="s">
        <v>5142</v>
      </c>
      <c r="Q1397" s="1" t="s">
        <v>5145</v>
      </c>
      <c r="R1397" s="239" t="s">
        <v>4341</v>
      </c>
      <c r="S1397" s="238" t="s">
        <v>4342</v>
      </c>
      <c r="T1397" s="238" t="s">
        <v>2237</v>
      </c>
      <c r="U1397" s="238" t="s">
        <v>5146</v>
      </c>
      <c r="V1397" s="238" t="s">
        <v>5271</v>
      </c>
      <c r="W1397" s="236">
        <v>6698.2</v>
      </c>
      <c r="X1397" s="233">
        <v>41332</v>
      </c>
      <c r="Y1397" s="238" t="s">
        <v>5272</v>
      </c>
      <c r="AB1397" s="1" t="s">
        <v>1561</v>
      </c>
    </row>
    <row r="1398" spans="1:28">
      <c r="A1398" s="233">
        <v>41327</v>
      </c>
      <c r="B1398" s="1" t="s">
        <v>2169</v>
      </c>
      <c r="C1398" s="1" t="s">
        <v>162</v>
      </c>
      <c r="D1398" s="5" t="s">
        <v>1873</v>
      </c>
      <c r="E1398" s="1">
        <v>4941</v>
      </c>
      <c r="F1398" s="5" t="s">
        <v>5037</v>
      </c>
      <c r="G1398" s="1" t="s">
        <v>27</v>
      </c>
      <c r="H1398" s="234">
        <v>400</v>
      </c>
      <c r="I1398" s="235">
        <f>400*10*0.8</f>
        <v>3200</v>
      </c>
      <c r="K1398" s="250">
        <f>359*10*0.8</f>
        <v>2872</v>
      </c>
      <c r="L1398" s="237">
        <v>41359</v>
      </c>
      <c r="M1398" s="1" t="s">
        <v>166</v>
      </c>
      <c r="N1398" s="235">
        <f t="shared" si="108"/>
        <v>3200</v>
      </c>
      <c r="O1398" s="235">
        <f t="shared" si="110"/>
        <v>0</v>
      </c>
      <c r="P1398" s="238" t="s">
        <v>5149</v>
      </c>
      <c r="Q1398" s="1" t="s">
        <v>5143</v>
      </c>
      <c r="R1398" s="239" t="s">
        <v>1557</v>
      </c>
      <c r="S1398" s="238" t="s">
        <v>1558</v>
      </c>
      <c r="T1398" s="238" t="s">
        <v>1559</v>
      </c>
      <c r="U1398" s="238" t="s">
        <v>5144</v>
      </c>
      <c r="V1398" s="238" t="s">
        <v>5697</v>
      </c>
      <c r="W1398" s="236">
        <v>113433.12</v>
      </c>
      <c r="X1398" s="233">
        <v>41354</v>
      </c>
      <c r="Y1398" s="238" t="s">
        <v>5698</v>
      </c>
      <c r="AB1398" s="1" t="s">
        <v>1561</v>
      </c>
    </row>
    <row r="1399" spans="1:28">
      <c r="A1399" s="233">
        <v>41327</v>
      </c>
      <c r="B1399" s="1" t="s">
        <v>2169</v>
      </c>
      <c r="C1399" s="1" t="s">
        <v>162</v>
      </c>
      <c r="D1399" s="1" t="s">
        <v>240</v>
      </c>
      <c r="E1399" s="1">
        <v>6200</v>
      </c>
      <c r="F1399" s="1">
        <v>208</v>
      </c>
      <c r="G1399" s="1" t="s">
        <v>5050</v>
      </c>
      <c r="H1399" s="234">
        <v>48.35</v>
      </c>
      <c r="I1399" s="235">
        <f t="shared" ref="I1399:I1408" si="113">F1399*H1399</f>
        <v>10056.800000000001</v>
      </c>
      <c r="K1399" s="250">
        <f>44.5*208</f>
        <v>9256</v>
      </c>
      <c r="L1399" s="237">
        <v>41359</v>
      </c>
      <c r="M1399" s="1" t="s">
        <v>166</v>
      </c>
      <c r="N1399" s="235">
        <f t="shared" si="108"/>
        <v>10056.800000000001</v>
      </c>
      <c r="O1399" s="235">
        <f t="shared" si="110"/>
        <v>0</v>
      </c>
      <c r="P1399" s="238" t="s">
        <v>5149</v>
      </c>
      <c r="Q1399" s="1" t="s">
        <v>5143</v>
      </c>
      <c r="R1399" s="239" t="s">
        <v>1557</v>
      </c>
      <c r="S1399" s="238" t="s">
        <v>1558</v>
      </c>
      <c r="T1399" s="238" t="s">
        <v>1559</v>
      </c>
      <c r="U1399" s="238" t="s">
        <v>5144</v>
      </c>
      <c r="V1399" s="238" t="s">
        <v>5697</v>
      </c>
      <c r="W1399" s="236">
        <v>113433.12</v>
      </c>
      <c r="X1399" s="233">
        <v>41354</v>
      </c>
      <c r="Y1399" s="238" t="s">
        <v>5698</v>
      </c>
      <c r="AB1399" s="1" t="s">
        <v>1561</v>
      </c>
    </row>
    <row r="1400" spans="1:28">
      <c r="A1400" s="233">
        <v>41327</v>
      </c>
      <c r="B1400" s="1" t="s">
        <v>2169</v>
      </c>
      <c r="C1400" s="1" t="s">
        <v>162</v>
      </c>
      <c r="D1400" s="303" t="s">
        <v>353</v>
      </c>
      <c r="E1400" s="1" t="s">
        <v>5034</v>
      </c>
      <c r="F1400" s="1">
        <v>460</v>
      </c>
      <c r="G1400" s="1" t="s">
        <v>5050</v>
      </c>
      <c r="H1400" s="234">
        <v>19.86</v>
      </c>
      <c r="I1400" s="235">
        <f t="shared" si="113"/>
        <v>9135.6</v>
      </c>
      <c r="K1400" s="250">
        <f>18.37*460</f>
        <v>8450.2000000000007</v>
      </c>
      <c r="L1400" s="237">
        <v>41359</v>
      </c>
      <c r="M1400" s="1" t="s">
        <v>166</v>
      </c>
      <c r="N1400" s="235">
        <f t="shared" si="108"/>
        <v>9135.6</v>
      </c>
      <c r="O1400" s="235">
        <f t="shared" si="110"/>
        <v>0</v>
      </c>
      <c r="P1400" s="238" t="s">
        <v>5149</v>
      </c>
      <c r="Q1400" s="1" t="s">
        <v>5143</v>
      </c>
      <c r="R1400" s="239" t="s">
        <v>1557</v>
      </c>
      <c r="S1400" s="238" t="s">
        <v>1558</v>
      </c>
      <c r="T1400" s="238" t="s">
        <v>1559</v>
      </c>
      <c r="U1400" s="238" t="s">
        <v>5144</v>
      </c>
      <c r="V1400" s="238" t="s">
        <v>5697</v>
      </c>
      <c r="W1400" s="236">
        <v>113433.12</v>
      </c>
      <c r="X1400" s="233">
        <v>41354</v>
      </c>
      <c r="Y1400" s="238" t="s">
        <v>5698</v>
      </c>
      <c r="AB1400" s="1" t="s">
        <v>1561</v>
      </c>
    </row>
    <row r="1401" spans="1:28">
      <c r="A1401" s="233">
        <v>41327</v>
      </c>
      <c r="B1401" s="1" t="s">
        <v>2169</v>
      </c>
      <c r="C1401" s="1" t="s">
        <v>162</v>
      </c>
      <c r="D1401" s="1" t="s">
        <v>232</v>
      </c>
      <c r="E1401" s="1" t="s">
        <v>194</v>
      </c>
      <c r="F1401" s="1">
        <v>2500</v>
      </c>
      <c r="G1401" s="1" t="s">
        <v>5051</v>
      </c>
      <c r="H1401" s="234">
        <v>5.64</v>
      </c>
      <c r="I1401" s="235">
        <f t="shared" si="113"/>
        <v>14100</v>
      </c>
      <c r="K1401" s="250">
        <f>5.06*2500</f>
        <v>12649.999999999998</v>
      </c>
      <c r="L1401" s="237">
        <v>41359</v>
      </c>
      <c r="M1401" s="1" t="s">
        <v>166</v>
      </c>
      <c r="N1401" s="235">
        <f t="shared" si="108"/>
        <v>14100</v>
      </c>
      <c r="O1401" s="235">
        <f t="shared" si="110"/>
        <v>0</v>
      </c>
      <c r="P1401" s="238" t="s">
        <v>5149</v>
      </c>
      <c r="Q1401" s="1" t="s">
        <v>5143</v>
      </c>
      <c r="R1401" s="239" t="s">
        <v>1557</v>
      </c>
      <c r="S1401" s="238" t="s">
        <v>1558</v>
      </c>
      <c r="T1401" s="238" t="s">
        <v>1559</v>
      </c>
      <c r="U1401" s="238" t="s">
        <v>5144</v>
      </c>
      <c r="V1401" s="238" t="s">
        <v>5697</v>
      </c>
      <c r="W1401" s="236">
        <v>113433.12</v>
      </c>
      <c r="X1401" s="233">
        <v>41354</v>
      </c>
      <c r="Y1401" s="238" t="s">
        <v>5698</v>
      </c>
      <c r="AB1401" s="1" t="s">
        <v>1561</v>
      </c>
    </row>
    <row r="1402" spans="1:28">
      <c r="A1402" s="233">
        <v>41327</v>
      </c>
      <c r="B1402" s="1" t="s">
        <v>2169</v>
      </c>
      <c r="C1402" s="1" t="s">
        <v>162</v>
      </c>
      <c r="D1402" s="1" t="s">
        <v>263</v>
      </c>
      <c r="E1402" s="1">
        <v>501</v>
      </c>
      <c r="F1402" s="1">
        <v>220</v>
      </c>
      <c r="G1402" s="1" t="s">
        <v>5050</v>
      </c>
      <c r="H1402" s="234">
        <v>1.47</v>
      </c>
      <c r="I1402" s="235">
        <f t="shared" si="113"/>
        <v>323.39999999999998</v>
      </c>
      <c r="K1402" s="250">
        <f>1.43*220</f>
        <v>314.59999999999997</v>
      </c>
      <c r="L1402" s="237">
        <v>41359</v>
      </c>
      <c r="M1402" s="1" t="s">
        <v>166</v>
      </c>
      <c r="N1402" s="235">
        <f t="shared" si="108"/>
        <v>323.39999999999998</v>
      </c>
      <c r="O1402" s="235">
        <f t="shared" si="110"/>
        <v>0</v>
      </c>
      <c r="P1402" s="238" t="s">
        <v>5149</v>
      </c>
      <c r="Q1402" s="1" t="s">
        <v>5143</v>
      </c>
      <c r="R1402" s="239" t="s">
        <v>1557</v>
      </c>
      <c r="S1402" s="238" t="s">
        <v>1558</v>
      </c>
      <c r="T1402" s="238" t="s">
        <v>1559</v>
      </c>
      <c r="U1402" s="238" t="s">
        <v>5144</v>
      </c>
      <c r="V1402" s="238" t="s">
        <v>5697</v>
      </c>
      <c r="W1402" s="236">
        <v>113433.12</v>
      </c>
      <c r="X1402" s="233">
        <v>41354</v>
      </c>
      <c r="Y1402" s="238" t="s">
        <v>5698</v>
      </c>
      <c r="AB1402" s="1" t="s">
        <v>1561</v>
      </c>
    </row>
    <row r="1403" spans="1:28">
      <c r="A1403" s="233">
        <v>41328</v>
      </c>
      <c r="B1403" s="1" t="s">
        <v>5127</v>
      </c>
      <c r="C1403" s="1" t="s">
        <v>162</v>
      </c>
      <c r="D1403" s="1" t="s">
        <v>1210</v>
      </c>
      <c r="E1403" s="1">
        <v>3200</v>
      </c>
      <c r="F1403" s="1">
        <v>100</v>
      </c>
      <c r="G1403" s="1" t="s">
        <v>170</v>
      </c>
      <c r="H1403" s="234">
        <v>26.81</v>
      </c>
      <c r="I1403" s="235">
        <f t="shared" si="113"/>
        <v>2681</v>
      </c>
      <c r="K1403" s="250">
        <f>23.94*100</f>
        <v>2394</v>
      </c>
      <c r="L1403" s="237">
        <v>41328</v>
      </c>
      <c r="M1403" s="1" t="s">
        <v>165</v>
      </c>
      <c r="N1403" s="235">
        <f t="shared" si="108"/>
        <v>2681</v>
      </c>
      <c r="O1403" s="235">
        <f t="shared" si="110"/>
        <v>0</v>
      </c>
      <c r="P1403" s="238" t="s">
        <v>5150</v>
      </c>
      <c r="Q1403" s="1" t="s">
        <v>5322</v>
      </c>
      <c r="R1403" s="239" t="s">
        <v>5129</v>
      </c>
      <c r="S1403" s="238" t="s">
        <v>5130</v>
      </c>
      <c r="T1403" s="238" t="s">
        <v>2233</v>
      </c>
      <c r="U1403" s="238" t="s">
        <v>5207</v>
      </c>
      <c r="V1403" s="238" t="s">
        <v>175</v>
      </c>
      <c r="W1403" s="236" t="s">
        <v>5324</v>
      </c>
      <c r="X1403" s="233" t="s">
        <v>5324</v>
      </c>
      <c r="Y1403" s="239" t="s">
        <v>5324</v>
      </c>
      <c r="AB1403" s="1" t="s">
        <v>1561</v>
      </c>
    </row>
    <row r="1404" spans="1:28">
      <c r="A1404" s="233">
        <v>41328</v>
      </c>
      <c r="B1404" s="1" t="s">
        <v>5127</v>
      </c>
      <c r="C1404" s="1" t="s">
        <v>162</v>
      </c>
      <c r="D1404" s="5" t="s">
        <v>346</v>
      </c>
      <c r="E1404" s="1">
        <v>3700</v>
      </c>
      <c r="F1404" s="1">
        <v>100</v>
      </c>
      <c r="G1404" s="1" t="s">
        <v>170</v>
      </c>
      <c r="H1404" s="234">
        <v>3.46</v>
      </c>
      <c r="I1404" s="235">
        <f t="shared" si="113"/>
        <v>346</v>
      </c>
      <c r="K1404" s="250">
        <f>3.09*100</f>
        <v>309</v>
      </c>
      <c r="L1404" s="237">
        <v>41328</v>
      </c>
      <c r="M1404" s="1" t="s">
        <v>165</v>
      </c>
      <c r="N1404" s="235">
        <f t="shared" si="108"/>
        <v>346</v>
      </c>
      <c r="O1404" s="235">
        <f t="shared" si="110"/>
        <v>0</v>
      </c>
      <c r="P1404" s="238" t="s">
        <v>5150</v>
      </c>
      <c r="Q1404" s="1" t="s">
        <v>5322</v>
      </c>
      <c r="R1404" s="239" t="s">
        <v>5129</v>
      </c>
      <c r="S1404" s="238" t="s">
        <v>5130</v>
      </c>
      <c r="T1404" s="238" t="s">
        <v>2233</v>
      </c>
      <c r="U1404" s="238" t="s">
        <v>5207</v>
      </c>
      <c r="V1404" s="238" t="s">
        <v>175</v>
      </c>
      <c r="W1404" s="236" t="s">
        <v>5324</v>
      </c>
      <c r="X1404" s="233" t="s">
        <v>5324</v>
      </c>
      <c r="Y1404" s="239" t="s">
        <v>5324</v>
      </c>
      <c r="AB1404" s="1" t="s">
        <v>1561</v>
      </c>
    </row>
    <row r="1405" spans="1:28">
      <c r="A1405" s="233">
        <v>41328</v>
      </c>
      <c r="B1405" s="1" t="s">
        <v>5127</v>
      </c>
      <c r="C1405" s="1" t="s">
        <v>162</v>
      </c>
      <c r="D1405" s="5" t="s">
        <v>182</v>
      </c>
      <c r="E1405" s="1" t="s">
        <v>186</v>
      </c>
      <c r="F1405" s="1">
        <v>100</v>
      </c>
      <c r="G1405" s="1" t="s">
        <v>171</v>
      </c>
      <c r="H1405" s="234">
        <v>1.73</v>
      </c>
      <c r="I1405" s="235">
        <f t="shared" si="113"/>
        <v>173</v>
      </c>
      <c r="K1405" s="250">
        <f>1.54*100</f>
        <v>154</v>
      </c>
      <c r="L1405" s="237">
        <v>41328</v>
      </c>
      <c r="M1405" s="1" t="s">
        <v>165</v>
      </c>
      <c r="N1405" s="235">
        <f t="shared" si="108"/>
        <v>173</v>
      </c>
      <c r="O1405" s="235">
        <f t="shared" si="110"/>
        <v>0</v>
      </c>
      <c r="P1405" s="238" t="s">
        <v>5150</v>
      </c>
      <c r="Q1405" s="1" t="s">
        <v>5322</v>
      </c>
      <c r="R1405" s="239" t="s">
        <v>5129</v>
      </c>
      <c r="S1405" s="238" t="s">
        <v>5130</v>
      </c>
      <c r="T1405" s="238" t="s">
        <v>2233</v>
      </c>
      <c r="U1405" s="238" t="s">
        <v>5207</v>
      </c>
      <c r="V1405" s="238" t="s">
        <v>175</v>
      </c>
      <c r="W1405" s="236" t="s">
        <v>5324</v>
      </c>
      <c r="X1405" s="233" t="s">
        <v>5324</v>
      </c>
      <c r="Y1405" s="239" t="s">
        <v>5324</v>
      </c>
      <c r="AB1405" s="1" t="s">
        <v>1561</v>
      </c>
    </row>
    <row r="1406" spans="1:28">
      <c r="A1406" s="233">
        <v>41330</v>
      </c>
      <c r="B1406" s="1" t="s">
        <v>2174</v>
      </c>
      <c r="C1406" s="1" t="s">
        <v>162</v>
      </c>
      <c r="D1406" s="5" t="s">
        <v>1882</v>
      </c>
      <c r="E1406" s="1" t="s">
        <v>145</v>
      </c>
      <c r="F1406" s="1">
        <v>-4</v>
      </c>
      <c r="G1406" s="1" t="s">
        <v>5241</v>
      </c>
      <c r="H1406" s="234">
        <v>19.850000000000001</v>
      </c>
      <c r="I1406" s="235">
        <f t="shared" si="113"/>
        <v>-79.400000000000006</v>
      </c>
      <c r="K1406" s="250">
        <f>-4*16.5</f>
        <v>-66</v>
      </c>
      <c r="L1406" s="237" t="s">
        <v>5243</v>
      </c>
      <c r="M1406" s="1" t="s">
        <v>5243</v>
      </c>
      <c r="N1406" s="235">
        <f t="shared" si="108"/>
        <v>-79.400000000000006</v>
      </c>
      <c r="O1406" s="235">
        <f t="shared" si="110"/>
        <v>0</v>
      </c>
      <c r="P1406" s="238" t="s">
        <v>5214</v>
      </c>
      <c r="Q1406" s="1" t="s">
        <v>5214</v>
      </c>
      <c r="R1406" s="239" t="s">
        <v>5214</v>
      </c>
      <c r="S1406" s="238" t="s">
        <v>5214</v>
      </c>
      <c r="T1406" s="238" t="s">
        <v>3533</v>
      </c>
      <c r="U1406" s="238" t="s">
        <v>167</v>
      </c>
      <c r="V1406" s="238" t="s">
        <v>5214</v>
      </c>
      <c r="W1406" s="236" t="s">
        <v>167</v>
      </c>
      <c r="X1406" s="233" t="s">
        <v>167</v>
      </c>
      <c r="Y1406" s="238" t="s">
        <v>167</v>
      </c>
      <c r="AB1406" s="5" t="s">
        <v>1561</v>
      </c>
    </row>
    <row r="1407" spans="1:28">
      <c r="A1407" s="233">
        <v>41330</v>
      </c>
      <c r="B1407" s="1" t="s">
        <v>2174</v>
      </c>
      <c r="C1407" s="1" t="s">
        <v>162</v>
      </c>
      <c r="D1407" s="1" t="s">
        <v>1186</v>
      </c>
      <c r="E1407" s="1">
        <v>8247</v>
      </c>
      <c r="F1407" s="1">
        <v>-11</v>
      </c>
      <c r="G1407" s="1" t="s">
        <v>5241</v>
      </c>
      <c r="H1407" s="234">
        <v>13.7</v>
      </c>
      <c r="I1407" s="235">
        <f t="shared" si="113"/>
        <v>-150.69999999999999</v>
      </c>
      <c r="K1407" s="250">
        <f>12.35*-11</f>
        <v>-135.85</v>
      </c>
      <c r="L1407" s="237" t="s">
        <v>5243</v>
      </c>
      <c r="M1407" s="1" t="s">
        <v>5243</v>
      </c>
      <c r="N1407" s="235">
        <f t="shared" ref="N1407:N1472" si="114">I1407</f>
        <v>-150.69999999999999</v>
      </c>
      <c r="O1407" s="235">
        <f t="shared" si="110"/>
        <v>0</v>
      </c>
      <c r="P1407" s="238" t="s">
        <v>5214</v>
      </c>
      <c r="Q1407" s="1" t="s">
        <v>5214</v>
      </c>
      <c r="R1407" s="239" t="s">
        <v>5214</v>
      </c>
      <c r="S1407" s="238" t="s">
        <v>5214</v>
      </c>
      <c r="T1407" s="238" t="s">
        <v>3533</v>
      </c>
      <c r="U1407" s="238" t="s">
        <v>167</v>
      </c>
      <c r="V1407" s="238" t="s">
        <v>5214</v>
      </c>
      <c r="W1407" s="236" t="s">
        <v>167</v>
      </c>
      <c r="X1407" s="233" t="s">
        <v>167</v>
      </c>
      <c r="Y1407" s="238" t="s">
        <v>167</v>
      </c>
      <c r="AB1407" s="5" t="s">
        <v>1561</v>
      </c>
    </row>
    <row r="1408" spans="1:28">
      <c r="A1408" s="233">
        <v>41330</v>
      </c>
      <c r="B1408" s="1" t="s">
        <v>3606</v>
      </c>
      <c r="C1408" s="277" t="s">
        <v>162</v>
      </c>
      <c r="D1408" s="5" t="s">
        <v>2012</v>
      </c>
      <c r="E1408" s="1" t="s">
        <v>180</v>
      </c>
      <c r="F1408" s="1">
        <v>2000</v>
      </c>
      <c r="G1408" s="1" t="s">
        <v>170</v>
      </c>
      <c r="H1408" s="234">
        <v>1.9</v>
      </c>
      <c r="I1408" s="235">
        <f t="shared" si="113"/>
        <v>3800</v>
      </c>
      <c r="K1408" s="250">
        <f>1.55*2000</f>
        <v>3100</v>
      </c>
      <c r="L1408" s="237">
        <v>41330</v>
      </c>
      <c r="M1408" s="1" t="s">
        <v>5160</v>
      </c>
      <c r="N1408" s="235">
        <f t="shared" si="114"/>
        <v>3800</v>
      </c>
      <c r="O1408" s="235">
        <f t="shared" si="110"/>
        <v>0</v>
      </c>
      <c r="P1408" s="238" t="s">
        <v>5158</v>
      </c>
      <c r="Q1408" s="1" t="s">
        <v>1562</v>
      </c>
      <c r="R1408" s="239" t="s">
        <v>2483</v>
      </c>
      <c r="S1408" s="238" t="s">
        <v>2484</v>
      </c>
      <c r="T1408" s="238" t="s">
        <v>167</v>
      </c>
      <c r="V1408" s="238" t="s">
        <v>175</v>
      </c>
      <c r="AB1408" s="1" t="s">
        <v>2064</v>
      </c>
    </row>
    <row r="1409" spans="1:28">
      <c r="A1409" s="233">
        <v>41330</v>
      </c>
      <c r="B1409" s="1" t="s">
        <v>5127</v>
      </c>
      <c r="C1409" s="1" t="s">
        <v>162</v>
      </c>
      <c r="D1409" s="1" t="s">
        <v>1210</v>
      </c>
      <c r="E1409" s="1">
        <v>3200</v>
      </c>
      <c r="F1409" s="1">
        <v>200</v>
      </c>
      <c r="G1409" s="1" t="s">
        <v>170</v>
      </c>
      <c r="H1409" s="234">
        <v>26.81</v>
      </c>
      <c r="I1409" s="235">
        <f>F1409*H1409</f>
        <v>5362</v>
      </c>
      <c r="K1409" s="250">
        <f>23.94*100</f>
        <v>2394</v>
      </c>
      <c r="L1409" s="237">
        <v>41330</v>
      </c>
      <c r="M1409" s="1" t="s">
        <v>165</v>
      </c>
      <c r="N1409" s="235">
        <f t="shared" si="114"/>
        <v>5362</v>
      </c>
      <c r="O1409" s="235">
        <f t="shared" si="110"/>
        <v>0</v>
      </c>
      <c r="P1409" s="238" t="s">
        <v>5164</v>
      </c>
      <c r="Q1409" s="1" t="s">
        <v>5322</v>
      </c>
      <c r="R1409" s="239" t="s">
        <v>5129</v>
      </c>
      <c r="S1409" s="238" t="s">
        <v>5130</v>
      </c>
      <c r="T1409" s="238" t="s">
        <v>2233</v>
      </c>
      <c r="U1409" s="238" t="s">
        <v>5323</v>
      </c>
      <c r="V1409" s="238" t="s">
        <v>175</v>
      </c>
      <c r="W1409" s="236" t="s">
        <v>5324</v>
      </c>
      <c r="X1409" s="233" t="s">
        <v>5324</v>
      </c>
      <c r="Y1409" s="239" t="s">
        <v>5324</v>
      </c>
      <c r="AB1409" s="1" t="s">
        <v>1561</v>
      </c>
    </row>
    <row r="1410" spans="1:28">
      <c r="A1410" s="233">
        <v>41330</v>
      </c>
      <c r="B1410" s="1" t="s">
        <v>5127</v>
      </c>
      <c r="C1410" s="1" t="s">
        <v>162</v>
      </c>
      <c r="D1410" s="5" t="s">
        <v>346</v>
      </c>
      <c r="E1410" s="1">
        <v>3700</v>
      </c>
      <c r="F1410" s="1">
        <v>200</v>
      </c>
      <c r="G1410" s="1" t="s">
        <v>170</v>
      </c>
      <c r="H1410" s="234">
        <v>3.46</v>
      </c>
      <c r="I1410" s="235">
        <f>F1410*H1410</f>
        <v>692</v>
      </c>
      <c r="K1410" s="250">
        <f>3.09*100</f>
        <v>309</v>
      </c>
      <c r="L1410" s="237">
        <v>41330</v>
      </c>
      <c r="M1410" s="1" t="s">
        <v>165</v>
      </c>
      <c r="N1410" s="235">
        <f t="shared" si="114"/>
        <v>692</v>
      </c>
      <c r="O1410" s="235">
        <f t="shared" si="110"/>
        <v>0</v>
      </c>
      <c r="P1410" s="238" t="s">
        <v>5164</v>
      </c>
      <c r="Q1410" s="1" t="s">
        <v>5322</v>
      </c>
      <c r="R1410" s="239" t="s">
        <v>5129</v>
      </c>
      <c r="S1410" s="238" t="s">
        <v>5130</v>
      </c>
      <c r="T1410" s="238" t="s">
        <v>2233</v>
      </c>
      <c r="U1410" s="238" t="s">
        <v>5323</v>
      </c>
      <c r="V1410" s="238" t="s">
        <v>175</v>
      </c>
      <c r="W1410" s="236" t="s">
        <v>5324</v>
      </c>
      <c r="X1410" s="233" t="s">
        <v>5324</v>
      </c>
      <c r="Y1410" s="239" t="s">
        <v>5324</v>
      </c>
      <c r="AB1410" s="1" t="s">
        <v>1561</v>
      </c>
    </row>
    <row r="1411" spans="1:28">
      <c r="A1411" s="233">
        <v>41330</v>
      </c>
      <c r="B1411" s="1" t="s">
        <v>5127</v>
      </c>
      <c r="C1411" s="1" t="s">
        <v>162</v>
      </c>
      <c r="D1411" s="5" t="s">
        <v>182</v>
      </c>
      <c r="E1411" s="1" t="s">
        <v>186</v>
      </c>
      <c r="F1411" s="1">
        <v>200</v>
      </c>
      <c r="G1411" s="1" t="s">
        <v>171</v>
      </c>
      <c r="H1411" s="234">
        <v>1.73</v>
      </c>
      <c r="I1411" s="235">
        <f>F1411*H1411</f>
        <v>346</v>
      </c>
      <c r="K1411" s="250">
        <f>1.54*100</f>
        <v>154</v>
      </c>
      <c r="L1411" s="237">
        <v>41330</v>
      </c>
      <c r="M1411" s="1" t="s">
        <v>165</v>
      </c>
      <c r="N1411" s="235">
        <f t="shared" si="114"/>
        <v>346</v>
      </c>
      <c r="O1411" s="235">
        <f t="shared" si="110"/>
        <v>0</v>
      </c>
      <c r="P1411" s="238" t="s">
        <v>5164</v>
      </c>
      <c r="Q1411" s="1" t="s">
        <v>5322</v>
      </c>
      <c r="R1411" s="239" t="s">
        <v>5129</v>
      </c>
      <c r="S1411" s="238" t="s">
        <v>5130</v>
      </c>
      <c r="T1411" s="238" t="s">
        <v>2233</v>
      </c>
      <c r="U1411" s="238" t="s">
        <v>5323</v>
      </c>
      <c r="V1411" s="238" t="s">
        <v>175</v>
      </c>
      <c r="W1411" s="236" t="s">
        <v>5324</v>
      </c>
      <c r="X1411" s="233" t="s">
        <v>5324</v>
      </c>
      <c r="Y1411" s="239" t="s">
        <v>5324</v>
      </c>
      <c r="AB1411" s="1" t="s">
        <v>1561</v>
      </c>
    </row>
    <row r="1412" spans="1:28">
      <c r="A1412" s="233">
        <v>41330</v>
      </c>
      <c r="B1412" s="1" t="s">
        <v>2105</v>
      </c>
      <c r="C1412" s="1" t="s">
        <v>162</v>
      </c>
      <c r="D1412" s="5" t="s">
        <v>2013</v>
      </c>
      <c r="E1412" s="1" t="s">
        <v>5170</v>
      </c>
      <c r="F1412" s="1">
        <v>20</v>
      </c>
      <c r="G1412" s="1" t="s">
        <v>5161</v>
      </c>
      <c r="H1412" s="234">
        <v>35</v>
      </c>
      <c r="I1412" s="236">
        <f>H1412*F1412</f>
        <v>700</v>
      </c>
      <c r="K1412" s="250">
        <f>33.111*20</f>
        <v>662.21999999999991</v>
      </c>
      <c r="L1412" s="237">
        <v>41361</v>
      </c>
      <c r="M1412" s="1" t="s">
        <v>165</v>
      </c>
      <c r="N1412" s="235">
        <f t="shared" si="114"/>
        <v>700</v>
      </c>
      <c r="O1412" s="235">
        <f t="shared" si="110"/>
        <v>0</v>
      </c>
      <c r="P1412" s="238" t="s">
        <v>5163</v>
      </c>
      <c r="Q1412" s="1" t="s">
        <v>5186</v>
      </c>
      <c r="R1412" s="239" t="s">
        <v>2470</v>
      </c>
      <c r="S1412" s="238" t="s">
        <v>2103</v>
      </c>
      <c r="T1412" s="238" t="s">
        <v>773</v>
      </c>
      <c r="U1412" s="238" t="s">
        <v>5187</v>
      </c>
      <c r="V1412" s="238" t="s">
        <v>175</v>
      </c>
      <c r="AB1412" s="1" t="s">
        <v>1561</v>
      </c>
    </row>
    <row r="1413" spans="1:28">
      <c r="A1413" s="233">
        <v>41330</v>
      </c>
      <c r="B1413" s="1" t="s">
        <v>2105</v>
      </c>
      <c r="C1413" s="1" t="s">
        <v>162</v>
      </c>
      <c r="D1413" s="318" t="s">
        <v>5047</v>
      </c>
      <c r="E1413" s="1">
        <v>8210</v>
      </c>
      <c r="F1413" s="1">
        <v>300</v>
      </c>
      <c r="G1413" s="1" t="s">
        <v>5162</v>
      </c>
      <c r="H1413" s="234">
        <v>4.6500000000000004</v>
      </c>
      <c r="I1413" s="236">
        <f>H1413*F1413</f>
        <v>1395</v>
      </c>
      <c r="K1413" s="250">
        <f>3.78*300</f>
        <v>1134</v>
      </c>
      <c r="L1413" s="237">
        <v>41361</v>
      </c>
      <c r="M1413" s="1" t="s">
        <v>165</v>
      </c>
      <c r="N1413" s="235">
        <f t="shared" si="114"/>
        <v>1395</v>
      </c>
      <c r="O1413" s="235">
        <f t="shared" si="110"/>
        <v>0</v>
      </c>
      <c r="P1413" s="238" t="s">
        <v>5163</v>
      </c>
      <c r="Q1413" s="1" t="s">
        <v>5186</v>
      </c>
      <c r="R1413" s="239" t="s">
        <v>2470</v>
      </c>
      <c r="S1413" s="238" t="s">
        <v>2103</v>
      </c>
      <c r="T1413" s="238" t="s">
        <v>773</v>
      </c>
      <c r="U1413" s="238" t="s">
        <v>5187</v>
      </c>
      <c r="V1413" s="238" t="s">
        <v>175</v>
      </c>
      <c r="AB1413" s="1" t="s">
        <v>1561</v>
      </c>
    </row>
    <row r="1414" spans="1:28">
      <c r="A1414" s="233">
        <v>41330</v>
      </c>
      <c r="B1414" s="1" t="s">
        <v>5117</v>
      </c>
      <c r="C1414" s="1" t="s">
        <v>162</v>
      </c>
      <c r="D1414" s="1" t="s">
        <v>1210</v>
      </c>
      <c r="E1414" s="1">
        <v>3200</v>
      </c>
      <c r="F1414" s="1">
        <v>1</v>
      </c>
      <c r="G1414" s="1" t="s">
        <v>170</v>
      </c>
      <c r="H1414" s="234">
        <v>38.29</v>
      </c>
      <c r="I1414" s="235">
        <f>F1414*H1414</f>
        <v>38.29</v>
      </c>
      <c r="K1414" s="282">
        <v>23.94</v>
      </c>
      <c r="L1414" s="237">
        <v>41323</v>
      </c>
      <c r="M1414" s="1" t="s">
        <v>165</v>
      </c>
      <c r="N1414" s="235">
        <f t="shared" si="114"/>
        <v>38.29</v>
      </c>
      <c r="O1414" s="235">
        <f t="shared" si="110"/>
        <v>0</v>
      </c>
      <c r="P1414" s="238" t="s">
        <v>1207</v>
      </c>
      <c r="Q1414" s="5" t="s">
        <v>4839</v>
      </c>
      <c r="R1414" s="239" t="s">
        <v>5056</v>
      </c>
      <c r="S1414" s="238" t="s">
        <v>5057</v>
      </c>
      <c r="T1414" s="238" t="s">
        <v>5058</v>
      </c>
      <c r="U1414" s="238" t="s">
        <v>5169</v>
      </c>
      <c r="V1414" s="238" t="s">
        <v>175</v>
      </c>
      <c r="W1414" s="236" t="s">
        <v>167</v>
      </c>
      <c r="X1414" s="233" t="s">
        <v>167</v>
      </c>
      <c r="Y1414" s="238" t="s">
        <v>167</v>
      </c>
      <c r="Z1414" s="255" t="s">
        <v>5177</v>
      </c>
      <c r="AB1414" s="5" t="s">
        <v>1561</v>
      </c>
    </row>
    <row r="1415" spans="1:28">
      <c r="A1415" s="233">
        <v>41330</v>
      </c>
      <c r="B1415" s="1" t="s">
        <v>5117</v>
      </c>
      <c r="C1415" s="1" t="s">
        <v>162</v>
      </c>
      <c r="D1415" s="5" t="s">
        <v>346</v>
      </c>
      <c r="E1415" s="1">
        <v>3700</v>
      </c>
      <c r="F1415" s="1">
        <v>1</v>
      </c>
      <c r="G1415" s="1" t="s">
        <v>170</v>
      </c>
      <c r="H1415" s="234">
        <v>5.0599999999999996</v>
      </c>
      <c r="I1415" s="235">
        <f>F1415*H1415</f>
        <v>5.0599999999999996</v>
      </c>
      <c r="K1415" s="250">
        <v>3.09</v>
      </c>
      <c r="L1415" s="237">
        <v>41323</v>
      </c>
      <c r="M1415" s="1" t="s">
        <v>165</v>
      </c>
      <c r="N1415" s="235">
        <f t="shared" si="114"/>
        <v>5.0599999999999996</v>
      </c>
      <c r="O1415" s="235">
        <f t="shared" ref="O1415:O1433" si="115">I1415-N1415</f>
        <v>0</v>
      </c>
      <c r="P1415" s="238" t="s">
        <v>1207</v>
      </c>
      <c r="Q1415" s="5" t="s">
        <v>4839</v>
      </c>
      <c r="R1415" s="239" t="s">
        <v>5056</v>
      </c>
      <c r="S1415" s="238" t="s">
        <v>5057</v>
      </c>
      <c r="T1415" s="238" t="s">
        <v>5058</v>
      </c>
      <c r="U1415" s="238" t="s">
        <v>5169</v>
      </c>
      <c r="V1415" s="238" t="s">
        <v>175</v>
      </c>
      <c r="W1415" s="236" t="s">
        <v>167</v>
      </c>
      <c r="X1415" s="233" t="s">
        <v>167</v>
      </c>
      <c r="Y1415" s="238" t="s">
        <v>167</v>
      </c>
      <c r="AB1415" s="5" t="s">
        <v>1561</v>
      </c>
    </row>
    <row r="1416" spans="1:28">
      <c r="A1416" s="233">
        <v>41330</v>
      </c>
      <c r="B1416" s="1" t="s">
        <v>5117</v>
      </c>
      <c r="C1416" s="1" t="s">
        <v>162</v>
      </c>
      <c r="D1416" s="5" t="s">
        <v>182</v>
      </c>
      <c r="E1416" s="1" t="s">
        <v>5168</v>
      </c>
      <c r="F1416" s="1">
        <v>1</v>
      </c>
      <c r="G1416" s="1" t="s">
        <v>171</v>
      </c>
      <c r="H1416" s="234">
        <v>6.65</v>
      </c>
      <c r="I1416" s="235">
        <f>F1416*H1416</f>
        <v>6.65</v>
      </c>
      <c r="K1416" s="250">
        <v>1.54</v>
      </c>
      <c r="L1416" s="237">
        <v>41323</v>
      </c>
      <c r="M1416" s="1" t="s">
        <v>165</v>
      </c>
      <c r="N1416" s="235">
        <f t="shared" si="114"/>
        <v>6.65</v>
      </c>
      <c r="O1416" s="235">
        <f t="shared" si="115"/>
        <v>0</v>
      </c>
      <c r="P1416" s="238" t="s">
        <v>1207</v>
      </c>
      <c r="Q1416" s="5" t="s">
        <v>4839</v>
      </c>
      <c r="R1416" s="239" t="s">
        <v>5056</v>
      </c>
      <c r="S1416" s="238" t="s">
        <v>5057</v>
      </c>
      <c r="T1416" s="238" t="s">
        <v>5058</v>
      </c>
      <c r="U1416" s="238" t="s">
        <v>5169</v>
      </c>
      <c r="V1416" s="238" t="s">
        <v>175</v>
      </c>
      <c r="W1416" s="236" t="s">
        <v>167</v>
      </c>
      <c r="X1416" s="233" t="s">
        <v>167</v>
      </c>
      <c r="Y1416" s="238" t="s">
        <v>167</v>
      </c>
      <c r="AB1416" s="5" t="s">
        <v>1561</v>
      </c>
    </row>
    <row r="1417" spans="1:28">
      <c r="A1417" s="233">
        <v>41330</v>
      </c>
      <c r="B1417" s="1" t="s">
        <v>2311</v>
      </c>
      <c r="C1417" s="1" t="s">
        <v>162</v>
      </c>
      <c r="D1417" s="5" t="s">
        <v>2009</v>
      </c>
      <c r="E1417" s="314" t="s">
        <v>2081</v>
      </c>
      <c r="F1417" s="1">
        <v>20</v>
      </c>
      <c r="G1417" s="1" t="s">
        <v>5180</v>
      </c>
      <c r="H1417" s="234">
        <v>30.5</v>
      </c>
      <c r="I1417" s="235">
        <f>F1417*H1417</f>
        <v>610</v>
      </c>
      <c r="K1417" s="250">
        <f>27*20</f>
        <v>540</v>
      </c>
      <c r="L1417" s="237">
        <v>41334</v>
      </c>
      <c r="M1417" s="1" t="s">
        <v>166</v>
      </c>
      <c r="N1417" s="235">
        <f t="shared" si="114"/>
        <v>610</v>
      </c>
      <c r="O1417" s="235">
        <f t="shared" si="115"/>
        <v>0</v>
      </c>
      <c r="P1417" s="238" t="s">
        <v>5178</v>
      </c>
      <c r="Q1417" s="5" t="s">
        <v>5181</v>
      </c>
      <c r="R1417" s="239" t="s">
        <v>5182</v>
      </c>
      <c r="S1417" s="238" t="s">
        <v>5183</v>
      </c>
      <c r="T1417" s="238" t="s">
        <v>5184</v>
      </c>
      <c r="U1417" s="238" t="s">
        <v>5185</v>
      </c>
      <c r="V1417" s="238" t="s">
        <v>5267</v>
      </c>
      <c r="W1417" s="236">
        <v>1920</v>
      </c>
      <c r="X1417" s="233">
        <v>41332</v>
      </c>
      <c r="Y1417" s="238" t="s">
        <v>5299</v>
      </c>
      <c r="AB1417" s="5" t="s">
        <v>1561</v>
      </c>
    </row>
    <row r="1418" spans="1:28">
      <c r="A1418" s="233">
        <v>41331</v>
      </c>
      <c r="B1418" s="1" t="s">
        <v>5172</v>
      </c>
      <c r="C1418" s="1" t="s">
        <v>162</v>
      </c>
      <c r="D1418" s="318" t="s">
        <v>5047</v>
      </c>
      <c r="E1418" s="1">
        <v>8210</v>
      </c>
      <c r="F1418" s="1">
        <v>20</v>
      </c>
      <c r="G1418" s="1" t="s">
        <v>5162</v>
      </c>
      <c r="H1418" s="234">
        <v>4.78</v>
      </c>
      <c r="I1418" s="235">
        <f t="shared" ref="I1418:I1424" si="116">F1418*H1418</f>
        <v>95.600000000000009</v>
      </c>
      <c r="K1418" s="250">
        <f>3.78*20</f>
        <v>75.599999999999994</v>
      </c>
      <c r="L1418" s="237">
        <v>41331</v>
      </c>
      <c r="M1418" s="1" t="s">
        <v>5200</v>
      </c>
      <c r="N1418" s="235">
        <f t="shared" si="114"/>
        <v>95.600000000000009</v>
      </c>
      <c r="O1418" s="235">
        <f t="shared" si="115"/>
        <v>0</v>
      </c>
      <c r="P1418" s="238" t="s">
        <v>5174</v>
      </c>
      <c r="Q1418" s="1" t="s">
        <v>5249</v>
      </c>
      <c r="R1418" s="239" t="s">
        <v>5175</v>
      </c>
      <c r="S1418" s="238" t="s">
        <v>5176</v>
      </c>
      <c r="T1418" s="238" t="s">
        <v>5294</v>
      </c>
      <c r="U1418" s="238" t="s">
        <v>5250</v>
      </c>
      <c r="V1418" s="238" t="s">
        <v>5251</v>
      </c>
      <c r="W1418" s="236">
        <v>191.6</v>
      </c>
      <c r="X1418" s="233">
        <v>41332</v>
      </c>
      <c r="Y1418" s="238" t="s">
        <v>5298</v>
      </c>
      <c r="AA1418" s="282" t="s">
        <v>2141</v>
      </c>
      <c r="AB1418" s="5" t="s">
        <v>1561</v>
      </c>
    </row>
    <row r="1419" spans="1:28">
      <c r="A1419" s="233">
        <v>41331</v>
      </c>
      <c r="B1419" s="1" t="s">
        <v>5172</v>
      </c>
      <c r="C1419" s="1" t="s">
        <v>162</v>
      </c>
      <c r="D1419" s="1" t="s">
        <v>2280</v>
      </c>
      <c r="E1419" s="1" t="s">
        <v>5166</v>
      </c>
      <c r="F1419" s="1">
        <v>50</v>
      </c>
      <c r="G1419" s="1" t="s">
        <v>5162</v>
      </c>
      <c r="H1419" s="234">
        <v>1.92</v>
      </c>
      <c r="I1419" s="235">
        <f t="shared" si="116"/>
        <v>96</v>
      </c>
      <c r="K1419" s="250">
        <f>1.77*50</f>
        <v>88.5</v>
      </c>
      <c r="L1419" s="237">
        <v>41331</v>
      </c>
      <c r="M1419" s="1" t="s">
        <v>5200</v>
      </c>
      <c r="N1419" s="235">
        <f t="shared" si="114"/>
        <v>96</v>
      </c>
      <c r="O1419" s="235">
        <f t="shared" si="115"/>
        <v>0</v>
      </c>
      <c r="P1419" s="238" t="s">
        <v>5174</v>
      </c>
      <c r="Q1419" s="1" t="s">
        <v>5249</v>
      </c>
      <c r="R1419" s="239" t="s">
        <v>5175</v>
      </c>
      <c r="S1419" s="238" t="s">
        <v>5176</v>
      </c>
      <c r="T1419" s="238" t="s">
        <v>5294</v>
      </c>
      <c r="U1419" s="238" t="s">
        <v>5250</v>
      </c>
      <c r="V1419" s="238" t="s">
        <v>5251</v>
      </c>
      <c r="W1419" s="236">
        <v>191.6</v>
      </c>
      <c r="X1419" s="233">
        <v>41332</v>
      </c>
      <c r="Y1419" s="238" t="s">
        <v>5298</v>
      </c>
      <c r="AA1419" s="282" t="s">
        <v>2141</v>
      </c>
      <c r="AB1419" s="5" t="s">
        <v>1561</v>
      </c>
    </row>
    <row r="1420" spans="1:28">
      <c r="A1420" s="233">
        <v>41331</v>
      </c>
      <c r="B1420" s="1" t="s">
        <v>2349</v>
      </c>
      <c r="C1420" s="1" t="s">
        <v>162</v>
      </c>
      <c r="D1420" s="314" t="s">
        <v>1826</v>
      </c>
      <c r="E1420" s="1">
        <v>502</v>
      </c>
      <c r="F1420" s="1">
        <v>20</v>
      </c>
      <c r="G1420" s="1" t="s">
        <v>5195</v>
      </c>
      <c r="H1420" s="234">
        <v>13.34</v>
      </c>
      <c r="I1420" s="235">
        <f t="shared" si="116"/>
        <v>266.8</v>
      </c>
      <c r="K1420" s="250">
        <f>12.5*20</f>
        <v>250</v>
      </c>
      <c r="L1420" s="237">
        <v>41331</v>
      </c>
      <c r="M1420" s="1" t="s">
        <v>5240</v>
      </c>
      <c r="N1420" s="235">
        <f t="shared" si="114"/>
        <v>266.8</v>
      </c>
      <c r="O1420" s="235">
        <f t="shared" si="115"/>
        <v>0</v>
      </c>
      <c r="P1420" s="238" t="s">
        <v>5214</v>
      </c>
      <c r="Q1420" s="1" t="s">
        <v>5212</v>
      </c>
      <c r="R1420" s="239" t="s">
        <v>727</v>
      </c>
      <c r="S1420" s="238" t="s">
        <v>5312</v>
      </c>
      <c r="T1420" s="238" t="s">
        <v>796</v>
      </c>
      <c r="U1420" s="238" t="s">
        <v>5215</v>
      </c>
      <c r="AB1420" s="5" t="s">
        <v>1561</v>
      </c>
    </row>
    <row r="1421" spans="1:28">
      <c r="A1421" s="233">
        <v>41331</v>
      </c>
      <c r="B1421" s="1" t="s">
        <v>5217</v>
      </c>
      <c r="C1421" s="1" t="s">
        <v>162</v>
      </c>
      <c r="D1421" s="1" t="s">
        <v>1210</v>
      </c>
      <c r="E1421" s="1">
        <v>3200</v>
      </c>
      <c r="F1421" s="1">
        <v>10</v>
      </c>
      <c r="G1421" s="1" t="s">
        <v>170</v>
      </c>
      <c r="H1421" s="234">
        <v>30</v>
      </c>
      <c r="I1421" s="235">
        <f t="shared" si="116"/>
        <v>300</v>
      </c>
      <c r="K1421" s="250">
        <f>23.94*10</f>
        <v>239.4</v>
      </c>
      <c r="L1421" s="237">
        <v>41333</v>
      </c>
      <c r="M1421" s="1" t="s">
        <v>688</v>
      </c>
      <c r="N1421" s="235">
        <f t="shared" si="114"/>
        <v>300</v>
      </c>
      <c r="O1421" s="235">
        <f t="shared" si="115"/>
        <v>0</v>
      </c>
      <c r="P1421" s="238" t="s">
        <v>5233</v>
      </c>
      <c r="Q1421" s="1" t="s">
        <v>5234</v>
      </c>
      <c r="R1421" s="239" t="s">
        <v>5235</v>
      </c>
      <c r="S1421" s="238" t="s">
        <v>5236</v>
      </c>
      <c r="T1421" s="238" t="s">
        <v>5237</v>
      </c>
      <c r="U1421" s="238" t="s">
        <v>5238</v>
      </c>
      <c r="AB1421" s="5" t="s">
        <v>1561</v>
      </c>
    </row>
    <row r="1422" spans="1:28">
      <c r="A1422" s="233">
        <v>41331</v>
      </c>
      <c r="B1422" s="1" t="s">
        <v>5217</v>
      </c>
      <c r="C1422" s="1" t="s">
        <v>162</v>
      </c>
      <c r="D1422" s="315" t="s">
        <v>353</v>
      </c>
      <c r="E1422" s="1" t="s">
        <v>5230</v>
      </c>
      <c r="F1422" s="1">
        <v>10</v>
      </c>
      <c r="G1422" s="1" t="s">
        <v>170</v>
      </c>
      <c r="H1422" s="234">
        <v>18</v>
      </c>
      <c r="I1422" s="235">
        <f t="shared" si="116"/>
        <v>180</v>
      </c>
      <c r="K1422" s="250">
        <f>10.94*10</f>
        <v>109.39999999999999</v>
      </c>
      <c r="L1422" s="237">
        <v>41333</v>
      </c>
      <c r="M1422" s="1" t="s">
        <v>688</v>
      </c>
      <c r="N1422" s="235">
        <f t="shared" si="114"/>
        <v>180</v>
      </c>
      <c r="O1422" s="235">
        <f t="shared" si="115"/>
        <v>0</v>
      </c>
      <c r="P1422" s="238" t="s">
        <v>5233</v>
      </c>
      <c r="Q1422" s="1" t="s">
        <v>5234</v>
      </c>
      <c r="R1422" s="239" t="s">
        <v>5235</v>
      </c>
      <c r="S1422" s="238" t="s">
        <v>5236</v>
      </c>
      <c r="T1422" s="238" t="s">
        <v>5237</v>
      </c>
      <c r="U1422" s="238" t="s">
        <v>5238</v>
      </c>
      <c r="AB1422" s="5" t="s">
        <v>1561</v>
      </c>
    </row>
    <row r="1423" spans="1:28">
      <c r="A1423" s="233">
        <v>41331</v>
      </c>
      <c r="B1423" s="1" t="s">
        <v>5217</v>
      </c>
      <c r="C1423" s="1" t="s">
        <v>162</v>
      </c>
      <c r="D1423" s="315" t="s">
        <v>5231</v>
      </c>
      <c r="E1423" s="1" t="s">
        <v>197</v>
      </c>
      <c r="F1423" s="1">
        <v>10</v>
      </c>
      <c r="G1423" s="1" t="s">
        <v>170</v>
      </c>
      <c r="H1423" s="234">
        <v>4</v>
      </c>
      <c r="I1423" s="235">
        <f t="shared" si="116"/>
        <v>40</v>
      </c>
      <c r="K1423" s="250">
        <f>1.88*10</f>
        <v>18.799999999999997</v>
      </c>
      <c r="L1423" s="237">
        <v>41333</v>
      </c>
      <c r="M1423" s="1" t="s">
        <v>688</v>
      </c>
      <c r="N1423" s="235">
        <f t="shared" si="114"/>
        <v>40</v>
      </c>
      <c r="O1423" s="235">
        <f t="shared" si="115"/>
        <v>0</v>
      </c>
      <c r="P1423" s="238" t="s">
        <v>5233</v>
      </c>
      <c r="Q1423" s="1" t="s">
        <v>5234</v>
      </c>
      <c r="R1423" s="239" t="s">
        <v>5235</v>
      </c>
      <c r="S1423" s="238" t="s">
        <v>5236</v>
      </c>
      <c r="T1423" s="238" t="s">
        <v>5237</v>
      </c>
      <c r="U1423" s="238" t="s">
        <v>5238</v>
      </c>
      <c r="AB1423" s="5" t="s">
        <v>1561</v>
      </c>
    </row>
    <row r="1424" spans="1:28">
      <c r="A1424" s="233">
        <v>41331</v>
      </c>
      <c r="B1424" s="1" t="s">
        <v>5217</v>
      </c>
      <c r="C1424" s="1" t="s">
        <v>162</v>
      </c>
      <c r="D1424" s="315" t="s">
        <v>268</v>
      </c>
      <c r="E1424" s="1" t="s">
        <v>5232</v>
      </c>
      <c r="F1424" s="1">
        <v>10</v>
      </c>
      <c r="G1424" s="1" t="s">
        <v>5225</v>
      </c>
      <c r="H1424" s="234">
        <v>3</v>
      </c>
      <c r="I1424" s="235">
        <f t="shared" si="116"/>
        <v>30</v>
      </c>
      <c r="K1424" s="250">
        <f>1.17*10</f>
        <v>11.7</v>
      </c>
      <c r="L1424" s="237">
        <v>41333</v>
      </c>
      <c r="M1424" s="1" t="s">
        <v>688</v>
      </c>
      <c r="N1424" s="235">
        <f t="shared" si="114"/>
        <v>30</v>
      </c>
      <c r="O1424" s="235">
        <f t="shared" si="115"/>
        <v>0</v>
      </c>
      <c r="P1424" s="238" t="s">
        <v>5233</v>
      </c>
      <c r="Q1424" s="1" t="s">
        <v>5234</v>
      </c>
      <c r="R1424" s="239" t="s">
        <v>5235</v>
      </c>
      <c r="S1424" s="238" t="s">
        <v>5236</v>
      </c>
      <c r="T1424" s="238" t="s">
        <v>5237</v>
      </c>
      <c r="U1424" s="238" t="s">
        <v>5238</v>
      </c>
      <c r="AB1424" s="5" t="s">
        <v>1561</v>
      </c>
    </row>
    <row r="1425" spans="1:28">
      <c r="A1425" s="233">
        <v>41331</v>
      </c>
      <c r="B1425" s="1" t="s">
        <v>2948</v>
      </c>
      <c r="C1425" s="1" t="s">
        <v>162</v>
      </c>
      <c r="D1425" s="5" t="s">
        <v>2012</v>
      </c>
      <c r="E1425" s="1" t="s">
        <v>5151</v>
      </c>
      <c r="F1425" s="1">
        <v>100</v>
      </c>
      <c r="G1425" s="1" t="s">
        <v>5152</v>
      </c>
      <c r="H1425" s="234">
        <v>2.68</v>
      </c>
      <c r="I1425" s="235">
        <f t="shared" ref="I1425:I1433" si="117">F1425*H1425</f>
        <v>268</v>
      </c>
      <c r="K1425" s="241">
        <f>1.4*100</f>
        <v>140</v>
      </c>
      <c r="L1425" s="237">
        <v>41365</v>
      </c>
      <c r="M1425" s="1" t="s">
        <v>166</v>
      </c>
      <c r="N1425" s="235">
        <f t="shared" si="114"/>
        <v>268</v>
      </c>
      <c r="O1425" s="235">
        <f t="shared" si="115"/>
        <v>0</v>
      </c>
      <c r="P1425" s="238" t="s">
        <v>5153</v>
      </c>
      <c r="Q1425" s="1" t="s">
        <v>5212</v>
      </c>
      <c r="R1425" s="239" t="s">
        <v>2137</v>
      </c>
      <c r="S1425" s="238" t="s">
        <v>3650</v>
      </c>
      <c r="T1425" s="238" t="s">
        <v>2138</v>
      </c>
      <c r="U1425" s="238" t="s">
        <v>5216</v>
      </c>
      <c r="V1425" s="238" t="s">
        <v>5239</v>
      </c>
      <c r="W1425" s="236">
        <v>268</v>
      </c>
      <c r="X1425" s="233">
        <v>41331</v>
      </c>
      <c r="Y1425" s="238" t="s">
        <v>5216</v>
      </c>
      <c r="AA1425" s="240" t="s">
        <v>2141</v>
      </c>
      <c r="AB1425" s="1" t="s">
        <v>2064</v>
      </c>
    </row>
    <row r="1426" spans="1:28">
      <c r="A1426" s="233">
        <v>41331</v>
      </c>
      <c r="B1426" s="1" t="s">
        <v>2169</v>
      </c>
      <c r="C1426" s="1" t="s">
        <v>162</v>
      </c>
      <c r="D1426" s="1" t="s">
        <v>1210</v>
      </c>
      <c r="E1426" s="1">
        <v>3200</v>
      </c>
      <c r="F1426" s="1">
        <v>200</v>
      </c>
      <c r="G1426" s="1" t="s">
        <v>170</v>
      </c>
      <c r="H1426" s="234">
        <v>26</v>
      </c>
      <c r="I1426" s="235">
        <f t="shared" si="117"/>
        <v>5200</v>
      </c>
      <c r="K1426" s="241">
        <f>23.94*200</f>
        <v>4788</v>
      </c>
      <c r="L1426" s="237">
        <v>41359</v>
      </c>
      <c r="M1426" s="1" t="s">
        <v>166</v>
      </c>
      <c r="N1426" s="235">
        <f t="shared" si="114"/>
        <v>5200</v>
      </c>
      <c r="O1426" s="235">
        <f t="shared" si="115"/>
        <v>0</v>
      </c>
      <c r="P1426" s="238" t="s">
        <v>167</v>
      </c>
      <c r="Q1426" s="1" t="s">
        <v>5228</v>
      </c>
      <c r="R1426" s="239" t="s">
        <v>2379</v>
      </c>
      <c r="S1426" s="238" t="s">
        <v>2380</v>
      </c>
      <c r="T1426" s="238" t="s">
        <v>3685</v>
      </c>
      <c r="U1426" s="238" t="s">
        <v>5229</v>
      </c>
      <c r="V1426" s="238" t="s">
        <v>5697</v>
      </c>
      <c r="W1426" s="236">
        <v>113433.12</v>
      </c>
      <c r="X1426" s="233">
        <v>41354</v>
      </c>
      <c r="Y1426" s="238" t="s">
        <v>5698</v>
      </c>
      <c r="AB1426" s="1" t="s">
        <v>1561</v>
      </c>
    </row>
    <row r="1427" spans="1:28">
      <c r="A1427" s="233">
        <v>41331</v>
      </c>
      <c r="B1427" s="1" t="s">
        <v>2169</v>
      </c>
      <c r="C1427" s="1" t="s">
        <v>162</v>
      </c>
      <c r="D1427" s="5" t="s">
        <v>346</v>
      </c>
      <c r="E1427" s="1">
        <v>3700</v>
      </c>
      <c r="F1427" s="1">
        <v>200</v>
      </c>
      <c r="G1427" s="1" t="s">
        <v>170</v>
      </c>
      <c r="H1427" s="234">
        <v>3.6</v>
      </c>
      <c r="I1427" s="235">
        <f t="shared" si="117"/>
        <v>720</v>
      </c>
      <c r="K1427" s="241">
        <f>3.09*200</f>
        <v>618</v>
      </c>
      <c r="L1427" s="237">
        <v>41359</v>
      </c>
      <c r="M1427" s="1" t="s">
        <v>166</v>
      </c>
      <c r="N1427" s="235">
        <f t="shared" si="114"/>
        <v>720</v>
      </c>
      <c r="O1427" s="235">
        <f t="shared" si="115"/>
        <v>0</v>
      </c>
      <c r="P1427" s="238" t="s">
        <v>167</v>
      </c>
      <c r="Q1427" s="1" t="s">
        <v>5228</v>
      </c>
      <c r="R1427" s="239" t="s">
        <v>2379</v>
      </c>
      <c r="S1427" s="238" t="s">
        <v>2380</v>
      </c>
      <c r="T1427" s="238" t="s">
        <v>3685</v>
      </c>
      <c r="U1427" s="238" t="s">
        <v>5229</v>
      </c>
      <c r="V1427" s="238" t="s">
        <v>5697</v>
      </c>
      <c r="W1427" s="236">
        <v>113433.12</v>
      </c>
      <c r="X1427" s="233">
        <v>41354</v>
      </c>
      <c r="Y1427" s="238" t="s">
        <v>5698</v>
      </c>
      <c r="AB1427" s="1" t="s">
        <v>1561</v>
      </c>
    </row>
    <row r="1428" spans="1:28">
      <c r="A1428" s="233">
        <v>41331</v>
      </c>
      <c r="B1428" s="1" t="s">
        <v>2169</v>
      </c>
      <c r="C1428" s="1" t="s">
        <v>162</v>
      </c>
      <c r="D1428" s="1" t="s">
        <v>232</v>
      </c>
      <c r="E1428" s="1" t="s">
        <v>186</v>
      </c>
      <c r="F1428" s="1">
        <v>2500</v>
      </c>
      <c r="G1428" s="1" t="s">
        <v>5225</v>
      </c>
      <c r="H1428" s="234">
        <v>1.65</v>
      </c>
      <c r="I1428" s="235">
        <f t="shared" si="117"/>
        <v>4125</v>
      </c>
      <c r="K1428" s="241">
        <f>1.54*2500</f>
        <v>3850</v>
      </c>
      <c r="L1428" s="237">
        <v>41359</v>
      </c>
      <c r="M1428" s="1" t="s">
        <v>166</v>
      </c>
      <c r="N1428" s="235">
        <f t="shared" si="114"/>
        <v>4125</v>
      </c>
      <c r="O1428" s="235">
        <f t="shared" si="115"/>
        <v>0</v>
      </c>
      <c r="P1428" s="238" t="s">
        <v>167</v>
      </c>
      <c r="Q1428" s="1" t="s">
        <v>5228</v>
      </c>
      <c r="R1428" s="239" t="s">
        <v>2379</v>
      </c>
      <c r="S1428" s="238" t="s">
        <v>2380</v>
      </c>
      <c r="T1428" s="238" t="s">
        <v>3685</v>
      </c>
      <c r="U1428" s="238" t="s">
        <v>5229</v>
      </c>
      <c r="V1428" s="238" t="s">
        <v>5697</v>
      </c>
      <c r="W1428" s="236">
        <v>113433.12</v>
      </c>
      <c r="X1428" s="233">
        <v>41354</v>
      </c>
      <c r="Y1428" s="238" t="s">
        <v>5698</v>
      </c>
      <c r="AB1428" s="1" t="s">
        <v>1561</v>
      </c>
    </row>
    <row r="1429" spans="1:28">
      <c r="A1429" s="233">
        <v>41331</v>
      </c>
      <c r="B1429" s="1" t="s">
        <v>2169</v>
      </c>
      <c r="C1429" s="1" t="s">
        <v>162</v>
      </c>
      <c r="D1429" s="5" t="s">
        <v>182</v>
      </c>
      <c r="E1429" s="1" t="s">
        <v>2049</v>
      </c>
      <c r="F1429" s="1">
        <v>2500</v>
      </c>
      <c r="G1429" s="1" t="s">
        <v>5225</v>
      </c>
      <c r="H1429" s="234">
        <v>1.65</v>
      </c>
      <c r="I1429" s="235">
        <f t="shared" si="117"/>
        <v>4125</v>
      </c>
      <c r="K1429" s="250">
        <f>1.24*2500</f>
        <v>3100</v>
      </c>
      <c r="L1429" s="237">
        <v>41359</v>
      </c>
      <c r="M1429" s="1" t="s">
        <v>166</v>
      </c>
      <c r="N1429" s="235">
        <f t="shared" si="114"/>
        <v>4125</v>
      </c>
      <c r="O1429" s="235">
        <f t="shared" si="115"/>
        <v>0</v>
      </c>
      <c r="P1429" s="238" t="s">
        <v>167</v>
      </c>
      <c r="Q1429" s="1" t="s">
        <v>5228</v>
      </c>
      <c r="R1429" s="239" t="s">
        <v>2379</v>
      </c>
      <c r="S1429" s="238" t="s">
        <v>2380</v>
      </c>
      <c r="T1429" s="238" t="s">
        <v>3685</v>
      </c>
      <c r="U1429" s="238" t="s">
        <v>5229</v>
      </c>
      <c r="V1429" s="238" t="s">
        <v>5697</v>
      </c>
      <c r="W1429" s="236">
        <v>113433.12</v>
      </c>
      <c r="X1429" s="233">
        <v>41354</v>
      </c>
      <c r="Y1429" s="238" t="s">
        <v>5698</v>
      </c>
      <c r="AB1429" s="1" t="s">
        <v>1561</v>
      </c>
    </row>
    <row r="1430" spans="1:28">
      <c r="A1430" s="233">
        <v>41331</v>
      </c>
      <c r="B1430" s="1" t="s">
        <v>2291</v>
      </c>
      <c r="C1430" s="1" t="s">
        <v>162</v>
      </c>
      <c r="D1430" s="1" t="s">
        <v>1763</v>
      </c>
      <c r="E1430" s="1">
        <v>9132</v>
      </c>
      <c r="F1430" s="1">
        <v>30</v>
      </c>
      <c r="G1430" s="1" t="s">
        <v>5195</v>
      </c>
      <c r="H1430" s="234">
        <v>4.0599999999999996</v>
      </c>
      <c r="I1430" s="235">
        <f t="shared" si="117"/>
        <v>121.79999999999998</v>
      </c>
      <c r="K1430" s="250">
        <f>2.92*30</f>
        <v>87.6</v>
      </c>
      <c r="L1430" s="237">
        <v>41327</v>
      </c>
      <c r="M1430" s="1" t="s">
        <v>5199</v>
      </c>
      <c r="N1430" s="235">
        <f t="shared" si="114"/>
        <v>121.79999999999998</v>
      </c>
      <c r="O1430" s="235">
        <f t="shared" si="115"/>
        <v>0</v>
      </c>
      <c r="P1430" s="238" t="s">
        <v>5198</v>
      </c>
      <c r="Q1430" s="1" t="s">
        <v>5212</v>
      </c>
      <c r="R1430" s="239" t="s">
        <v>5201</v>
      </c>
      <c r="S1430" s="238" t="s">
        <v>5202</v>
      </c>
      <c r="T1430" s="238" t="s">
        <v>5203</v>
      </c>
      <c r="U1430" s="238" t="s">
        <v>5213</v>
      </c>
      <c r="V1430" s="238" t="s">
        <v>5510</v>
      </c>
      <c r="W1430" s="236">
        <v>4221.8</v>
      </c>
      <c r="X1430" s="233">
        <v>41346</v>
      </c>
      <c r="Y1430" s="238" t="s">
        <v>6023</v>
      </c>
      <c r="AB1430" s="1" t="s">
        <v>2166</v>
      </c>
    </row>
    <row r="1431" spans="1:28">
      <c r="A1431" s="233">
        <v>41331</v>
      </c>
      <c r="B1431" s="1" t="s">
        <v>2291</v>
      </c>
      <c r="C1431" s="1" t="s">
        <v>162</v>
      </c>
      <c r="D1431" s="1" t="s">
        <v>1213</v>
      </c>
      <c r="E1431" s="1" t="s">
        <v>5191</v>
      </c>
      <c r="F1431" s="1">
        <v>30</v>
      </c>
      <c r="G1431" s="1" t="s">
        <v>172</v>
      </c>
      <c r="H1431" s="234">
        <v>20</v>
      </c>
      <c r="I1431" s="235">
        <f t="shared" si="117"/>
        <v>600</v>
      </c>
      <c r="K1431" s="250">
        <f>12.6*30</f>
        <v>378</v>
      </c>
      <c r="L1431" s="237">
        <v>41327</v>
      </c>
      <c r="M1431" s="1" t="s">
        <v>5199</v>
      </c>
      <c r="N1431" s="235">
        <f t="shared" si="114"/>
        <v>600</v>
      </c>
      <c r="O1431" s="235">
        <f t="shared" si="115"/>
        <v>0</v>
      </c>
      <c r="P1431" s="238" t="s">
        <v>5198</v>
      </c>
      <c r="Q1431" s="1" t="s">
        <v>5212</v>
      </c>
      <c r="R1431" s="239" t="s">
        <v>5201</v>
      </c>
      <c r="S1431" s="238" t="s">
        <v>5202</v>
      </c>
      <c r="T1431" s="238" t="s">
        <v>5203</v>
      </c>
      <c r="U1431" s="238" t="s">
        <v>5213</v>
      </c>
      <c r="V1431" s="238" t="s">
        <v>5511</v>
      </c>
      <c r="W1431" s="236">
        <v>4221.8</v>
      </c>
      <c r="X1431" s="233">
        <v>41346</v>
      </c>
      <c r="Y1431" s="238" t="s">
        <v>6023</v>
      </c>
      <c r="AB1431" s="1" t="s">
        <v>2166</v>
      </c>
    </row>
    <row r="1432" spans="1:28">
      <c r="A1432" s="233">
        <v>41331</v>
      </c>
      <c r="B1432" s="1" t="s">
        <v>2291</v>
      </c>
      <c r="C1432" s="1" t="s">
        <v>5190</v>
      </c>
      <c r="D1432" s="1" t="s">
        <v>5193</v>
      </c>
      <c r="E1432" s="1" t="s">
        <v>5192</v>
      </c>
      <c r="F1432" s="1">
        <v>50</v>
      </c>
      <c r="G1432" s="1" t="s">
        <v>5194</v>
      </c>
      <c r="H1432" s="234">
        <v>70</v>
      </c>
      <c r="I1432" s="235">
        <f t="shared" si="117"/>
        <v>3500</v>
      </c>
      <c r="K1432" s="250">
        <f>53*50</f>
        <v>2650</v>
      </c>
      <c r="L1432" s="237">
        <v>41327</v>
      </c>
      <c r="M1432" s="1" t="s">
        <v>5199</v>
      </c>
      <c r="N1432" s="235">
        <f t="shared" si="114"/>
        <v>3500</v>
      </c>
      <c r="O1432" s="235">
        <f t="shared" si="115"/>
        <v>0</v>
      </c>
      <c r="P1432" s="238" t="s">
        <v>5198</v>
      </c>
      <c r="Q1432" s="1" t="s">
        <v>5212</v>
      </c>
      <c r="R1432" s="239" t="s">
        <v>5201</v>
      </c>
      <c r="S1432" s="238" t="s">
        <v>5202</v>
      </c>
      <c r="T1432" s="238" t="s">
        <v>5203</v>
      </c>
      <c r="U1432" s="238" t="s">
        <v>5213</v>
      </c>
      <c r="V1432" s="238" t="s">
        <v>5512</v>
      </c>
      <c r="W1432" s="236">
        <v>4221.8</v>
      </c>
      <c r="X1432" s="233">
        <v>41346</v>
      </c>
      <c r="Y1432" s="238" t="s">
        <v>6023</v>
      </c>
      <c r="AB1432" s="1" t="s">
        <v>2166</v>
      </c>
    </row>
    <row r="1433" spans="1:28">
      <c r="A1433" s="233">
        <v>41332</v>
      </c>
      <c r="B1433" s="1" t="s">
        <v>4698</v>
      </c>
      <c r="C1433" s="1" t="s">
        <v>162</v>
      </c>
      <c r="D1433" s="5" t="s">
        <v>2012</v>
      </c>
      <c r="E1433" s="1" t="s">
        <v>1770</v>
      </c>
      <c r="F1433" s="1">
        <v>1000</v>
      </c>
      <c r="G1433" s="1" t="s">
        <v>170</v>
      </c>
      <c r="H1433" s="234">
        <v>1.75</v>
      </c>
      <c r="I1433" s="235">
        <f t="shared" si="117"/>
        <v>1750</v>
      </c>
      <c r="K1433" s="250">
        <f>1.55*1000</f>
        <v>1550</v>
      </c>
      <c r="L1433" s="237">
        <v>41331</v>
      </c>
      <c r="M1433" s="1" t="s">
        <v>165</v>
      </c>
      <c r="N1433" s="235">
        <f t="shared" si="114"/>
        <v>1750</v>
      </c>
      <c r="O1433" s="235">
        <f t="shared" si="115"/>
        <v>0</v>
      </c>
      <c r="P1433" s="238" t="s">
        <v>5208</v>
      </c>
      <c r="Q1433" s="1" t="s">
        <v>5186</v>
      </c>
      <c r="R1433" s="239" t="s">
        <v>4700</v>
      </c>
      <c r="S1433" s="238" t="s">
        <v>4701</v>
      </c>
      <c r="T1433" s="238" t="s">
        <v>4702</v>
      </c>
      <c r="U1433" s="238" t="s">
        <v>5279</v>
      </c>
      <c r="AB1433" s="1" t="s">
        <v>2166</v>
      </c>
    </row>
    <row r="1434" spans="1:28">
      <c r="A1434" s="233">
        <v>41332</v>
      </c>
      <c r="B1434" s="1" t="s">
        <v>4100</v>
      </c>
      <c r="C1434" s="1" t="s">
        <v>162</v>
      </c>
      <c r="D1434" s="1" t="s">
        <v>854</v>
      </c>
      <c r="E1434" s="1">
        <v>9031</v>
      </c>
      <c r="F1434" s="1">
        <v>50</v>
      </c>
      <c r="G1434" s="1" t="s">
        <v>170</v>
      </c>
      <c r="H1434" s="234">
        <v>2.7</v>
      </c>
      <c r="I1434" s="235">
        <f t="shared" ref="I1434:I1440" si="118">H1434*F1434</f>
        <v>135</v>
      </c>
      <c r="K1434" s="250">
        <f>1.4929*50</f>
        <v>74.644999999999996</v>
      </c>
      <c r="N1434" s="235">
        <v>0</v>
      </c>
      <c r="O1434" s="235">
        <f>I1434-N1434</f>
        <v>135</v>
      </c>
      <c r="P1434" s="238" t="s">
        <v>5204</v>
      </c>
      <c r="Q1434" s="1" t="s">
        <v>5283</v>
      </c>
      <c r="R1434" s="239" t="s">
        <v>4102</v>
      </c>
      <c r="S1434" s="238" t="s">
        <v>4103</v>
      </c>
      <c r="T1434" s="238" t="s">
        <v>4104</v>
      </c>
      <c r="U1434" s="238" t="s">
        <v>5284</v>
      </c>
      <c r="AB1434" s="1" t="s">
        <v>2064</v>
      </c>
    </row>
    <row r="1435" spans="1:28">
      <c r="A1435" s="233">
        <v>41332</v>
      </c>
      <c r="B1435" s="1" t="s">
        <v>1569</v>
      </c>
      <c r="C1435" s="5" t="s">
        <v>162</v>
      </c>
      <c r="D1435" s="1" t="s">
        <v>268</v>
      </c>
      <c r="E1435" s="1" t="s">
        <v>5260</v>
      </c>
      <c r="F1435" s="1">
        <v>100</v>
      </c>
      <c r="G1435" s="1" t="s">
        <v>5261</v>
      </c>
      <c r="H1435" s="234">
        <v>1.38</v>
      </c>
      <c r="I1435" s="235">
        <f t="shared" si="118"/>
        <v>138</v>
      </c>
      <c r="K1435" s="250">
        <f>1.17*100</f>
        <v>117</v>
      </c>
      <c r="L1435" s="237">
        <v>41361</v>
      </c>
      <c r="M1435" s="1" t="s">
        <v>166</v>
      </c>
      <c r="N1435" s="235">
        <f t="shared" si="114"/>
        <v>138</v>
      </c>
      <c r="O1435" s="235">
        <f t="shared" ref="O1435:O1461" si="119">I1435-N1435</f>
        <v>0</v>
      </c>
      <c r="P1435" s="238" t="s">
        <v>5262</v>
      </c>
      <c r="Q1435" s="1" t="s">
        <v>1571</v>
      </c>
      <c r="R1435" s="239" t="s">
        <v>1570</v>
      </c>
      <c r="S1435" s="238">
        <v>13368068212</v>
      </c>
      <c r="T1435" s="238" t="s">
        <v>167</v>
      </c>
      <c r="U1435" s="238" t="s">
        <v>167</v>
      </c>
      <c r="V1435" s="238" t="s">
        <v>5263</v>
      </c>
      <c r="W1435" s="236">
        <v>4068.78</v>
      </c>
      <c r="X1435" s="233">
        <v>41332</v>
      </c>
      <c r="Y1435" s="238" t="s">
        <v>3866</v>
      </c>
      <c r="AB1435" s="1" t="s">
        <v>1561</v>
      </c>
    </row>
    <row r="1436" spans="1:28">
      <c r="A1436" s="233">
        <v>41332</v>
      </c>
      <c r="B1436" s="1" t="s">
        <v>5280</v>
      </c>
      <c r="C1436" s="5" t="s">
        <v>162</v>
      </c>
      <c r="D1436" s="5" t="s">
        <v>854</v>
      </c>
      <c r="E1436" s="1">
        <v>9032</v>
      </c>
      <c r="F1436" s="1">
        <v>10</v>
      </c>
      <c r="G1436" s="1" t="s">
        <v>170</v>
      </c>
      <c r="H1436" s="234">
        <v>1.8</v>
      </c>
      <c r="I1436" s="235">
        <f t="shared" si="118"/>
        <v>18</v>
      </c>
      <c r="K1436" s="250">
        <f>1.4929*10</f>
        <v>14.928999999999998</v>
      </c>
      <c r="L1436" s="237">
        <v>41332</v>
      </c>
      <c r="M1436" s="1" t="s">
        <v>5281</v>
      </c>
      <c r="N1436" s="235">
        <f t="shared" si="114"/>
        <v>18</v>
      </c>
      <c r="O1436" s="235">
        <f t="shared" si="119"/>
        <v>0</v>
      </c>
      <c r="P1436" s="238" t="s">
        <v>5282</v>
      </c>
      <c r="Q1436" s="1" t="s">
        <v>3647</v>
      </c>
      <c r="R1436" s="239" t="s">
        <v>5285</v>
      </c>
      <c r="S1436" s="238" t="s">
        <v>5286</v>
      </c>
      <c r="T1436" s="238" t="s">
        <v>5287</v>
      </c>
      <c r="U1436" s="238" t="s">
        <v>5288</v>
      </c>
      <c r="V1436" s="238" t="s">
        <v>5289</v>
      </c>
      <c r="W1436" s="236" t="s">
        <v>5250</v>
      </c>
      <c r="X1436" s="233" t="s">
        <v>5250</v>
      </c>
      <c r="Y1436" s="238" t="s">
        <v>5250</v>
      </c>
      <c r="AB1436" s="1" t="s">
        <v>1561</v>
      </c>
    </row>
    <row r="1437" spans="1:28">
      <c r="A1437" s="233">
        <v>41332</v>
      </c>
      <c r="B1437" s="1" t="s">
        <v>5280</v>
      </c>
      <c r="C1437" s="5" t="s">
        <v>162</v>
      </c>
      <c r="D1437" s="1" t="s">
        <v>854</v>
      </c>
      <c r="E1437" s="1">
        <v>9031</v>
      </c>
      <c r="F1437" s="1">
        <v>5</v>
      </c>
      <c r="G1437" s="1" t="s">
        <v>170</v>
      </c>
      <c r="H1437" s="234">
        <v>1.8</v>
      </c>
      <c r="I1437" s="235">
        <f t="shared" si="118"/>
        <v>9</v>
      </c>
      <c r="K1437" s="250">
        <f>1.4929*5</f>
        <v>7.4644999999999992</v>
      </c>
      <c r="L1437" s="237">
        <v>41332</v>
      </c>
      <c r="M1437" s="1" t="s">
        <v>5281</v>
      </c>
      <c r="N1437" s="235">
        <f t="shared" si="114"/>
        <v>9</v>
      </c>
      <c r="O1437" s="235">
        <f t="shared" si="119"/>
        <v>0</v>
      </c>
      <c r="P1437" s="238" t="s">
        <v>5282</v>
      </c>
      <c r="Q1437" s="1" t="s">
        <v>3647</v>
      </c>
      <c r="R1437" s="239" t="s">
        <v>5285</v>
      </c>
      <c r="S1437" s="238" t="s">
        <v>5286</v>
      </c>
      <c r="T1437" s="238" t="s">
        <v>5287</v>
      </c>
      <c r="U1437" s="238" t="s">
        <v>5288</v>
      </c>
      <c r="V1437" s="238" t="s">
        <v>5289</v>
      </c>
      <c r="W1437" s="236" t="s">
        <v>5250</v>
      </c>
      <c r="X1437" s="233" t="s">
        <v>5250</v>
      </c>
      <c r="Y1437" s="238" t="s">
        <v>5250</v>
      </c>
      <c r="AB1437" s="1" t="s">
        <v>1561</v>
      </c>
    </row>
    <row r="1438" spans="1:28">
      <c r="A1438" s="233">
        <v>41332</v>
      </c>
      <c r="B1438" s="1" t="s">
        <v>5254</v>
      </c>
      <c r="C1438" s="1" t="s">
        <v>162</v>
      </c>
      <c r="D1438" s="1" t="s">
        <v>1210</v>
      </c>
      <c r="E1438" s="1">
        <v>3200</v>
      </c>
      <c r="F1438" s="1">
        <v>600</v>
      </c>
      <c r="G1438" s="1" t="s">
        <v>170</v>
      </c>
      <c r="H1438" s="234">
        <v>26.5</v>
      </c>
      <c r="I1438" s="235">
        <f t="shared" si="118"/>
        <v>15900</v>
      </c>
      <c r="K1438" s="250">
        <f>23.94*600</f>
        <v>14364</v>
      </c>
      <c r="L1438" s="237">
        <v>41332</v>
      </c>
      <c r="M1438" s="1" t="s">
        <v>166</v>
      </c>
      <c r="N1438" s="235">
        <f t="shared" si="114"/>
        <v>15900</v>
      </c>
      <c r="O1438" s="235">
        <f t="shared" si="119"/>
        <v>0</v>
      </c>
      <c r="P1438" s="238" t="s">
        <v>5259</v>
      </c>
      <c r="Q1438" s="1" t="s">
        <v>3647</v>
      </c>
      <c r="R1438" s="239" t="s">
        <v>5256</v>
      </c>
      <c r="S1438" s="238" t="s">
        <v>5257</v>
      </c>
      <c r="T1438" s="238" t="s">
        <v>5255</v>
      </c>
      <c r="U1438" s="238" t="s">
        <v>5258</v>
      </c>
      <c r="V1438" s="238" t="s">
        <v>6162</v>
      </c>
      <c r="W1438" s="236">
        <v>41752</v>
      </c>
      <c r="X1438" s="233">
        <v>41376</v>
      </c>
      <c r="Y1438" s="238" t="s">
        <v>6163</v>
      </c>
      <c r="AB1438" s="1" t="s">
        <v>1561</v>
      </c>
    </row>
    <row r="1439" spans="1:28">
      <c r="A1439" s="233">
        <v>41332</v>
      </c>
      <c r="B1439" s="1" t="s">
        <v>5254</v>
      </c>
      <c r="C1439" s="1" t="s">
        <v>162</v>
      </c>
      <c r="D1439" s="5" t="s">
        <v>346</v>
      </c>
      <c r="E1439" s="1">
        <v>3700</v>
      </c>
      <c r="F1439" s="1">
        <v>600</v>
      </c>
      <c r="G1439" s="1" t="s">
        <v>170</v>
      </c>
      <c r="H1439" s="234">
        <v>3.48</v>
      </c>
      <c r="I1439" s="235">
        <f t="shared" si="118"/>
        <v>2088</v>
      </c>
      <c r="K1439" s="250">
        <f>3.09*600</f>
        <v>1854</v>
      </c>
      <c r="L1439" s="237">
        <v>41332</v>
      </c>
      <c r="M1439" s="1" t="s">
        <v>166</v>
      </c>
      <c r="N1439" s="235">
        <f t="shared" si="114"/>
        <v>2088</v>
      </c>
      <c r="O1439" s="235">
        <f t="shared" si="119"/>
        <v>0</v>
      </c>
      <c r="P1439" s="238" t="s">
        <v>5259</v>
      </c>
      <c r="Q1439" s="1" t="s">
        <v>3647</v>
      </c>
      <c r="R1439" s="239" t="s">
        <v>5256</v>
      </c>
      <c r="S1439" s="238" t="s">
        <v>5257</v>
      </c>
      <c r="T1439" s="238" t="s">
        <v>5255</v>
      </c>
      <c r="U1439" s="238" t="s">
        <v>5258</v>
      </c>
      <c r="V1439" s="238" t="s">
        <v>6162</v>
      </c>
      <c r="W1439" s="236">
        <v>41752</v>
      </c>
      <c r="X1439" s="233">
        <v>41376</v>
      </c>
      <c r="Y1439" s="238" t="s">
        <v>6163</v>
      </c>
      <c r="AB1439" s="1" t="s">
        <v>1561</v>
      </c>
    </row>
    <row r="1440" spans="1:28">
      <c r="A1440" s="233">
        <v>41332</v>
      </c>
      <c r="B1440" s="1" t="s">
        <v>5254</v>
      </c>
      <c r="C1440" s="1" t="s">
        <v>162</v>
      </c>
      <c r="D1440" s="5" t="s">
        <v>182</v>
      </c>
      <c r="E1440" s="1" t="s">
        <v>186</v>
      </c>
      <c r="F1440" s="1">
        <v>600</v>
      </c>
      <c r="G1440" s="1" t="s">
        <v>171</v>
      </c>
      <c r="H1440" s="234">
        <v>1.65</v>
      </c>
      <c r="I1440" s="235">
        <f t="shared" si="118"/>
        <v>990</v>
      </c>
      <c r="K1440" s="250">
        <f>1.54*600</f>
        <v>924</v>
      </c>
      <c r="L1440" s="237">
        <v>41332</v>
      </c>
      <c r="M1440" s="1" t="s">
        <v>166</v>
      </c>
      <c r="N1440" s="235">
        <f t="shared" si="114"/>
        <v>990</v>
      </c>
      <c r="O1440" s="235">
        <f t="shared" si="119"/>
        <v>0</v>
      </c>
      <c r="P1440" s="238" t="s">
        <v>5259</v>
      </c>
      <c r="Q1440" s="1" t="s">
        <v>3647</v>
      </c>
      <c r="R1440" s="239" t="s">
        <v>5256</v>
      </c>
      <c r="S1440" s="238" t="s">
        <v>5257</v>
      </c>
      <c r="T1440" s="238" t="s">
        <v>5255</v>
      </c>
      <c r="U1440" s="238" t="s">
        <v>5258</v>
      </c>
      <c r="V1440" s="238" t="s">
        <v>6162</v>
      </c>
      <c r="W1440" s="236">
        <v>41752</v>
      </c>
      <c r="X1440" s="233">
        <v>41376</v>
      </c>
      <c r="Y1440" s="238" t="s">
        <v>6163</v>
      </c>
      <c r="AB1440" s="1" t="s">
        <v>1561</v>
      </c>
    </row>
    <row r="1441" spans="1:28">
      <c r="A1441" s="233">
        <v>41332</v>
      </c>
      <c r="B1441" s="1" t="s">
        <v>4646</v>
      </c>
      <c r="C1441" s="1" t="s">
        <v>162</v>
      </c>
      <c r="D1441" s="5" t="s">
        <v>182</v>
      </c>
      <c r="E1441" s="1" t="s">
        <v>186</v>
      </c>
      <c r="F1441" s="1">
        <v>500</v>
      </c>
      <c r="G1441" s="1" t="s">
        <v>171</v>
      </c>
      <c r="H1441" s="234">
        <v>1.82</v>
      </c>
      <c r="I1441" s="235">
        <f t="shared" ref="I1441:I1450" si="120">F1441*H1441</f>
        <v>910</v>
      </c>
      <c r="K1441" s="250">
        <f>1.54*500</f>
        <v>770</v>
      </c>
      <c r="L1441" s="237">
        <v>41332</v>
      </c>
      <c r="M1441" s="1" t="s">
        <v>165</v>
      </c>
      <c r="N1441" s="235">
        <f t="shared" si="114"/>
        <v>910</v>
      </c>
      <c r="O1441" s="235">
        <f t="shared" si="119"/>
        <v>0</v>
      </c>
      <c r="P1441" s="238" t="s">
        <v>5242</v>
      </c>
      <c r="Q1441" s="1" t="s">
        <v>5186</v>
      </c>
      <c r="R1441" s="239" t="s">
        <v>4649</v>
      </c>
      <c r="S1441" s="238" t="s">
        <v>4650</v>
      </c>
      <c r="T1441" s="238" t="s">
        <v>4651</v>
      </c>
      <c r="U1441" s="238" t="s">
        <v>5252</v>
      </c>
      <c r="V1441" s="238" t="s">
        <v>5253</v>
      </c>
      <c r="W1441" s="236">
        <v>2150</v>
      </c>
      <c r="X1441" s="233">
        <v>41332</v>
      </c>
      <c r="Y1441" s="238" t="s">
        <v>5252</v>
      </c>
      <c r="AA1441" s="282" t="s">
        <v>2141</v>
      </c>
      <c r="AB1441" s="1" t="s">
        <v>1561</v>
      </c>
    </row>
    <row r="1442" spans="1:28">
      <c r="A1442" s="233">
        <v>41332</v>
      </c>
      <c r="B1442" s="1" t="s">
        <v>4646</v>
      </c>
      <c r="C1442" s="1" t="s">
        <v>162</v>
      </c>
      <c r="D1442" s="1" t="s">
        <v>1210</v>
      </c>
      <c r="E1442" s="1">
        <v>3200</v>
      </c>
      <c r="F1442" s="1">
        <v>20</v>
      </c>
      <c r="G1442" s="1" t="s">
        <v>5241</v>
      </c>
      <c r="H1442" s="234">
        <v>29.51</v>
      </c>
      <c r="I1442" s="235">
        <f t="shared" si="120"/>
        <v>590.20000000000005</v>
      </c>
      <c r="K1442" s="250">
        <f>23.94*20</f>
        <v>478.8</v>
      </c>
      <c r="L1442" s="237">
        <v>41332</v>
      </c>
      <c r="M1442" s="1" t="s">
        <v>165</v>
      </c>
      <c r="N1442" s="235">
        <f t="shared" si="114"/>
        <v>590.20000000000005</v>
      </c>
      <c r="O1442" s="235">
        <f t="shared" si="119"/>
        <v>0</v>
      </c>
      <c r="P1442" s="238" t="s">
        <v>5242</v>
      </c>
      <c r="Q1442" s="1" t="s">
        <v>5186</v>
      </c>
      <c r="R1442" s="239" t="s">
        <v>4649</v>
      </c>
      <c r="S1442" s="238" t="s">
        <v>4650</v>
      </c>
      <c r="T1442" s="238" t="s">
        <v>4651</v>
      </c>
      <c r="U1442" s="238" t="s">
        <v>5252</v>
      </c>
      <c r="V1442" s="238" t="s">
        <v>5253</v>
      </c>
      <c r="W1442" s="236">
        <v>2150</v>
      </c>
      <c r="X1442" s="233">
        <v>41332</v>
      </c>
      <c r="Y1442" s="238" t="s">
        <v>5252</v>
      </c>
      <c r="AA1442" s="282" t="s">
        <v>2141</v>
      </c>
      <c r="AB1442" s="1" t="s">
        <v>1561</v>
      </c>
    </row>
    <row r="1443" spans="1:28">
      <c r="A1443" s="233">
        <v>41332</v>
      </c>
      <c r="B1443" s="1" t="s">
        <v>4646</v>
      </c>
      <c r="C1443" s="1" t="s">
        <v>162</v>
      </c>
      <c r="D1443" s="5" t="s">
        <v>346</v>
      </c>
      <c r="E1443" s="1">
        <v>3700</v>
      </c>
      <c r="F1443" s="1">
        <v>20</v>
      </c>
      <c r="G1443" s="1" t="s">
        <v>5241</v>
      </c>
      <c r="H1443" s="234">
        <v>3.66</v>
      </c>
      <c r="I1443" s="235">
        <f t="shared" si="120"/>
        <v>73.2</v>
      </c>
      <c r="K1443" s="250">
        <f>3.09*20</f>
        <v>61.8</v>
      </c>
      <c r="L1443" s="237">
        <v>41332</v>
      </c>
      <c r="M1443" s="1" t="s">
        <v>165</v>
      </c>
      <c r="N1443" s="235">
        <f t="shared" si="114"/>
        <v>73.2</v>
      </c>
      <c r="O1443" s="235">
        <f t="shared" si="119"/>
        <v>0</v>
      </c>
      <c r="P1443" s="238" t="s">
        <v>5242</v>
      </c>
      <c r="Q1443" s="1" t="s">
        <v>5186</v>
      </c>
      <c r="R1443" s="239" t="s">
        <v>4649</v>
      </c>
      <c r="S1443" s="238" t="s">
        <v>4650</v>
      </c>
      <c r="T1443" s="238" t="s">
        <v>4651</v>
      </c>
      <c r="U1443" s="238" t="s">
        <v>5252</v>
      </c>
      <c r="V1443" s="238" t="s">
        <v>5253</v>
      </c>
      <c r="W1443" s="236">
        <v>2150</v>
      </c>
      <c r="X1443" s="233">
        <v>41332</v>
      </c>
      <c r="Y1443" s="238" t="s">
        <v>5252</v>
      </c>
      <c r="AA1443" s="282" t="s">
        <v>2141</v>
      </c>
      <c r="AB1443" s="1" t="s">
        <v>1561</v>
      </c>
    </row>
    <row r="1444" spans="1:28">
      <c r="A1444" s="233">
        <v>41332</v>
      </c>
      <c r="B1444" s="1" t="s">
        <v>4646</v>
      </c>
      <c r="C1444" s="1" t="s">
        <v>162</v>
      </c>
      <c r="D1444" s="1" t="s">
        <v>232</v>
      </c>
      <c r="E1444" s="1" t="s">
        <v>186</v>
      </c>
      <c r="F1444" s="1">
        <v>20</v>
      </c>
      <c r="G1444" s="1" t="s">
        <v>171</v>
      </c>
      <c r="H1444" s="234">
        <v>1.83</v>
      </c>
      <c r="I1444" s="235">
        <f t="shared" si="120"/>
        <v>36.6</v>
      </c>
      <c r="K1444" s="250">
        <f>1.54*20</f>
        <v>30.8</v>
      </c>
      <c r="L1444" s="237">
        <v>41332</v>
      </c>
      <c r="M1444" s="1" t="s">
        <v>165</v>
      </c>
      <c r="N1444" s="235">
        <f t="shared" si="114"/>
        <v>36.6</v>
      </c>
      <c r="O1444" s="235">
        <f t="shared" si="119"/>
        <v>0</v>
      </c>
      <c r="P1444" s="238" t="s">
        <v>5242</v>
      </c>
      <c r="Q1444" s="1" t="s">
        <v>5186</v>
      </c>
      <c r="R1444" s="239" t="s">
        <v>4649</v>
      </c>
      <c r="S1444" s="238" t="s">
        <v>4650</v>
      </c>
      <c r="T1444" s="238" t="s">
        <v>4651</v>
      </c>
      <c r="U1444" s="238" t="s">
        <v>5252</v>
      </c>
      <c r="V1444" s="238" t="s">
        <v>5253</v>
      </c>
      <c r="W1444" s="236">
        <v>2150</v>
      </c>
      <c r="X1444" s="233">
        <v>41332</v>
      </c>
      <c r="Y1444" s="238" t="s">
        <v>5252</v>
      </c>
      <c r="AA1444" s="282" t="s">
        <v>2141</v>
      </c>
      <c r="AB1444" s="1" t="s">
        <v>1561</v>
      </c>
    </row>
    <row r="1445" spans="1:28">
      <c r="A1445" s="233">
        <v>41332</v>
      </c>
      <c r="B1445" s="1" t="s">
        <v>4338</v>
      </c>
      <c r="C1445" s="5" t="s">
        <v>162</v>
      </c>
      <c r="D1445" s="1" t="s">
        <v>5277</v>
      </c>
      <c r="E1445" s="1" t="s">
        <v>5244</v>
      </c>
      <c r="F1445" s="1">
        <v>2185</v>
      </c>
      <c r="G1445" s="1" t="s">
        <v>170</v>
      </c>
      <c r="H1445" s="234">
        <v>1.92</v>
      </c>
      <c r="I1445" s="235">
        <f t="shared" si="120"/>
        <v>4195.2</v>
      </c>
      <c r="K1445" s="250">
        <f>1.75*2185</f>
        <v>3823.75</v>
      </c>
      <c r="L1445" s="237">
        <v>41338</v>
      </c>
      <c r="M1445" s="1" t="s">
        <v>165</v>
      </c>
      <c r="N1445" s="235">
        <f t="shared" si="114"/>
        <v>4195.2</v>
      </c>
      <c r="O1445" s="235">
        <f t="shared" si="119"/>
        <v>0</v>
      </c>
      <c r="P1445" s="238" t="s">
        <v>5247</v>
      </c>
      <c r="Q1445" s="1" t="s">
        <v>5273</v>
      </c>
      <c r="R1445" s="239" t="s">
        <v>4341</v>
      </c>
      <c r="S1445" s="238" t="s">
        <v>4342</v>
      </c>
      <c r="T1445" s="238" t="s">
        <v>2237</v>
      </c>
      <c r="U1445" s="238" t="s">
        <v>5272</v>
      </c>
      <c r="V1445" s="238" t="s">
        <v>5271</v>
      </c>
      <c r="W1445" s="236">
        <v>6698.2</v>
      </c>
      <c r="X1445" s="233">
        <v>41332</v>
      </c>
      <c r="Y1445" s="238" t="s">
        <v>5272</v>
      </c>
      <c r="AB1445" s="1" t="s">
        <v>1561</v>
      </c>
    </row>
    <row r="1446" spans="1:28">
      <c r="A1446" s="233">
        <v>41332</v>
      </c>
      <c r="B1446" s="1" t="s">
        <v>4338</v>
      </c>
      <c r="C1446" s="5" t="s">
        <v>162</v>
      </c>
      <c r="D1446" s="1" t="s">
        <v>240</v>
      </c>
      <c r="E1446" s="1">
        <v>6200</v>
      </c>
      <c r="F1446" s="1">
        <v>20</v>
      </c>
      <c r="G1446" s="1" t="s">
        <v>5241</v>
      </c>
      <c r="H1446" s="234">
        <v>46.65</v>
      </c>
      <c r="I1446" s="235">
        <f t="shared" si="120"/>
        <v>933</v>
      </c>
      <c r="K1446" s="250">
        <f>42.5*20</f>
        <v>850</v>
      </c>
      <c r="L1446" s="237">
        <v>41338</v>
      </c>
      <c r="M1446" s="1" t="s">
        <v>165</v>
      </c>
      <c r="N1446" s="235">
        <f t="shared" si="114"/>
        <v>933</v>
      </c>
      <c r="O1446" s="235">
        <f t="shared" si="119"/>
        <v>0</v>
      </c>
      <c r="P1446" s="238" t="s">
        <v>5247</v>
      </c>
      <c r="Q1446" s="1" t="s">
        <v>5273</v>
      </c>
      <c r="R1446" s="239" t="s">
        <v>4341</v>
      </c>
      <c r="S1446" s="238" t="s">
        <v>4342</v>
      </c>
      <c r="T1446" s="238" t="s">
        <v>2237</v>
      </c>
      <c r="U1446" s="238" t="s">
        <v>5272</v>
      </c>
      <c r="V1446" s="238" t="s">
        <v>5271</v>
      </c>
      <c r="W1446" s="236">
        <v>6698.2</v>
      </c>
      <c r="X1446" s="233">
        <v>41332</v>
      </c>
      <c r="Y1446" s="238" t="s">
        <v>5272</v>
      </c>
      <c r="AB1446" s="1" t="s">
        <v>1561</v>
      </c>
    </row>
    <row r="1447" spans="1:28">
      <c r="A1447" s="233">
        <v>41333</v>
      </c>
      <c r="B1447" s="1" t="s">
        <v>1569</v>
      </c>
      <c r="C1447" s="1" t="s">
        <v>7</v>
      </c>
      <c r="D1447" s="5" t="s">
        <v>1663</v>
      </c>
      <c r="E1447" s="1" t="s">
        <v>5300</v>
      </c>
      <c r="F1447" s="1">
        <v>1</v>
      </c>
      <c r="G1447" s="1" t="s">
        <v>5301</v>
      </c>
      <c r="H1447" s="234">
        <v>72</v>
      </c>
      <c r="I1447" s="235">
        <f t="shared" si="120"/>
        <v>72</v>
      </c>
      <c r="K1447" s="250">
        <f>70*1</f>
        <v>70</v>
      </c>
      <c r="L1447" s="237">
        <v>41361</v>
      </c>
      <c r="M1447" s="1" t="s">
        <v>166</v>
      </c>
      <c r="N1447" s="235">
        <f t="shared" si="114"/>
        <v>72</v>
      </c>
      <c r="O1447" s="235">
        <f t="shared" si="119"/>
        <v>0</v>
      </c>
      <c r="P1447" s="238" t="s">
        <v>5303</v>
      </c>
      <c r="Q1447" s="1" t="s">
        <v>1571</v>
      </c>
      <c r="R1447" s="239" t="s">
        <v>1570</v>
      </c>
      <c r="S1447" s="238">
        <v>13368068212</v>
      </c>
      <c r="T1447" s="238" t="s">
        <v>167</v>
      </c>
      <c r="U1447" s="238" t="s">
        <v>167</v>
      </c>
      <c r="V1447" s="238" t="s">
        <v>5536</v>
      </c>
      <c r="W1447" s="236">
        <v>18072</v>
      </c>
      <c r="X1447" s="233">
        <v>41347</v>
      </c>
      <c r="Y1447" s="238" t="s">
        <v>3866</v>
      </c>
      <c r="AB1447" s="1" t="s">
        <v>1561</v>
      </c>
    </row>
    <row r="1448" spans="1:28">
      <c r="A1448" s="233">
        <v>41333</v>
      </c>
      <c r="B1448" s="1" t="s">
        <v>5127</v>
      </c>
      <c r="C1448" s="5" t="s">
        <v>162</v>
      </c>
      <c r="D1448" s="1" t="s">
        <v>1210</v>
      </c>
      <c r="E1448" s="1">
        <v>3200</v>
      </c>
      <c r="F1448" s="1">
        <v>100</v>
      </c>
      <c r="G1448" s="1" t="s">
        <v>170</v>
      </c>
      <c r="H1448" s="234">
        <v>26.81</v>
      </c>
      <c r="I1448" s="235">
        <f t="shared" si="120"/>
        <v>2681</v>
      </c>
      <c r="K1448" s="250">
        <f>23.94*100</f>
        <v>2394</v>
      </c>
      <c r="L1448" s="237">
        <v>41333</v>
      </c>
      <c r="M1448" s="1" t="s">
        <v>165</v>
      </c>
      <c r="N1448" s="235">
        <f t="shared" si="114"/>
        <v>2681</v>
      </c>
      <c r="O1448" s="235">
        <f t="shared" si="119"/>
        <v>0</v>
      </c>
      <c r="P1448" s="238" t="s">
        <v>5303</v>
      </c>
      <c r="Q1448" s="1" t="s">
        <v>5322</v>
      </c>
      <c r="R1448" s="239" t="s">
        <v>5129</v>
      </c>
      <c r="S1448" s="238" t="s">
        <v>5130</v>
      </c>
      <c r="T1448" s="238" t="s">
        <v>2233</v>
      </c>
      <c r="U1448" s="238" t="s">
        <v>5436</v>
      </c>
      <c r="V1448" s="238" t="s">
        <v>175</v>
      </c>
      <c r="W1448" s="236" t="s">
        <v>5324</v>
      </c>
      <c r="X1448" s="233" t="s">
        <v>5324</v>
      </c>
      <c r="Y1448" s="239" t="s">
        <v>5324</v>
      </c>
      <c r="AB1448" s="1" t="s">
        <v>1561</v>
      </c>
    </row>
    <row r="1449" spans="1:28">
      <c r="A1449" s="233">
        <v>41333</v>
      </c>
      <c r="B1449" s="1" t="s">
        <v>5127</v>
      </c>
      <c r="C1449" s="5" t="s">
        <v>162</v>
      </c>
      <c r="D1449" s="5" t="s">
        <v>346</v>
      </c>
      <c r="E1449" s="1">
        <v>3700</v>
      </c>
      <c r="F1449" s="1">
        <v>100</v>
      </c>
      <c r="G1449" s="1" t="s">
        <v>170</v>
      </c>
      <c r="H1449" s="234">
        <v>3.46</v>
      </c>
      <c r="I1449" s="235">
        <f t="shared" si="120"/>
        <v>346</v>
      </c>
      <c r="K1449" s="250">
        <f>3.09*100</f>
        <v>309</v>
      </c>
      <c r="L1449" s="237">
        <v>41333</v>
      </c>
      <c r="M1449" s="1" t="s">
        <v>165</v>
      </c>
      <c r="N1449" s="235">
        <f t="shared" si="114"/>
        <v>346</v>
      </c>
      <c r="O1449" s="235">
        <f t="shared" si="119"/>
        <v>0</v>
      </c>
      <c r="P1449" s="238" t="s">
        <v>5303</v>
      </c>
      <c r="Q1449" s="1" t="s">
        <v>5322</v>
      </c>
      <c r="R1449" s="239" t="s">
        <v>5129</v>
      </c>
      <c r="S1449" s="238" t="s">
        <v>5130</v>
      </c>
      <c r="T1449" s="238" t="s">
        <v>2233</v>
      </c>
      <c r="U1449" s="238" t="s">
        <v>5436</v>
      </c>
      <c r="V1449" s="238" t="s">
        <v>175</v>
      </c>
      <c r="W1449" s="236" t="s">
        <v>5324</v>
      </c>
      <c r="X1449" s="233" t="s">
        <v>5324</v>
      </c>
      <c r="Y1449" s="239" t="s">
        <v>5324</v>
      </c>
      <c r="AB1449" s="1" t="s">
        <v>1561</v>
      </c>
    </row>
    <row r="1450" spans="1:28">
      <c r="A1450" s="233">
        <v>41333</v>
      </c>
      <c r="B1450" s="1" t="s">
        <v>5127</v>
      </c>
      <c r="C1450" s="5" t="s">
        <v>162</v>
      </c>
      <c r="D1450" s="5" t="s">
        <v>182</v>
      </c>
      <c r="E1450" s="1" t="s">
        <v>186</v>
      </c>
      <c r="F1450" s="1">
        <v>100</v>
      </c>
      <c r="G1450" s="1" t="s">
        <v>171</v>
      </c>
      <c r="H1450" s="234">
        <v>1.73</v>
      </c>
      <c r="I1450" s="235">
        <f t="shared" si="120"/>
        <v>173</v>
      </c>
      <c r="K1450" s="250">
        <f>1.54*100</f>
        <v>154</v>
      </c>
      <c r="L1450" s="237">
        <v>41333</v>
      </c>
      <c r="M1450" s="1" t="s">
        <v>165</v>
      </c>
      <c r="N1450" s="235">
        <f t="shared" si="114"/>
        <v>173</v>
      </c>
      <c r="O1450" s="235">
        <f t="shared" si="119"/>
        <v>0</v>
      </c>
      <c r="P1450" s="238" t="s">
        <v>5303</v>
      </c>
      <c r="Q1450" s="1" t="s">
        <v>5322</v>
      </c>
      <c r="R1450" s="239" t="s">
        <v>5129</v>
      </c>
      <c r="S1450" s="238" t="s">
        <v>5130</v>
      </c>
      <c r="T1450" s="238" t="s">
        <v>2233</v>
      </c>
      <c r="U1450" s="238" t="s">
        <v>5437</v>
      </c>
      <c r="V1450" s="238" t="s">
        <v>175</v>
      </c>
      <c r="W1450" s="236" t="s">
        <v>5324</v>
      </c>
      <c r="X1450" s="233" t="s">
        <v>5324</v>
      </c>
      <c r="Y1450" s="239" t="s">
        <v>5324</v>
      </c>
      <c r="AB1450" s="1" t="s">
        <v>1561</v>
      </c>
    </row>
    <row r="1451" spans="1:28">
      <c r="A1451" s="233">
        <v>41333</v>
      </c>
      <c r="B1451" s="1" t="s">
        <v>3381</v>
      </c>
      <c r="C1451" s="1" t="s">
        <v>162</v>
      </c>
      <c r="D1451" s="1" t="s">
        <v>5188</v>
      </c>
      <c r="E1451" s="1">
        <v>2076</v>
      </c>
      <c r="F1451" s="1">
        <v>200</v>
      </c>
      <c r="G1451" s="1" t="s">
        <v>5189</v>
      </c>
      <c r="H1451" s="234">
        <v>13.23</v>
      </c>
      <c r="I1451" s="235">
        <f>F1451*H1451</f>
        <v>2646</v>
      </c>
      <c r="K1451" s="250">
        <f>11*200</f>
        <v>2200</v>
      </c>
      <c r="L1451" s="237">
        <v>41330</v>
      </c>
      <c r="M1451" s="1" t="s">
        <v>5199</v>
      </c>
      <c r="N1451" s="235">
        <f t="shared" si="114"/>
        <v>2646</v>
      </c>
      <c r="O1451" s="235">
        <f t="shared" si="119"/>
        <v>0</v>
      </c>
      <c r="P1451" s="238" t="s">
        <v>5304</v>
      </c>
      <c r="Q1451" s="1" t="s">
        <v>4254</v>
      </c>
      <c r="R1451" s="239" t="s">
        <v>5378</v>
      </c>
      <c r="S1451" s="238" t="s">
        <v>3383</v>
      </c>
      <c r="T1451" s="238" t="s">
        <v>3174</v>
      </c>
      <c r="U1451" s="238" t="s">
        <v>5315</v>
      </c>
      <c r="V1451" s="238" t="s">
        <v>6026</v>
      </c>
      <c r="W1451" s="236">
        <v>6912</v>
      </c>
      <c r="X1451" s="233">
        <v>41371</v>
      </c>
      <c r="Y1451" s="238" t="s">
        <v>6027</v>
      </c>
      <c r="AB1451" s="1" t="s">
        <v>2166</v>
      </c>
    </row>
    <row r="1452" spans="1:28">
      <c r="A1452" s="233">
        <v>41333</v>
      </c>
      <c r="B1452" s="136" t="s">
        <v>4062</v>
      </c>
      <c r="C1452" s="1" t="s">
        <v>162</v>
      </c>
      <c r="D1452" s="1" t="s">
        <v>1213</v>
      </c>
      <c r="E1452" s="1" t="s">
        <v>178</v>
      </c>
      <c r="F1452" s="1">
        <v>10</v>
      </c>
      <c r="G1452" s="1" t="s">
        <v>172</v>
      </c>
      <c r="H1452" s="234">
        <v>18</v>
      </c>
      <c r="I1452" s="235">
        <f t="shared" ref="I1452:I1461" si="121">F1452*H1452</f>
        <v>180</v>
      </c>
      <c r="K1452" s="250">
        <f>12.6*10</f>
        <v>126</v>
      </c>
      <c r="L1452" s="237">
        <v>41373</v>
      </c>
      <c r="M1452" s="1" t="s">
        <v>166</v>
      </c>
      <c r="N1452" s="235">
        <f t="shared" si="114"/>
        <v>180</v>
      </c>
      <c r="O1452" s="235">
        <f t="shared" si="119"/>
        <v>0</v>
      </c>
      <c r="P1452" s="238" t="s">
        <v>5309</v>
      </c>
      <c r="Q1452" s="1" t="s">
        <v>2505</v>
      </c>
      <c r="R1452" s="239" t="s">
        <v>4586</v>
      </c>
      <c r="S1452" s="238" t="s">
        <v>4587</v>
      </c>
      <c r="T1452" s="238" t="s">
        <v>4195</v>
      </c>
      <c r="U1452" s="238" t="s">
        <v>5354</v>
      </c>
      <c r="V1452" s="238" t="s">
        <v>5701</v>
      </c>
      <c r="W1452" s="236">
        <v>14440</v>
      </c>
      <c r="X1452" s="233">
        <v>41354</v>
      </c>
      <c r="Y1452" s="238" t="s">
        <v>5702</v>
      </c>
      <c r="AB1452" s="1" t="s">
        <v>2064</v>
      </c>
    </row>
    <row r="1453" spans="1:28">
      <c r="A1453" s="233">
        <v>41333</v>
      </c>
      <c r="B1453" s="136" t="s">
        <v>4062</v>
      </c>
      <c r="C1453" s="1" t="s">
        <v>162</v>
      </c>
      <c r="D1453" s="1" t="s">
        <v>2010</v>
      </c>
      <c r="E1453" s="1">
        <v>10434</v>
      </c>
      <c r="F1453" s="1">
        <v>100</v>
      </c>
      <c r="G1453" s="1" t="s">
        <v>172</v>
      </c>
      <c r="H1453" s="234">
        <v>21.5</v>
      </c>
      <c r="I1453" s="235">
        <f t="shared" si="121"/>
        <v>2150</v>
      </c>
      <c r="K1453" s="250">
        <f>14.2*100</f>
        <v>1420</v>
      </c>
      <c r="L1453" s="237">
        <v>41373</v>
      </c>
      <c r="M1453" s="1" t="s">
        <v>166</v>
      </c>
      <c r="N1453" s="235">
        <f t="shared" si="114"/>
        <v>2150</v>
      </c>
      <c r="O1453" s="235">
        <f t="shared" si="119"/>
        <v>0</v>
      </c>
      <c r="P1453" s="238" t="s">
        <v>5309</v>
      </c>
      <c r="Q1453" s="1" t="s">
        <v>2505</v>
      </c>
      <c r="R1453" s="239" t="s">
        <v>4586</v>
      </c>
      <c r="S1453" s="238" t="s">
        <v>4587</v>
      </c>
      <c r="T1453" s="238" t="s">
        <v>4195</v>
      </c>
      <c r="U1453" s="238" t="s">
        <v>5354</v>
      </c>
      <c r="V1453" s="238" t="s">
        <v>5701</v>
      </c>
      <c r="W1453" s="236">
        <v>14440</v>
      </c>
      <c r="X1453" s="233">
        <v>41354</v>
      </c>
      <c r="Y1453" s="238" t="s">
        <v>5702</v>
      </c>
      <c r="AB1453" s="1" t="s">
        <v>2064</v>
      </c>
    </row>
    <row r="1454" spans="1:28">
      <c r="A1454" s="233">
        <v>41333</v>
      </c>
      <c r="B1454" s="136" t="s">
        <v>4062</v>
      </c>
      <c r="C1454" s="1" t="s">
        <v>162</v>
      </c>
      <c r="D1454" s="5" t="s">
        <v>1717</v>
      </c>
      <c r="E1454" s="1">
        <v>10435</v>
      </c>
      <c r="F1454" s="1">
        <v>20</v>
      </c>
      <c r="G1454" s="1" t="s">
        <v>172</v>
      </c>
      <c r="H1454" s="234">
        <v>21.5</v>
      </c>
      <c r="I1454" s="235">
        <f t="shared" si="121"/>
        <v>430</v>
      </c>
      <c r="K1454" s="282">
        <f>14.8*20</f>
        <v>296</v>
      </c>
      <c r="L1454" s="237">
        <v>41373</v>
      </c>
      <c r="M1454" s="1" t="s">
        <v>166</v>
      </c>
      <c r="N1454" s="235">
        <f t="shared" si="114"/>
        <v>430</v>
      </c>
      <c r="O1454" s="235">
        <f t="shared" si="119"/>
        <v>0</v>
      </c>
      <c r="P1454" s="238" t="s">
        <v>5309</v>
      </c>
      <c r="Q1454" s="1" t="s">
        <v>2505</v>
      </c>
      <c r="R1454" s="239" t="s">
        <v>4586</v>
      </c>
      <c r="S1454" s="238" t="s">
        <v>4587</v>
      </c>
      <c r="T1454" s="238" t="s">
        <v>4195</v>
      </c>
      <c r="U1454" s="238" t="s">
        <v>5354</v>
      </c>
      <c r="V1454" s="238" t="s">
        <v>5701</v>
      </c>
      <c r="W1454" s="236">
        <v>14440</v>
      </c>
      <c r="X1454" s="233">
        <v>41354</v>
      </c>
      <c r="Y1454" s="238" t="s">
        <v>5702</v>
      </c>
      <c r="Z1454" s="255" t="s">
        <v>184</v>
      </c>
      <c r="AB1454" s="1" t="s">
        <v>2064</v>
      </c>
    </row>
    <row r="1455" spans="1:28">
      <c r="A1455" s="233">
        <v>41333</v>
      </c>
      <c r="B1455" s="136" t="s">
        <v>4062</v>
      </c>
      <c r="C1455" s="1" t="s">
        <v>162</v>
      </c>
      <c r="D1455" s="1" t="s">
        <v>5307</v>
      </c>
      <c r="E1455" s="1" t="s">
        <v>5306</v>
      </c>
      <c r="F1455" s="1">
        <v>200</v>
      </c>
      <c r="G1455" s="1" t="s">
        <v>172</v>
      </c>
      <c r="H1455" s="234">
        <v>6</v>
      </c>
      <c r="I1455" s="235">
        <f t="shared" si="121"/>
        <v>1200</v>
      </c>
      <c r="K1455" s="250">
        <f>4*200</f>
        <v>800</v>
      </c>
      <c r="L1455" s="237">
        <v>41373</v>
      </c>
      <c r="M1455" s="1" t="s">
        <v>166</v>
      </c>
      <c r="N1455" s="235">
        <f t="shared" si="114"/>
        <v>1200</v>
      </c>
      <c r="O1455" s="235">
        <f t="shared" si="119"/>
        <v>0</v>
      </c>
      <c r="P1455" s="238" t="s">
        <v>5309</v>
      </c>
      <c r="Q1455" s="1" t="s">
        <v>2505</v>
      </c>
      <c r="R1455" s="239" t="s">
        <v>4586</v>
      </c>
      <c r="S1455" s="238" t="s">
        <v>4587</v>
      </c>
      <c r="T1455" s="238" t="s">
        <v>4195</v>
      </c>
      <c r="U1455" s="238" t="s">
        <v>5354</v>
      </c>
      <c r="V1455" s="238" t="s">
        <v>5701</v>
      </c>
      <c r="W1455" s="236">
        <v>14440</v>
      </c>
      <c r="X1455" s="233">
        <v>41354</v>
      </c>
      <c r="Y1455" s="238" t="s">
        <v>5702</v>
      </c>
      <c r="AB1455" s="1" t="s">
        <v>2064</v>
      </c>
    </row>
    <row r="1456" spans="1:28">
      <c r="A1456" s="233">
        <v>41333</v>
      </c>
      <c r="B1456" s="136" t="s">
        <v>4062</v>
      </c>
      <c r="C1456" s="1" t="s">
        <v>162</v>
      </c>
      <c r="D1456" s="5" t="s">
        <v>2014</v>
      </c>
      <c r="E1456" s="1">
        <v>7502</v>
      </c>
      <c r="F1456" s="1">
        <v>30</v>
      </c>
      <c r="G1456" s="1" t="s">
        <v>170</v>
      </c>
      <c r="H1456" s="234">
        <v>182</v>
      </c>
      <c r="I1456" s="235">
        <f t="shared" si="121"/>
        <v>5460</v>
      </c>
      <c r="K1456" s="250">
        <f>122.8*30</f>
        <v>3684</v>
      </c>
      <c r="L1456" s="237">
        <v>41373</v>
      </c>
      <c r="M1456" s="1" t="s">
        <v>166</v>
      </c>
      <c r="N1456" s="235">
        <f t="shared" si="114"/>
        <v>5460</v>
      </c>
      <c r="O1456" s="235">
        <f t="shared" si="119"/>
        <v>0</v>
      </c>
      <c r="P1456" s="238" t="s">
        <v>5309</v>
      </c>
      <c r="Q1456" s="1" t="s">
        <v>2505</v>
      </c>
      <c r="R1456" s="239" t="s">
        <v>4586</v>
      </c>
      <c r="S1456" s="238" t="s">
        <v>4587</v>
      </c>
      <c r="T1456" s="238" t="s">
        <v>4195</v>
      </c>
      <c r="U1456" s="238" t="s">
        <v>5354</v>
      </c>
      <c r="V1456" s="238" t="s">
        <v>5701</v>
      </c>
      <c r="W1456" s="236">
        <v>14440</v>
      </c>
      <c r="X1456" s="233">
        <v>41354</v>
      </c>
      <c r="Y1456" s="238" t="s">
        <v>5702</v>
      </c>
      <c r="AB1456" s="1" t="s">
        <v>2064</v>
      </c>
    </row>
    <row r="1457" spans="1:28">
      <c r="A1457" s="233">
        <v>41333</v>
      </c>
      <c r="B1457" s="136" t="s">
        <v>4062</v>
      </c>
      <c r="C1457" s="1" t="s">
        <v>162</v>
      </c>
      <c r="D1457" s="5" t="s">
        <v>1275</v>
      </c>
      <c r="E1457" s="318" t="s">
        <v>1847</v>
      </c>
      <c r="F1457" s="1">
        <v>100</v>
      </c>
      <c r="G1457" s="1" t="s">
        <v>170</v>
      </c>
      <c r="H1457" s="234">
        <v>40.6</v>
      </c>
      <c r="I1457" s="235">
        <f t="shared" si="121"/>
        <v>4060</v>
      </c>
      <c r="K1457" s="250">
        <f>24.2*100</f>
        <v>2420</v>
      </c>
      <c r="L1457" s="237">
        <v>41373</v>
      </c>
      <c r="M1457" s="1" t="s">
        <v>166</v>
      </c>
      <c r="N1457" s="235">
        <f t="shared" si="114"/>
        <v>4060</v>
      </c>
      <c r="O1457" s="235">
        <f t="shared" si="119"/>
        <v>0</v>
      </c>
      <c r="P1457" s="238" t="s">
        <v>5309</v>
      </c>
      <c r="Q1457" s="1" t="s">
        <v>2505</v>
      </c>
      <c r="R1457" s="239" t="s">
        <v>4586</v>
      </c>
      <c r="S1457" s="238" t="s">
        <v>4587</v>
      </c>
      <c r="T1457" s="238" t="s">
        <v>4195</v>
      </c>
      <c r="U1457" s="238" t="s">
        <v>5354</v>
      </c>
      <c r="V1457" s="238" t="s">
        <v>5701</v>
      </c>
      <c r="W1457" s="236">
        <v>14440</v>
      </c>
      <c r="X1457" s="233">
        <v>41354</v>
      </c>
      <c r="Y1457" s="238" t="s">
        <v>5702</v>
      </c>
      <c r="AB1457" s="1" t="s">
        <v>2064</v>
      </c>
    </row>
    <row r="1458" spans="1:28">
      <c r="A1458" s="233">
        <v>41333</v>
      </c>
      <c r="B1458" s="136" t="s">
        <v>4062</v>
      </c>
      <c r="C1458" s="1" t="s">
        <v>162</v>
      </c>
      <c r="D1458" s="1" t="s">
        <v>1210</v>
      </c>
      <c r="E1458" s="1">
        <v>3200</v>
      </c>
      <c r="F1458" s="1">
        <v>20</v>
      </c>
      <c r="G1458" s="1" t="s">
        <v>170</v>
      </c>
      <c r="H1458" s="234">
        <v>35</v>
      </c>
      <c r="I1458" s="235">
        <f t="shared" si="121"/>
        <v>700</v>
      </c>
      <c r="K1458" s="250">
        <f>23.94*20</f>
        <v>478.8</v>
      </c>
      <c r="L1458" s="237">
        <v>41373</v>
      </c>
      <c r="M1458" s="1" t="s">
        <v>166</v>
      </c>
      <c r="N1458" s="235">
        <f t="shared" si="114"/>
        <v>700</v>
      </c>
      <c r="O1458" s="235">
        <f t="shared" si="119"/>
        <v>0</v>
      </c>
      <c r="P1458" s="238" t="s">
        <v>5310</v>
      </c>
      <c r="Q1458" s="1" t="s">
        <v>2505</v>
      </c>
      <c r="R1458" s="239" t="s">
        <v>4586</v>
      </c>
      <c r="S1458" s="238" t="s">
        <v>4587</v>
      </c>
      <c r="T1458" s="238" t="s">
        <v>4195</v>
      </c>
      <c r="U1458" s="238" t="s">
        <v>5354</v>
      </c>
      <c r="V1458" s="238" t="s">
        <v>5701</v>
      </c>
      <c r="W1458" s="236">
        <v>14440</v>
      </c>
      <c r="X1458" s="233">
        <v>41354</v>
      </c>
      <c r="Y1458" s="238" t="s">
        <v>5702</v>
      </c>
      <c r="AB1458" s="1" t="s">
        <v>2064</v>
      </c>
    </row>
    <row r="1459" spans="1:28">
      <c r="A1459" s="233">
        <v>41333</v>
      </c>
      <c r="B1459" s="136" t="s">
        <v>4062</v>
      </c>
      <c r="C1459" s="383" t="s">
        <v>5221</v>
      </c>
      <c r="D1459" s="318" t="s">
        <v>5222</v>
      </c>
      <c r="E1459" s="318" t="s">
        <v>5218</v>
      </c>
      <c r="F1459" s="1">
        <v>10</v>
      </c>
      <c r="G1459" s="1" t="s">
        <v>5311</v>
      </c>
      <c r="H1459" s="234">
        <v>26</v>
      </c>
      <c r="I1459" s="235">
        <f t="shared" si="121"/>
        <v>260</v>
      </c>
      <c r="K1459" s="250">
        <f>20.5*10</f>
        <v>205</v>
      </c>
      <c r="L1459" s="237">
        <v>41373</v>
      </c>
      <c r="M1459" s="1" t="s">
        <v>166</v>
      </c>
      <c r="N1459" s="235">
        <f t="shared" si="114"/>
        <v>260</v>
      </c>
      <c r="O1459" s="235">
        <f t="shared" si="119"/>
        <v>0</v>
      </c>
      <c r="P1459" s="238" t="s">
        <v>5310</v>
      </c>
      <c r="Q1459" s="1" t="s">
        <v>2505</v>
      </c>
      <c r="R1459" s="239" t="s">
        <v>4586</v>
      </c>
      <c r="S1459" s="238" t="s">
        <v>4587</v>
      </c>
      <c r="T1459" s="238" t="s">
        <v>4195</v>
      </c>
      <c r="U1459" s="238" t="s">
        <v>5354</v>
      </c>
      <c r="V1459" s="238" t="s">
        <v>5701</v>
      </c>
      <c r="W1459" s="236">
        <v>14440</v>
      </c>
      <c r="X1459" s="233">
        <v>41354</v>
      </c>
      <c r="Y1459" s="238" t="s">
        <v>5702</v>
      </c>
      <c r="AB1459" s="1" t="s">
        <v>2064</v>
      </c>
    </row>
    <row r="1460" spans="1:28">
      <c r="A1460" s="233">
        <v>41334</v>
      </c>
      <c r="B1460" s="136" t="s">
        <v>5974</v>
      </c>
      <c r="C1460" s="1" t="s">
        <v>162</v>
      </c>
      <c r="D1460" s="1" t="s">
        <v>240</v>
      </c>
      <c r="E1460" s="318">
        <v>6200</v>
      </c>
      <c r="F1460" s="1">
        <v>2</v>
      </c>
      <c r="G1460" s="1" t="s">
        <v>5314</v>
      </c>
      <c r="H1460" s="234">
        <v>61.5</v>
      </c>
      <c r="I1460" s="235">
        <f t="shared" si="121"/>
        <v>123</v>
      </c>
      <c r="K1460" s="250">
        <f>42.5*1+44.5*1</f>
        <v>87</v>
      </c>
      <c r="N1460" s="235">
        <v>0</v>
      </c>
      <c r="O1460" s="235">
        <f t="shared" si="119"/>
        <v>123</v>
      </c>
      <c r="P1460" s="238" t="s">
        <v>5316</v>
      </c>
      <c r="Q1460" s="1" t="s">
        <v>5320</v>
      </c>
      <c r="R1460" s="239" t="s">
        <v>5318</v>
      </c>
      <c r="S1460" s="238" t="s">
        <v>5319</v>
      </c>
      <c r="T1460" s="238" t="s">
        <v>5317</v>
      </c>
      <c r="U1460" s="238" t="s">
        <v>5321</v>
      </c>
      <c r="V1460" s="238" t="s">
        <v>5975</v>
      </c>
      <c r="W1460" s="236">
        <v>3653</v>
      </c>
      <c r="X1460" s="233">
        <v>41366</v>
      </c>
      <c r="Y1460" s="238" t="s">
        <v>5976</v>
      </c>
      <c r="AB1460" s="1" t="s">
        <v>2064</v>
      </c>
    </row>
    <row r="1461" spans="1:28">
      <c r="A1461" s="233">
        <v>41334</v>
      </c>
      <c r="B1461" s="136" t="s">
        <v>5974</v>
      </c>
      <c r="C1461" s="1" t="s">
        <v>162</v>
      </c>
      <c r="D1461" s="5" t="s">
        <v>1882</v>
      </c>
      <c r="E1461" s="318" t="s">
        <v>5313</v>
      </c>
      <c r="F1461" s="1">
        <v>10</v>
      </c>
      <c r="G1461" s="1" t="s">
        <v>5314</v>
      </c>
      <c r="H1461" s="234">
        <v>24.5</v>
      </c>
      <c r="I1461" s="235">
        <f t="shared" si="121"/>
        <v>245</v>
      </c>
      <c r="K1461" s="250">
        <f>16.5*4+18.37*6</f>
        <v>176.22</v>
      </c>
      <c r="N1461" s="235">
        <v>0</v>
      </c>
      <c r="O1461" s="235">
        <f t="shared" si="119"/>
        <v>245</v>
      </c>
      <c r="P1461" s="238" t="s">
        <v>5316</v>
      </c>
      <c r="Q1461" s="1" t="s">
        <v>5320</v>
      </c>
      <c r="R1461" s="239" t="s">
        <v>5318</v>
      </c>
      <c r="S1461" s="238" t="s">
        <v>5319</v>
      </c>
      <c r="T1461" s="238" t="s">
        <v>5317</v>
      </c>
      <c r="U1461" s="238" t="s">
        <v>5321</v>
      </c>
      <c r="V1461" s="238" t="s">
        <v>5975</v>
      </c>
      <c r="W1461" s="236">
        <v>3653</v>
      </c>
      <c r="X1461" s="233">
        <v>41366</v>
      </c>
      <c r="Y1461" s="238" t="s">
        <v>5976</v>
      </c>
      <c r="AB1461" s="1" t="s">
        <v>2064</v>
      </c>
    </row>
    <row r="1462" spans="1:28">
      <c r="A1462" s="233">
        <v>41334</v>
      </c>
      <c r="B1462" s="1" t="s">
        <v>5246</v>
      </c>
      <c r="C1462" s="5" t="s">
        <v>162</v>
      </c>
      <c r="D1462" s="1" t="s">
        <v>1763</v>
      </c>
      <c r="E1462" s="1">
        <v>1860</v>
      </c>
      <c r="F1462" s="1">
        <v>120</v>
      </c>
      <c r="G1462" s="1" t="s">
        <v>5241</v>
      </c>
      <c r="H1462" s="234">
        <v>15</v>
      </c>
      <c r="I1462" s="235">
        <f t="shared" ref="I1462:I1468" si="122">F1462*H1462</f>
        <v>1800</v>
      </c>
      <c r="K1462" s="250">
        <f>9.5*120</f>
        <v>1140</v>
      </c>
      <c r="L1462" s="237">
        <v>41332</v>
      </c>
      <c r="M1462" s="1" t="s">
        <v>165</v>
      </c>
      <c r="N1462" s="235">
        <f t="shared" si="114"/>
        <v>1800</v>
      </c>
      <c r="O1462" s="235">
        <f>I1462-N1462</f>
        <v>0</v>
      </c>
      <c r="P1462" s="238" t="s">
        <v>5324</v>
      </c>
      <c r="Q1462" s="1" t="s">
        <v>5335</v>
      </c>
      <c r="R1462" s="239" t="s">
        <v>5337</v>
      </c>
      <c r="S1462" s="238" t="s">
        <v>5248</v>
      </c>
      <c r="T1462" s="238" t="s">
        <v>5336</v>
      </c>
      <c r="U1462" s="238" t="s">
        <v>5338</v>
      </c>
      <c r="V1462" s="238" t="s">
        <v>6562</v>
      </c>
      <c r="W1462" s="236">
        <v>9040</v>
      </c>
      <c r="X1462" s="233">
        <v>41391</v>
      </c>
      <c r="Y1462" s="238" t="s">
        <v>6563</v>
      </c>
      <c r="AB1462" s="1" t="s">
        <v>1561</v>
      </c>
    </row>
    <row r="1463" spans="1:28">
      <c r="A1463" s="233">
        <v>41334</v>
      </c>
      <c r="B1463" s="1" t="s">
        <v>2111</v>
      </c>
      <c r="C1463" s="1" t="s">
        <v>162</v>
      </c>
      <c r="D1463" s="5" t="s">
        <v>1879</v>
      </c>
      <c r="E1463" s="5" t="s">
        <v>3594</v>
      </c>
      <c r="F1463" s="1">
        <v>1</v>
      </c>
      <c r="G1463" s="1" t="s">
        <v>5326</v>
      </c>
      <c r="H1463" s="234">
        <v>25.3</v>
      </c>
      <c r="I1463" s="235">
        <f t="shared" si="122"/>
        <v>25.3</v>
      </c>
      <c r="K1463" s="282">
        <f>22.8*1</f>
        <v>22.8</v>
      </c>
      <c r="L1463" s="237">
        <v>41250</v>
      </c>
      <c r="M1463" s="1" t="s">
        <v>165</v>
      </c>
      <c r="N1463" s="235">
        <f t="shared" si="114"/>
        <v>25.3</v>
      </c>
      <c r="O1463" s="235">
        <f>I1463-N1463</f>
        <v>0</v>
      </c>
      <c r="P1463" s="238" t="s">
        <v>5330</v>
      </c>
      <c r="Q1463" s="1" t="s">
        <v>5422</v>
      </c>
      <c r="R1463" s="239" t="s">
        <v>414</v>
      </c>
      <c r="S1463" s="238" t="s">
        <v>415</v>
      </c>
      <c r="T1463" s="238" t="s">
        <v>3788</v>
      </c>
      <c r="U1463" s="238" t="s">
        <v>5423</v>
      </c>
      <c r="V1463" s="246" t="s">
        <v>175</v>
      </c>
      <c r="Z1463" s="255" t="s">
        <v>6033</v>
      </c>
      <c r="AB1463" s="1" t="s">
        <v>1561</v>
      </c>
    </row>
    <row r="1464" spans="1:28">
      <c r="A1464" s="233">
        <v>41334</v>
      </c>
      <c r="B1464" s="1" t="s">
        <v>2111</v>
      </c>
      <c r="C1464" s="1" t="s">
        <v>162</v>
      </c>
      <c r="D1464" s="5" t="s">
        <v>1880</v>
      </c>
      <c r="E1464" s="5" t="s">
        <v>3594</v>
      </c>
      <c r="F1464" s="1">
        <v>4</v>
      </c>
      <c r="G1464" s="1" t="s">
        <v>5326</v>
      </c>
      <c r="H1464" s="234">
        <v>25.3</v>
      </c>
      <c r="I1464" s="235">
        <f t="shared" si="122"/>
        <v>101.2</v>
      </c>
      <c r="K1464" s="282">
        <f>22.8*4</f>
        <v>91.2</v>
      </c>
      <c r="L1464" s="237">
        <v>41250</v>
      </c>
      <c r="M1464" s="1" t="s">
        <v>165</v>
      </c>
      <c r="N1464" s="235">
        <f t="shared" si="114"/>
        <v>101.2</v>
      </c>
      <c r="O1464" s="235">
        <f>I1464-N1464</f>
        <v>0</v>
      </c>
      <c r="P1464" s="238" t="s">
        <v>5330</v>
      </c>
      <c r="Q1464" s="1" t="s">
        <v>5422</v>
      </c>
      <c r="R1464" s="239" t="s">
        <v>414</v>
      </c>
      <c r="S1464" s="238" t="s">
        <v>415</v>
      </c>
      <c r="T1464" s="238" t="s">
        <v>3788</v>
      </c>
      <c r="U1464" s="238" t="s">
        <v>5423</v>
      </c>
      <c r="V1464" s="246" t="s">
        <v>175</v>
      </c>
      <c r="Z1464" s="255" t="s">
        <v>6033</v>
      </c>
      <c r="AB1464" s="1" t="s">
        <v>1561</v>
      </c>
    </row>
    <row r="1465" spans="1:28">
      <c r="A1465" s="233">
        <v>41334</v>
      </c>
      <c r="B1465" s="1" t="s">
        <v>2105</v>
      </c>
      <c r="C1465" s="1" t="s">
        <v>162</v>
      </c>
      <c r="D1465" s="5" t="s">
        <v>1882</v>
      </c>
      <c r="E1465" s="5" t="s">
        <v>5313</v>
      </c>
      <c r="F1465" s="1">
        <v>20</v>
      </c>
      <c r="G1465" s="1" t="s">
        <v>5314</v>
      </c>
      <c r="H1465" s="234">
        <v>20.75</v>
      </c>
      <c r="I1465" s="235">
        <f t="shared" si="122"/>
        <v>415</v>
      </c>
      <c r="K1465" s="250">
        <f>18.37*20</f>
        <v>367.40000000000003</v>
      </c>
      <c r="L1465" s="237">
        <v>41375</v>
      </c>
      <c r="M1465" s="1" t="s">
        <v>165</v>
      </c>
      <c r="N1465" s="235">
        <f t="shared" si="114"/>
        <v>415</v>
      </c>
      <c r="O1465" s="235">
        <f>I1465-N1465</f>
        <v>0</v>
      </c>
      <c r="P1465" s="238" t="s">
        <v>5352</v>
      </c>
      <c r="Q1465" s="1" t="s">
        <v>5422</v>
      </c>
      <c r="R1465" s="239" t="s">
        <v>2470</v>
      </c>
      <c r="S1465" s="238" t="s">
        <v>2103</v>
      </c>
      <c r="T1465" s="238" t="s">
        <v>773</v>
      </c>
      <c r="U1465" s="238" t="s">
        <v>5424</v>
      </c>
      <c r="V1465" s="238" t="s">
        <v>175</v>
      </c>
      <c r="AB1465" s="1" t="s">
        <v>1561</v>
      </c>
    </row>
    <row r="1466" spans="1:28">
      <c r="A1466" s="233">
        <v>41334</v>
      </c>
      <c r="B1466" s="1" t="s">
        <v>2105</v>
      </c>
      <c r="C1466" s="1" t="s">
        <v>162</v>
      </c>
      <c r="D1466" s="1" t="s">
        <v>232</v>
      </c>
      <c r="E1466" s="5" t="s">
        <v>194</v>
      </c>
      <c r="F1466" s="1">
        <v>50</v>
      </c>
      <c r="G1466" s="1" t="s">
        <v>5351</v>
      </c>
      <c r="H1466" s="234">
        <v>5.6</v>
      </c>
      <c r="I1466" s="235">
        <f t="shared" si="122"/>
        <v>280</v>
      </c>
      <c r="K1466" s="250">
        <f>36*4.75+14*4.78</f>
        <v>237.92000000000002</v>
      </c>
      <c r="L1466" s="237">
        <v>41375</v>
      </c>
      <c r="M1466" s="1" t="s">
        <v>165</v>
      </c>
      <c r="N1466" s="235">
        <f t="shared" si="114"/>
        <v>280</v>
      </c>
      <c r="O1466" s="235">
        <f>I1466-N1466</f>
        <v>0</v>
      </c>
      <c r="P1466" s="238" t="s">
        <v>5352</v>
      </c>
      <c r="Q1466" s="1" t="s">
        <v>5422</v>
      </c>
      <c r="R1466" s="239" t="s">
        <v>2470</v>
      </c>
      <c r="S1466" s="238" t="s">
        <v>2103</v>
      </c>
      <c r="T1466" s="238" t="s">
        <v>773</v>
      </c>
      <c r="U1466" s="238" t="s">
        <v>5424</v>
      </c>
      <c r="V1466" s="238" t="s">
        <v>175</v>
      </c>
      <c r="AB1466" s="1" t="s">
        <v>1561</v>
      </c>
    </row>
    <row r="1467" spans="1:28">
      <c r="A1467" s="233">
        <v>41334</v>
      </c>
      <c r="B1467" s="1" t="s">
        <v>5331</v>
      </c>
      <c r="C1467" s="1" t="s">
        <v>162</v>
      </c>
      <c r="D1467" s="65" t="s">
        <v>1566</v>
      </c>
      <c r="E1467" s="1" t="s">
        <v>5332</v>
      </c>
      <c r="F1467" s="1">
        <v>5</v>
      </c>
      <c r="G1467" s="1" t="s">
        <v>5333</v>
      </c>
      <c r="H1467" s="234">
        <v>45</v>
      </c>
      <c r="I1467" s="235">
        <f t="shared" si="122"/>
        <v>225</v>
      </c>
      <c r="K1467" s="250">
        <f>42.939*5</f>
        <v>214.69499999999999</v>
      </c>
      <c r="L1467" s="237">
        <v>41337</v>
      </c>
      <c r="M1467" s="1" t="s">
        <v>5355</v>
      </c>
      <c r="N1467" s="235">
        <f t="shared" si="114"/>
        <v>225</v>
      </c>
      <c r="O1467" s="235">
        <f t="shared" ref="O1467:O1490" si="123">I1467-N1467</f>
        <v>0</v>
      </c>
      <c r="P1467" s="238" t="s">
        <v>5334</v>
      </c>
      <c r="Q1467" s="1" t="s">
        <v>5353</v>
      </c>
      <c r="R1467" s="239" t="s">
        <v>5354</v>
      </c>
      <c r="S1467" s="238" t="s">
        <v>5354</v>
      </c>
      <c r="T1467" s="238" t="s">
        <v>5354</v>
      </c>
      <c r="U1467" s="238" t="s">
        <v>5354</v>
      </c>
      <c r="V1467" s="238" t="s">
        <v>175</v>
      </c>
      <c r="AB1467" s="1" t="s">
        <v>1561</v>
      </c>
    </row>
    <row r="1468" spans="1:28">
      <c r="A1468" s="233">
        <v>41337</v>
      </c>
      <c r="B1468" s="1" t="s">
        <v>5254</v>
      </c>
      <c r="C1468" s="1" t="s">
        <v>162</v>
      </c>
      <c r="D1468" s="1" t="s">
        <v>1210</v>
      </c>
      <c r="E1468" s="1">
        <v>3200</v>
      </c>
      <c r="F1468" s="1">
        <v>60</v>
      </c>
      <c r="G1468" s="1" t="s">
        <v>170</v>
      </c>
      <c r="H1468" s="234">
        <v>26.5</v>
      </c>
      <c r="I1468" s="235">
        <f t="shared" si="122"/>
        <v>1590</v>
      </c>
      <c r="K1468" s="250">
        <f>23.94*60</f>
        <v>1436.4</v>
      </c>
      <c r="L1468" s="237">
        <v>41341</v>
      </c>
      <c r="M1468" s="1" t="s">
        <v>166</v>
      </c>
      <c r="N1468" s="235">
        <f t="shared" si="114"/>
        <v>1590</v>
      </c>
      <c r="O1468" s="235">
        <f t="shared" si="123"/>
        <v>0</v>
      </c>
      <c r="P1468" s="238" t="s">
        <v>5360</v>
      </c>
      <c r="Q1468" s="1" t="s">
        <v>5092</v>
      </c>
      <c r="R1468" s="239" t="s">
        <v>5256</v>
      </c>
      <c r="S1468" s="238" t="s">
        <v>5257</v>
      </c>
      <c r="T1468" s="238" t="s">
        <v>5255</v>
      </c>
      <c r="U1468" s="238" t="s">
        <v>5361</v>
      </c>
      <c r="V1468" s="238" t="s">
        <v>6162</v>
      </c>
      <c r="W1468" s="236">
        <v>41752</v>
      </c>
      <c r="X1468" s="233">
        <v>41376</v>
      </c>
      <c r="Y1468" s="238" t="s">
        <v>6163</v>
      </c>
      <c r="AB1468" s="1" t="s">
        <v>1561</v>
      </c>
    </row>
    <row r="1469" spans="1:28">
      <c r="A1469" s="233">
        <v>41337</v>
      </c>
      <c r="B1469" s="1" t="s">
        <v>5254</v>
      </c>
      <c r="C1469" s="1" t="s">
        <v>162</v>
      </c>
      <c r="D1469" s="5" t="s">
        <v>307</v>
      </c>
      <c r="E1469" s="1">
        <v>1110</v>
      </c>
      <c r="F1469" s="1">
        <v>3000</v>
      </c>
      <c r="G1469" s="1" t="s">
        <v>172</v>
      </c>
      <c r="H1469" s="234">
        <v>0.73</v>
      </c>
      <c r="I1469" s="235">
        <f>F1469*H1469</f>
        <v>2190</v>
      </c>
      <c r="K1469" s="250">
        <f>0.6*3000</f>
        <v>1800</v>
      </c>
      <c r="L1469" s="237">
        <v>41341</v>
      </c>
      <c r="M1469" s="1" t="s">
        <v>166</v>
      </c>
      <c r="N1469" s="235">
        <f t="shared" si="114"/>
        <v>2190</v>
      </c>
      <c r="O1469" s="235">
        <f t="shared" si="123"/>
        <v>0</v>
      </c>
      <c r="P1469" s="238" t="s">
        <v>5360</v>
      </c>
      <c r="Q1469" s="1" t="s">
        <v>5092</v>
      </c>
      <c r="R1469" s="239" t="s">
        <v>5256</v>
      </c>
      <c r="S1469" s="238" t="s">
        <v>5257</v>
      </c>
      <c r="T1469" s="238" t="s">
        <v>5255</v>
      </c>
      <c r="U1469" s="238" t="s">
        <v>5361</v>
      </c>
      <c r="V1469" s="238" t="s">
        <v>6162</v>
      </c>
      <c r="W1469" s="236">
        <v>41752</v>
      </c>
      <c r="X1469" s="233">
        <v>41376</v>
      </c>
      <c r="Y1469" s="238" t="s">
        <v>6163</v>
      </c>
      <c r="AB1469" s="1" t="s">
        <v>1561</v>
      </c>
    </row>
    <row r="1470" spans="1:28">
      <c r="A1470" s="233">
        <v>41338</v>
      </c>
      <c r="B1470" s="1" t="s">
        <v>2309</v>
      </c>
      <c r="C1470" s="1" t="s">
        <v>162</v>
      </c>
      <c r="D1470" s="5" t="s">
        <v>2012</v>
      </c>
      <c r="E1470" s="1" t="s">
        <v>5359</v>
      </c>
      <c r="F1470" s="1">
        <v>10000</v>
      </c>
      <c r="G1470" s="1" t="s">
        <v>170</v>
      </c>
      <c r="H1470" s="234">
        <v>1.6</v>
      </c>
      <c r="I1470" s="235">
        <f>F1470*H1470</f>
        <v>16000</v>
      </c>
      <c r="J1470" s="352">
        <f>1.65*F1470</f>
        <v>16500</v>
      </c>
      <c r="K1470" s="250">
        <f>1.48*10000</f>
        <v>14800</v>
      </c>
      <c r="L1470" s="237">
        <v>41352</v>
      </c>
      <c r="M1470" s="1" t="s">
        <v>166</v>
      </c>
      <c r="N1470" s="235">
        <f t="shared" si="114"/>
        <v>16000</v>
      </c>
      <c r="O1470" s="235">
        <f t="shared" si="123"/>
        <v>0</v>
      </c>
      <c r="P1470" s="238" t="s">
        <v>5372</v>
      </c>
      <c r="Q1470" s="1" t="s">
        <v>1562</v>
      </c>
      <c r="R1470" s="239" t="s">
        <v>3148</v>
      </c>
      <c r="S1470" s="238" t="s">
        <v>3149</v>
      </c>
      <c r="T1470" s="239" t="s">
        <v>167</v>
      </c>
      <c r="U1470" s="239" t="s">
        <v>167</v>
      </c>
      <c r="V1470" s="238" t="s">
        <v>6985</v>
      </c>
      <c r="W1470" s="236">
        <v>39344.81</v>
      </c>
      <c r="X1470" s="233">
        <v>41416</v>
      </c>
      <c r="Y1470" s="238" t="s">
        <v>1562</v>
      </c>
      <c r="AB1470" s="1" t="s">
        <v>1561</v>
      </c>
    </row>
    <row r="1471" spans="1:28" ht="13.5" customHeight="1">
      <c r="A1471" s="233">
        <v>41338</v>
      </c>
      <c r="B1471" s="1" t="s">
        <v>2309</v>
      </c>
      <c r="C1471" s="1" t="s">
        <v>7</v>
      </c>
      <c r="D1471" s="95" t="s">
        <v>5008</v>
      </c>
      <c r="E1471" s="1" t="s">
        <v>5366</v>
      </c>
      <c r="F1471" s="1">
        <v>144</v>
      </c>
      <c r="G1471" s="1" t="s">
        <v>5371</v>
      </c>
      <c r="H1471" s="234">
        <v>12.5</v>
      </c>
      <c r="I1471" s="235">
        <f>F1471*H1471</f>
        <v>1800</v>
      </c>
      <c r="J1471" s="409">
        <f>13.2*F1471</f>
        <v>1900.8</v>
      </c>
      <c r="K1471" s="250">
        <f>144*10</f>
        <v>1440</v>
      </c>
      <c r="L1471" s="237">
        <v>41352</v>
      </c>
      <c r="M1471" s="1" t="s">
        <v>166</v>
      </c>
      <c r="N1471" s="235">
        <f t="shared" ref="N1471:N1530" si="124">I1471</f>
        <v>1800</v>
      </c>
      <c r="O1471" s="235">
        <f t="shared" si="123"/>
        <v>0</v>
      </c>
      <c r="P1471" s="238" t="s">
        <v>5372</v>
      </c>
      <c r="Q1471" s="1" t="s">
        <v>1562</v>
      </c>
      <c r="R1471" s="239" t="s">
        <v>3148</v>
      </c>
      <c r="S1471" s="238" t="s">
        <v>3149</v>
      </c>
      <c r="T1471" s="239" t="s">
        <v>167</v>
      </c>
      <c r="U1471" s="239" t="s">
        <v>167</v>
      </c>
      <c r="V1471" s="238" t="s">
        <v>6986</v>
      </c>
      <c r="W1471" s="236">
        <v>39344.81</v>
      </c>
      <c r="X1471" s="233">
        <v>41416</v>
      </c>
      <c r="Y1471" s="238" t="s">
        <v>1562</v>
      </c>
      <c r="AB1471" s="1" t="s">
        <v>1561</v>
      </c>
    </row>
    <row r="1472" spans="1:28">
      <c r="A1472" s="233">
        <v>41338</v>
      </c>
      <c r="B1472" s="1" t="s">
        <v>2105</v>
      </c>
      <c r="C1472" s="1" t="s">
        <v>162</v>
      </c>
      <c r="D1472" s="5" t="s">
        <v>983</v>
      </c>
      <c r="E1472" s="1">
        <v>6800</v>
      </c>
      <c r="F1472" s="1">
        <v>-1</v>
      </c>
      <c r="G1472" s="1" t="s">
        <v>5368</v>
      </c>
      <c r="H1472" s="234">
        <v>442</v>
      </c>
      <c r="I1472" s="235">
        <f t="shared" ref="I1472:I1478" si="125">F1472*H1472</f>
        <v>-442</v>
      </c>
      <c r="K1472" s="250">
        <f>418*-1</f>
        <v>-418</v>
      </c>
      <c r="L1472" s="237" t="s">
        <v>5377</v>
      </c>
      <c r="M1472" s="237" t="s">
        <v>5377</v>
      </c>
      <c r="N1472" s="235">
        <f t="shared" si="114"/>
        <v>-442</v>
      </c>
      <c r="O1472" s="235">
        <f t="shared" si="123"/>
        <v>0</v>
      </c>
      <c r="P1472" s="238" t="s">
        <v>5377</v>
      </c>
      <c r="Q1472" s="1" t="s">
        <v>5354</v>
      </c>
      <c r="R1472" s="239" t="s">
        <v>2470</v>
      </c>
      <c r="S1472" s="238" t="s">
        <v>2103</v>
      </c>
      <c r="T1472" s="238" t="s">
        <v>773</v>
      </c>
      <c r="U1472" s="238" t="s">
        <v>5354</v>
      </c>
      <c r="V1472" s="238" t="s">
        <v>175</v>
      </c>
      <c r="AB1472" s="1" t="s">
        <v>1561</v>
      </c>
    </row>
    <row r="1473" spans="1:28">
      <c r="A1473" s="233">
        <v>41338</v>
      </c>
      <c r="B1473" s="1" t="s">
        <v>2105</v>
      </c>
      <c r="C1473" s="1" t="s">
        <v>162</v>
      </c>
      <c r="D1473" s="5" t="s">
        <v>983</v>
      </c>
      <c r="E1473" s="1">
        <v>6800</v>
      </c>
      <c r="F1473" s="1">
        <v>1</v>
      </c>
      <c r="G1473" s="1" t="s">
        <v>5368</v>
      </c>
      <c r="H1473" s="234">
        <v>442</v>
      </c>
      <c r="I1473" s="235">
        <f t="shared" si="125"/>
        <v>442</v>
      </c>
      <c r="K1473" s="250">
        <f>436*1</f>
        <v>436</v>
      </c>
      <c r="L1473" s="237" t="s">
        <v>5377</v>
      </c>
      <c r="M1473" s="237" t="s">
        <v>5377</v>
      </c>
      <c r="N1473" s="235">
        <f>I1473</f>
        <v>442</v>
      </c>
      <c r="O1473" s="235">
        <f t="shared" si="123"/>
        <v>0</v>
      </c>
      <c r="P1473" s="238" t="s">
        <v>5377</v>
      </c>
      <c r="Q1473" s="1" t="s">
        <v>5379</v>
      </c>
      <c r="R1473" s="239" t="s">
        <v>2470</v>
      </c>
      <c r="S1473" s="238" t="s">
        <v>2103</v>
      </c>
      <c r="T1473" s="238" t="s">
        <v>773</v>
      </c>
      <c r="U1473" s="238" t="s">
        <v>5380</v>
      </c>
      <c r="V1473" s="238" t="s">
        <v>175</v>
      </c>
      <c r="AB1473" s="1" t="s">
        <v>1561</v>
      </c>
    </row>
    <row r="1474" spans="1:28">
      <c r="A1474" s="233">
        <v>41338</v>
      </c>
      <c r="B1474" s="1" t="s">
        <v>4338</v>
      </c>
      <c r="C1474" s="1" t="s">
        <v>162</v>
      </c>
      <c r="D1474" s="1" t="s">
        <v>240</v>
      </c>
      <c r="E1474" s="1">
        <v>6200</v>
      </c>
      <c r="F1474" s="1">
        <v>1</v>
      </c>
      <c r="G1474" s="1" t="s">
        <v>170</v>
      </c>
      <c r="H1474" s="234">
        <v>46.65</v>
      </c>
      <c r="I1474" s="235">
        <f t="shared" si="125"/>
        <v>46.65</v>
      </c>
      <c r="K1474" s="250">
        <f>44.5*1</f>
        <v>44.5</v>
      </c>
      <c r="L1474" s="237">
        <v>41338</v>
      </c>
      <c r="M1474" s="1" t="s">
        <v>165</v>
      </c>
      <c r="N1474" s="235">
        <f t="shared" si="124"/>
        <v>46.65</v>
      </c>
      <c r="O1474" s="235">
        <f t="shared" si="123"/>
        <v>0</v>
      </c>
      <c r="P1474" s="238" t="s">
        <v>5416</v>
      </c>
      <c r="Q1474" s="1" t="s">
        <v>5381</v>
      </c>
      <c r="R1474" s="239" t="s">
        <v>4341</v>
      </c>
      <c r="S1474" s="238" t="s">
        <v>4342</v>
      </c>
      <c r="T1474" s="238" t="s">
        <v>2237</v>
      </c>
      <c r="U1474" s="238" t="s">
        <v>5382</v>
      </c>
      <c r="V1474" s="238" t="s">
        <v>5540</v>
      </c>
      <c r="W1474" s="236">
        <v>9279.93</v>
      </c>
      <c r="X1474" s="233">
        <v>41347</v>
      </c>
      <c r="Y1474" s="238" t="s">
        <v>5551</v>
      </c>
      <c r="AB1474" s="1" t="s">
        <v>1561</v>
      </c>
    </row>
    <row r="1475" spans="1:28">
      <c r="A1475" s="233">
        <v>41338</v>
      </c>
      <c r="B1475" s="1" t="s">
        <v>4338</v>
      </c>
      <c r="C1475" s="1" t="s">
        <v>162</v>
      </c>
      <c r="D1475" s="5" t="s">
        <v>1882</v>
      </c>
      <c r="E1475" s="1" t="s">
        <v>145</v>
      </c>
      <c r="F1475" s="1">
        <v>4</v>
      </c>
      <c r="G1475" s="1" t="s">
        <v>170</v>
      </c>
      <c r="H1475" s="234">
        <v>19.27</v>
      </c>
      <c r="I1475" s="235">
        <f t="shared" si="125"/>
        <v>77.08</v>
      </c>
      <c r="K1475" s="250">
        <f>18.37*4</f>
        <v>73.48</v>
      </c>
      <c r="L1475" s="237">
        <v>41338</v>
      </c>
      <c r="M1475" s="1" t="s">
        <v>165</v>
      </c>
      <c r="N1475" s="235">
        <f t="shared" si="124"/>
        <v>77.08</v>
      </c>
      <c r="O1475" s="235">
        <f t="shared" si="123"/>
        <v>0</v>
      </c>
      <c r="P1475" s="238" t="s">
        <v>5416</v>
      </c>
      <c r="Q1475" s="1" t="s">
        <v>5381</v>
      </c>
      <c r="R1475" s="239" t="s">
        <v>4341</v>
      </c>
      <c r="S1475" s="238" t="s">
        <v>4342</v>
      </c>
      <c r="T1475" s="238" t="s">
        <v>2237</v>
      </c>
      <c r="U1475" s="238" t="s">
        <v>5382</v>
      </c>
      <c r="V1475" s="238" t="s">
        <v>5540</v>
      </c>
      <c r="W1475" s="236">
        <v>9279.93</v>
      </c>
      <c r="X1475" s="233">
        <v>41347</v>
      </c>
      <c r="Y1475" s="238" t="s">
        <v>5551</v>
      </c>
      <c r="AB1475" s="1" t="s">
        <v>1561</v>
      </c>
    </row>
    <row r="1476" spans="1:28">
      <c r="A1476" s="233">
        <v>41338</v>
      </c>
      <c r="B1476" s="1" t="s">
        <v>4338</v>
      </c>
      <c r="C1476" s="1" t="s">
        <v>162</v>
      </c>
      <c r="D1476" s="1" t="s">
        <v>232</v>
      </c>
      <c r="E1476" s="1" t="s">
        <v>194</v>
      </c>
      <c r="F1476" s="1">
        <v>4</v>
      </c>
      <c r="G1476" s="1" t="s">
        <v>231</v>
      </c>
      <c r="H1476" s="234">
        <v>6.5</v>
      </c>
      <c r="I1476" s="235">
        <f t="shared" si="125"/>
        <v>26</v>
      </c>
      <c r="K1476" s="250">
        <f>4.78*4</f>
        <v>19.12</v>
      </c>
      <c r="L1476" s="237">
        <v>41338</v>
      </c>
      <c r="M1476" s="1" t="s">
        <v>165</v>
      </c>
      <c r="N1476" s="235">
        <f t="shared" si="124"/>
        <v>26</v>
      </c>
      <c r="O1476" s="235">
        <f t="shared" si="123"/>
        <v>0</v>
      </c>
      <c r="P1476" s="238" t="s">
        <v>5416</v>
      </c>
      <c r="Q1476" s="1" t="s">
        <v>5381</v>
      </c>
      <c r="R1476" s="239" t="s">
        <v>4341</v>
      </c>
      <c r="S1476" s="238" t="s">
        <v>4342</v>
      </c>
      <c r="T1476" s="238" t="s">
        <v>2237</v>
      </c>
      <c r="U1476" s="238" t="s">
        <v>5382</v>
      </c>
      <c r="V1476" s="238" t="s">
        <v>5540</v>
      </c>
      <c r="W1476" s="236">
        <v>9279.93</v>
      </c>
      <c r="X1476" s="233">
        <v>41347</v>
      </c>
      <c r="Y1476" s="238" t="s">
        <v>5551</v>
      </c>
      <c r="AB1476" s="1" t="s">
        <v>1561</v>
      </c>
    </row>
    <row r="1477" spans="1:28">
      <c r="A1477" s="233">
        <v>41338</v>
      </c>
      <c r="B1477" s="1" t="s">
        <v>4338</v>
      </c>
      <c r="C1477" s="1" t="s">
        <v>162</v>
      </c>
      <c r="D1477" s="1" t="s">
        <v>263</v>
      </c>
      <c r="E1477" s="1">
        <v>501</v>
      </c>
      <c r="F1477" s="1">
        <v>2</v>
      </c>
      <c r="G1477" s="1" t="s">
        <v>170</v>
      </c>
      <c r="H1477" s="234">
        <v>1.5</v>
      </c>
      <c r="I1477" s="235">
        <f t="shared" si="125"/>
        <v>3</v>
      </c>
      <c r="K1477" s="250">
        <f>1.39*2</f>
        <v>2.78</v>
      </c>
      <c r="L1477" s="237">
        <v>41338</v>
      </c>
      <c r="M1477" s="1" t="s">
        <v>165</v>
      </c>
      <c r="N1477" s="235">
        <f t="shared" si="124"/>
        <v>3</v>
      </c>
      <c r="O1477" s="235">
        <f t="shared" si="123"/>
        <v>0</v>
      </c>
      <c r="P1477" s="238" t="s">
        <v>5416</v>
      </c>
      <c r="Q1477" s="1" t="s">
        <v>5381</v>
      </c>
      <c r="R1477" s="239" t="s">
        <v>4341</v>
      </c>
      <c r="S1477" s="238" t="s">
        <v>4342</v>
      </c>
      <c r="T1477" s="238" t="s">
        <v>2237</v>
      </c>
      <c r="U1477" s="238" t="s">
        <v>5382</v>
      </c>
      <c r="V1477" s="238" t="s">
        <v>5540</v>
      </c>
      <c r="W1477" s="236">
        <v>9279.93</v>
      </c>
      <c r="X1477" s="233">
        <v>41347</v>
      </c>
      <c r="Y1477" s="238" t="s">
        <v>5551</v>
      </c>
      <c r="AB1477" s="1" t="s">
        <v>1561</v>
      </c>
    </row>
    <row r="1478" spans="1:28">
      <c r="A1478" s="233">
        <v>41339</v>
      </c>
      <c r="B1478" s="1" t="s">
        <v>5396</v>
      </c>
      <c r="C1478" s="1" t="s">
        <v>162</v>
      </c>
      <c r="D1478" s="5" t="s">
        <v>1902</v>
      </c>
      <c r="E1478" s="1">
        <v>1270</v>
      </c>
      <c r="F1478" s="1">
        <v>60</v>
      </c>
      <c r="G1478" s="1" t="s">
        <v>172</v>
      </c>
      <c r="H1478" s="234">
        <v>6</v>
      </c>
      <c r="I1478" s="235">
        <f t="shared" si="125"/>
        <v>360</v>
      </c>
      <c r="K1478" s="250">
        <f>4.2*60</f>
        <v>252</v>
      </c>
      <c r="L1478" s="237">
        <v>41339</v>
      </c>
      <c r="M1478" s="1" t="s">
        <v>5397</v>
      </c>
      <c r="N1478" s="235">
        <f t="shared" si="124"/>
        <v>360</v>
      </c>
      <c r="O1478" s="235">
        <f t="shared" si="123"/>
        <v>0</v>
      </c>
      <c r="P1478" s="238" t="s">
        <v>5417</v>
      </c>
      <c r="Q1478" s="1" t="s">
        <v>5398</v>
      </c>
      <c r="R1478" s="239" t="s">
        <v>5399</v>
      </c>
      <c r="S1478" s="238" t="s">
        <v>5400</v>
      </c>
      <c r="T1478" s="238" t="s">
        <v>5401</v>
      </c>
      <c r="U1478" s="238" t="s">
        <v>5402</v>
      </c>
      <c r="AB1478" s="1" t="s">
        <v>2064</v>
      </c>
    </row>
    <row r="1479" spans="1:28">
      <c r="A1479" s="233">
        <v>41339</v>
      </c>
      <c r="B1479" s="1" t="s">
        <v>5396</v>
      </c>
      <c r="C1479" s="1" t="s">
        <v>162</v>
      </c>
      <c r="D1479" s="1" t="s">
        <v>854</v>
      </c>
      <c r="E1479" s="1">
        <v>9031</v>
      </c>
      <c r="F1479" s="1">
        <v>20</v>
      </c>
      <c r="G1479" s="1" t="s">
        <v>170</v>
      </c>
      <c r="H1479" s="234">
        <v>2.2999999999999998</v>
      </c>
      <c r="I1479" s="235">
        <f>H1479*F1479</f>
        <v>46</v>
      </c>
      <c r="K1479" s="250">
        <f>1.4929*20</f>
        <v>29.857999999999997</v>
      </c>
      <c r="L1479" s="237">
        <v>41339</v>
      </c>
      <c r="M1479" s="1" t="s">
        <v>5397</v>
      </c>
      <c r="N1479" s="235">
        <f t="shared" si="124"/>
        <v>46</v>
      </c>
      <c r="O1479" s="235">
        <f t="shared" si="123"/>
        <v>0</v>
      </c>
      <c r="P1479" s="238" t="s">
        <v>5417</v>
      </c>
      <c r="Q1479" s="1" t="s">
        <v>5398</v>
      </c>
      <c r="R1479" s="239" t="s">
        <v>5399</v>
      </c>
      <c r="S1479" s="238" t="s">
        <v>5400</v>
      </c>
      <c r="T1479" s="238" t="s">
        <v>5402</v>
      </c>
      <c r="U1479" s="238" t="s">
        <v>5402</v>
      </c>
      <c r="AB1479" s="1" t="s">
        <v>2064</v>
      </c>
    </row>
    <row r="1480" spans="1:28">
      <c r="A1480" s="233">
        <v>41340</v>
      </c>
      <c r="B1480" s="1" t="s">
        <v>5407</v>
      </c>
      <c r="C1480" s="1" t="s">
        <v>162</v>
      </c>
      <c r="D1480" s="1" t="s">
        <v>232</v>
      </c>
      <c r="E1480" s="1" t="s">
        <v>194</v>
      </c>
      <c r="F1480" s="1">
        <v>20</v>
      </c>
      <c r="G1480" s="1" t="s">
        <v>171</v>
      </c>
      <c r="H1480" s="234">
        <v>6.5</v>
      </c>
      <c r="I1480" s="235">
        <f>H1480*F1480</f>
        <v>130</v>
      </c>
      <c r="K1480" s="250">
        <f>4.78*20</f>
        <v>95.600000000000009</v>
      </c>
      <c r="L1480" s="237">
        <v>41340</v>
      </c>
      <c r="M1480" s="1" t="s">
        <v>165</v>
      </c>
      <c r="N1480" s="235">
        <f t="shared" si="124"/>
        <v>130</v>
      </c>
      <c r="O1480" s="235">
        <f t="shared" si="123"/>
        <v>0</v>
      </c>
      <c r="P1480" s="238" t="s">
        <v>5418</v>
      </c>
      <c r="Q1480" s="1" t="s">
        <v>5145</v>
      </c>
      <c r="R1480" s="239" t="s">
        <v>5408</v>
      </c>
      <c r="S1480" s="238" t="s">
        <v>5409</v>
      </c>
      <c r="T1480" s="238" t="s">
        <v>5410</v>
      </c>
      <c r="U1480" s="238" t="s">
        <v>5421</v>
      </c>
      <c r="AB1480" s="1" t="s">
        <v>1561</v>
      </c>
    </row>
    <row r="1481" spans="1:28">
      <c r="A1481" s="233">
        <v>41340</v>
      </c>
      <c r="B1481" s="1" t="s">
        <v>5407</v>
      </c>
      <c r="C1481" s="1" t="s">
        <v>162</v>
      </c>
      <c r="D1481" s="5" t="s">
        <v>1882</v>
      </c>
      <c r="E1481" s="5" t="s">
        <v>145</v>
      </c>
      <c r="F1481" s="1">
        <v>10</v>
      </c>
      <c r="G1481" s="1" t="s">
        <v>170</v>
      </c>
      <c r="H1481" s="234">
        <v>19.850000000000001</v>
      </c>
      <c r="I1481" s="235">
        <f>H1481*F1481</f>
        <v>198.5</v>
      </c>
      <c r="K1481" s="250">
        <f>18.37*10</f>
        <v>183.70000000000002</v>
      </c>
      <c r="L1481" s="237">
        <v>41340</v>
      </c>
      <c r="M1481" s="1" t="s">
        <v>165</v>
      </c>
      <c r="N1481" s="235">
        <f t="shared" si="124"/>
        <v>198.5</v>
      </c>
      <c r="O1481" s="235">
        <f t="shared" si="123"/>
        <v>0</v>
      </c>
      <c r="P1481" s="238" t="s">
        <v>5418</v>
      </c>
      <c r="Q1481" s="1" t="s">
        <v>5145</v>
      </c>
      <c r="R1481" s="239" t="s">
        <v>5408</v>
      </c>
      <c r="S1481" s="238" t="s">
        <v>5409</v>
      </c>
      <c r="T1481" s="238" t="s">
        <v>5410</v>
      </c>
      <c r="U1481" s="238" t="s">
        <v>5421</v>
      </c>
      <c r="AB1481" s="1" t="s">
        <v>1561</v>
      </c>
    </row>
    <row r="1482" spans="1:28">
      <c r="A1482" s="233">
        <v>41340</v>
      </c>
      <c r="B1482" s="1" t="s">
        <v>5412</v>
      </c>
      <c r="C1482" s="1" t="s">
        <v>162</v>
      </c>
      <c r="D1482" s="5" t="s">
        <v>1882</v>
      </c>
      <c r="E1482" s="5" t="s">
        <v>145</v>
      </c>
      <c r="F1482" s="1">
        <v>80</v>
      </c>
      <c r="G1482" s="1" t="s">
        <v>5404</v>
      </c>
      <c r="H1482" s="234">
        <v>18.350000000000001</v>
      </c>
      <c r="I1482" s="235">
        <f>H1482*F1482</f>
        <v>1468</v>
      </c>
      <c r="K1482" s="250">
        <f>17.25*80</f>
        <v>1380</v>
      </c>
      <c r="L1482" s="237">
        <v>41352</v>
      </c>
      <c r="M1482" s="1" t="s">
        <v>166</v>
      </c>
      <c r="N1482" s="235">
        <f t="shared" si="124"/>
        <v>1468</v>
      </c>
      <c r="O1482" s="235">
        <f t="shared" si="123"/>
        <v>0</v>
      </c>
      <c r="P1482" s="238" t="s">
        <v>5419</v>
      </c>
      <c r="Q1482" s="1" t="s">
        <v>4254</v>
      </c>
      <c r="R1482" s="239" t="s">
        <v>5415</v>
      </c>
      <c r="S1482" s="238" t="s">
        <v>5414</v>
      </c>
      <c r="T1482" s="238" t="s">
        <v>5413</v>
      </c>
      <c r="U1482" s="238" t="s">
        <v>5420</v>
      </c>
      <c r="V1482" s="238" t="s">
        <v>6325</v>
      </c>
      <c r="W1482" s="236">
        <v>5505</v>
      </c>
      <c r="X1482" s="233">
        <v>41381</v>
      </c>
      <c r="Y1482" s="238" t="s">
        <v>6326</v>
      </c>
      <c r="AB1482" s="1" t="s">
        <v>1561</v>
      </c>
    </row>
    <row r="1483" spans="1:28">
      <c r="A1483" s="233">
        <v>41341</v>
      </c>
      <c r="B1483" s="1" t="s">
        <v>1979</v>
      </c>
      <c r="C1483" s="1" t="s">
        <v>162</v>
      </c>
      <c r="D1483" s="5" t="s">
        <v>5425</v>
      </c>
      <c r="E1483" s="5" t="s">
        <v>5426</v>
      </c>
      <c r="F1483" s="1">
        <v>1000</v>
      </c>
      <c r="G1483" s="1" t="s">
        <v>170</v>
      </c>
      <c r="H1483" s="234">
        <v>1.56</v>
      </c>
      <c r="I1483" s="235">
        <f>H1483*F1483</f>
        <v>1560</v>
      </c>
      <c r="K1483" s="250">
        <f>1.5*1000</f>
        <v>1500</v>
      </c>
      <c r="L1483" s="237">
        <v>41374</v>
      </c>
      <c r="M1483" s="1" t="s">
        <v>6122</v>
      </c>
      <c r="N1483" s="235">
        <f t="shared" si="124"/>
        <v>1560</v>
      </c>
      <c r="O1483" s="235">
        <f t="shared" si="123"/>
        <v>0</v>
      </c>
      <c r="P1483" s="238" t="s">
        <v>5427</v>
      </c>
      <c r="Q1483" s="1" t="s">
        <v>5428</v>
      </c>
      <c r="R1483" s="265" t="s">
        <v>68</v>
      </c>
      <c r="S1483" s="265" t="s">
        <v>2973</v>
      </c>
      <c r="T1483" s="238" t="s">
        <v>67</v>
      </c>
      <c r="U1483" s="238" t="s">
        <v>6310</v>
      </c>
      <c r="V1483" s="238" t="s">
        <v>6067</v>
      </c>
      <c r="AB1483" s="1" t="s">
        <v>1561</v>
      </c>
    </row>
    <row r="1484" spans="1:28">
      <c r="A1484" s="233">
        <v>41341</v>
      </c>
      <c r="B1484" s="1" t="s">
        <v>2169</v>
      </c>
      <c r="C1484" s="1" t="s">
        <v>162</v>
      </c>
      <c r="D1484" s="5" t="s">
        <v>2012</v>
      </c>
      <c r="E1484" s="1" t="s">
        <v>245</v>
      </c>
      <c r="F1484" s="1">
        <v>2000</v>
      </c>
      <c r="G1484" s="1" t="s">
        <v>231</v>
      </c>
      <c r="H1484" s="234">
        <v>1.55</v>
      </c>
      <c r="I1484" s="235">
        <f t="shared" ref="I1484:I1489" si="126">F1484*H1484</f>
        <v>3100</v>
      </c>
      <c r="K1484" s="250">
        <f>1.48*2000</f>
        <v>2960</v>
      </c>
      <c r="L1484" s="237">
        <v>41376</v>
      </c>
      <c r="M1484" s="1" t="s">
        <v>166</v>
      </c>
      <c r="N1484" s="235">
        <f t="shared" si="124"/>
        <v>3100</v>
      </c>
      <c r="O1484" s="235">
        <f t="shared" si="123"/>
        <v>0</v>
      </c>
      <c r="P1484" s="238" t="s">
        <v>5432</v>
      </c>
      <c r="Q1484" s="1" t="s">
        <v>4254</v>
      </c>
      <c r="R1484" s="239" t="s">
        <v>2379</v>
      </c>
      <c r="S1484" s="238" t="s">
        <v>2380</v>
      </c>
      <c r="T1484" s="238" t="s">
        <v>3685</v>
      </c>
      <c r="U1484" s="238" t="s">
        <v>5434</v>
      </c>
      <c r="V1484" s="238" t="s">
        <v>5697</v>
      </c>
      <c r="W1484" s="236">
        <v>113433.12</v>
      </c>
      <c r="X1484" s="233">
        <v>41354</v>
      </c>
      <c r="Y1484" s="238" t="s">
        <v>5698</v>
      </c>
      <c r="AB1484" s="1" t="s">
        <v>1561</v>
      </c>
    </row>
    <row r="1485" spans="1:28">
      <c r="A1485" s="233">
        <v>41341</v>
      </c>
      <c r="B1485" s="1" t="s">
        <v>2169</v>
      </c>
      <c r="C1485" s="1" t="s">
        <v>162</v>
      </c>
      <c r="D1485" s="1" t="s">
        <v>240</v>
      </c>
      <c r="E1485" s="1">
        <v>6200</v>
      </c>
      <c r="F1485" s="1">
        <v>480</v>
      </c>
      <c r="G1485" s="1" t="s">
        <v>229</v>
      </c>
      <c r="H1485" s="234">
        <v>47</v>
      </c>
      <c r="I1485" s="235">
        <f t="shared" si="126"/>
        <v>22560</v>
      </c>
      <c r="K1485" s="250">
        <f>44.5*288+45.5*192</f>
        <v>21552</v>
      </c>
      <c r="L1485" s="237">
        <v>41376</v>
      </c>
      <c r="M1485" s="1" t="s">
        <v>166</v>
      </c>
      <c r="N1485" s="235">
        <f t="shared" si="124"/>
        <v>22560</v>
      </c>
      <c r="O1485" s="235">
        <f t="shared" si="123"/>
        <v>0</v>
      </c>
      <c r="P1485" s="238" t="s">
        <v>5432</v>
      </c>
      <c r="Q1485" s="1" t="s">
        <v>4254</v>
      </c>
      <c r="R1485" s="239" t="s">
        <v>2379</v>
      </c>
      <c r="S1485" s="238" t="s">
        <v>2380</v>
      </c>
      <c r="T1485" s="238" t="s">
        <v>3685</v>
      </c>
      <c r="U1485" s="238" t="s">
        <v>5434</v>
      </c>
      <c r="V1485" s="238" t="s">
        <v>5697</v>
      </c>
      <c r="W1485" s="236">
        <v>113433.12</v>
      </c>
      <c r="X1485" s="233">
        <v>41354</v>
      </c>
      <c r="Y1485" s="238" t="s">
        <v>5698</v>
      </c>
      <c r="AB1485" s="1" t="s">
        <v>1561</v>
      </c>
    </row>
    <row r="1486" spans="1:28">
      <c r="A1486" s="233">
        <v>41341</v>
      </c>
      <c r="B1486" s="1" t="s">
        <v>2169</v>
      </c>
      <c r="C1486" s="1" t="s">
        <v>162</v>
      </c>
      <c r="D1486" s="319" t="s">
        <v>273</v>
      </c>
      <c r="E1486" s="1" t="s">
        <v>274</v>
      </c>
      <c r="F1486" s="1">
        <v>960</v>
      </c>
      <c r="G1486" s="1" t="s">
        <v>229</v>
      </c>
      <c r="H1486" s="234">
        <v>33</v>
      </c>
      <c r="I1486" s="235">
        <f t="shared" si="126"/>
        <v>31680</v>
      </c>
      <c r="K1486" s="250">
        <f>31.7*960</f>
        <v>30432</v>
      </c>
      <c r="L1486" s="237">
        <v>41390</v>
      </c>
      <c r="M1486" s="1" t="s">
        <v>166</v>
      </c>
      <c r="N1486" s="235">
        <f t="shared" si="124"/>
        <v>31680</v>
      </c>
      <c r="O1486" s="235">
        <f t="shared" si="123"/>
        <v>0</v>
      </c>
      <c r="P1486" s="238" t="s">
        <v>5432</v>
      </c>
      <c r="Q1486" s="1" t="s">
        <v>4254</v>
      </c>
      <c r="R1486" s="239" t="s">
        <v>2379</v>
      </c>
      <c r="S1486" s="238" t="s">
        <v>2380</v>
      </c>
      <c r="T1486" s="238" t="s">
        <v>3685</v>
      </c>
      <c r="U1486" s="238" t="s">
        <v>5434</v>
      </c>
      <c r="V1486" s="238" t="s">
        <v>5697</v>
      </c>
      <c r="W1486" s="236">
        <v>113433.12</v>
      </c>
      <c r="X1486" s="233">
        <v>41354</v>
      </c>
      <c r="Y1486" s="238" t="s">
        <v>5698</v>
      </c>
      <c r="AB1486" s="1" t="s">
        <v>1561</v>
      </c>
    </row>
    <row r="1487" spans="1:28" ht="14.25">
      <c r="A1487" s="233">
        <v>41341</v>
      </c>
      <c r="B1487" s="1" t="s">
        <v>2169</v>
      </c>
      <c r="C1487" s="1" t="s">
        <v>162</v>
      </c>
      <c r="D1487" s="1" t="s">
        <v>2317</v>
      </c>
      <c r="E1487" s="1" t="s">
        <v>5364</v>
      </c>
      <c r="F1487" s="1">
        <v>32</v>
      </c>
      <c r="G1487" s="1" t="s">
        <v>229</v>
      </c>
      <c r="H1487" s="234">
        <v>31.18</v>
      </c>
      <c r="I1487" s="235">
        <f t="shared" si="126"/>
        <v>997.76</v>
      </c>
      <c r="K1487" s="250">
        <f>30.32*32</f>
        <v>970.24</v>
      </c>
      <c r="L1487" s="237">
        <v>41376</v>
      </c>
      <c r="M1487" s="1" t="s">
        <v>166</v>
      </c>
      <c r="N1487" s="235">
        <f t="shared" si="124"/>
        <v>997.76</v>
      </c>
      <c r="O1487" s="235">
        <f t="shared" si="123"/>
        <v>0</v>
      </c>
      <c r="P1487" s="238" t="s">
        <v>5432</v>
      </c>
      <c r="Q1487" s="1" t="s">
        <v>4254</v>
      </c>
      <c r="R1487" s="239" t="s">
        <v>2379</v>
      </c>
      <c r="S1487" s="238" t="s">
        <v>2380</v>
      </c>
      <c r="T1487" s="238" t="s">
        <v>3685</v>
      </c>
      <c r="U1487" s="238" t="s">
        <v>5434</v>
      </c>
      <c r="V1487" s="238" t="s">
        <v>5697</v>
      </c>
      <c r="W1487" s="236">
        <v>113433.12</v>
      </c>
      <c r="X1487" s="233">
        <v>41354</v>
      </c>
      <c r="Y1487" s="238" t="s">
        <v>5698</v>
      </c>
      <c r="AB1487" s="1" t="s">
        <v>1561</v>
      </c>
    </row>
    <row r="1488" spans="1:28">
      <c r="A1488" s="233">
        <v>41341</v>
      </c>
      <c r="B1488" s="1" t="s">
        <v>2169</v>
      </c>
      <c r="C1488" s="1" t="s">
        <v>162</v>
      </c>
      <c r="D1488" s="5" t="s">
        <v>182</v>
      </c>
      <c r="E1488" s="1" t="s">
        <v>233</v>
      </c>
      <c r="F1488" s="1">
        <v>400</v>
      </c>
      <c r="G1488" s="1" t="s">
        <v>231</v>
      </c>
      <c r="H1488" s="234">
        <v>5.64</v>
      </c>
      <c r="I1488" s="235">
        <f t="shared" si="126"/>
        <v>2256</v>
      </c>
      <c r="K1488" s="250">
        <f>4.77*200+4.78*200</f>
        <v>1910</v>
      </c>
      <c r="L1488" s="237">
        <v>41376</v>
      </c>
      <c r="M1488" s="1" t="s">
        <v>166</v>
      </c>
      <c r="N1488" s="235">
        <f t="shared" si="124"/>
        <v>2256</v>
      </c>
      <c r="O1488" s="235">
        <f t="shared" si="123"/>
        <v>0</v>
      </c>
      <c r="P1488" s="238" t="s">
        <v>5432</v>
      </c>
      <c r="Q1488" s="1" t="s">
        <v>4254</v>
      </c>
      <c r="R1488" s="239" t="s">
        <v>2379</v>
      </c>
      <c r="S1488" s="238" t="s">
        <v>2380</v>
      </c>
      <c r="T1488" s="238" t="s">
        <v>6837</v>
      </c>
      <c r="U1488" s="238" t="s">
        <v>5434</v>
      </c>
      <c r="V1488" s="238" t="s">
        <v>5697</v>
      </c>
      <c r="W1488" s="236">
        <v>113433.12</v>
      </c>
      <c r="X1488" s="233">
        <v>41354</v>
      </c>
      <c r="Y1488" s="238" t="s">
        <v>5698</v>
      </c>
      <c r="AB1488" s="1" t="s">
        <v>1561</v>
      </c>
    </row>
    <row r="1489" spans="1:28">
      <c r="A1489" s="233">
        <v>41341</v>
      </c>
      <c r="B1489" s="1" t="s">
        <v>2169</v>
      </c>
      <c r="C1489" s="1" t="s">
        <v>162</v>
      </c>
      <c r="D1489" s="1" t="s">
        <v>268</v>
      </c>
      <c r="E1489" s="1" t="s">
        <v>5365</v>
      </c>
      <c r="F1489" s="1">
        <v>47</v>
      </c>
      <c r="G1489" s="1" t="s">
        <v>231</v>
      </c>
      <c r="H1489" s="234">
        <v>1.48</v>
      </c>
      <c r="I1489" s="235">
        <f t="shared" si="126"/>
        <v>69.56</v>
      </c>
      <c r="K1489" s="250">
        <f>1.17*47</f>
        <v>54.989999999999995</v>
      </c>
      <c r="L1489" s="237">
        <v>41376</v>
      </c>
      <c r="M1489" s="1" t="s">
        <v>166</v>
      </c>
      <c r="N1489" s="235">
        <f t="shared" si="124"/>
        <v>69.56</v>
      </c>
      <c r="O1489" s="235">
        <f t="shared" si="123"/>
        <v>0</v>
      </c>
      <c r="P1489" s="238" t="s">
        <v>5432</v>
      </c>
      <c r="Q1489" s="1" t="s">
        <v>4254</v>
      </c>
      <c r="R1489" s="239" t="s">
        <v>2379</v>
      </c>
      <c r="S1489" s="238" t="s">
        <v>2380</v>
      </c>
      <c r="T1489" s="238" t="s">
        <v>6837</v>
      </c>
      <c r="U1489" s="238" t="s">
        <v>5434</v>
      </c>
      <c r="V1489" s="238" t="s">
        <v>5697</v>
      </c>
      <c r="W1489" s="236">
        <v>113433.12</v>
      </c>
      <c r="X1489" s="233">
        <v>41354</v>
      </c>
      <c r="Y1489" s="238" t="s">
        <v>5698</v>
      </c>
      <c r="AB1489" s="1" t="s">
        <v>1561</v>
      </c>
    </row>
    <row r="1490" spans="1:28">
      <c r="A1490" s="233">
        <v>41344</v>
      </c>
      <c r="B1490" s="1" t="s">
        <v>4696</v>
      </c>
      <c r="C1490" s="1" t="s">
        <v>162</v>
      </c>
      <c r="D1490" s="326" t="s">
        <v>5440</v>
      </c>
      <c r="E1490" s="326" t="s">
        <v>5439</v>
      </c>
      <c r="F1490" s="326">
        <v>200</v>
      </c>
      <c r="G1490" s="326" t="s">
        <v>5441</v>
      </c>
      <c r="H1490" s="234">
        <v>2.2000000000000002</v>
      </c>
      <c r="I1490" s="235">
        <f>F1490*H1490</f>
        <v>440.00000000000006</v>
      </c>
      <c r="K1490" s="250">
        <f>2.1*200</f>
        <v>420</v>
      </c>
      <c r="L1490" s="237">
        <v>41403</v>
      </c>
      <c r="M1490" s="1" t="s">
        <v>166</v>
      </c>
      <c r="N1490" s="235">
        <f t="shared" si="124"/>
        <v>440.00000000000006</v>
      </c>
      <c r="O1490" s="235">
        <f t="shared" si="123"/>
        <v>0</v>
      </c>
      <c r="P1490" s="238" t="s">
        <v>5443</v>
      </c>
      <c r="Q1490" s="5" t="s">
        <v>1562</v>
      </c>
      <c r="R1490" s="239" t="s">
        <v>167</v>
      </c>
      <c r="S1490" s="238" t="s">
        <v>167</v>
      </c>
      <c r="T1490" s="238" t="s">
        <v>167</v>
      </c>
      <c r="U1490" s="238" t="s">
        <v>167</v>
      </c>
      <c r="AB1490" s="5" t="s">
        <v>1561</v>
      </c>
    </row>
    <row r="1491" spans="1:28">
      <c r="A1491" s="233">
        <v>41344</v>
      </c>
      <c r="B1491" s="1" t="s">
        <v>3485</v>
      </c>
      <c r="C1491" s="1" t="s">
        <v>162</v>
      </c>
      <c r="D1491" s="1" t="s">
        <v>353</v>
      </c>
      <c r="E1491" s="5" t="s">
        <v>3489</v>
      </c>
      <c r="F1491" s="5">
        <v>120</v>
      </c>
      <c r="G1491" s="1" t="s">
        <v>170</v>
      </c>
      <c r="H1491" s="234">
        <v>18</v>
      </c>
      <c r="I1491" s="235">
        <f>F1491*H1491</f>
        <v>2160</v>
      </c>
      <c r="K1491" s="250">
        <f>10.94*120</f>
        <v>1312.8</v>
      </c>
      <c r="L1491" s="237">
        <v>41345</v>
      </c>
      <c r="M1491" s="1" t="s">
        <v>165</v>
      </c>
      <c r="N1491" s="235">
        <f t="shared" si="124"/>
        <v>2160</v>
      </c>
      <c r="O1491" s="235">
        <f t="shared" ref="O1491:O1505" si="127">I1491-N1491</f>
        <v>0</v>
      </c>
      <c r="P1491" s="238" t="s">
        <v>5444</v>
      </c>
      <c r="Q1491" s="1" t="s">
        <v>1562</v>
      </c>
      <c r="R1491" s="239" t="s">
        <v>3487</v>
      </c>
      <c r="S1491" s="238" t="s">
        <v>3488</v>
      </c>
      <c r="T1491" s="238" t="s">
        <v>1562</v>
      </c>
      <c r="V1491" s="238" t="s">
        <v>175</v>
      </c>
      <c r="AB1491" s="1" t="s">
        <v>2064</v>
      </c>
    </row>
    <row r="1492" spans="1:28">
      <c r="A1492" s="233">
        <v>41344</v>
      </c>
      <c r="B1492" s="1" t="s">
        <v>3485</v>
      </c>
      <c r="C1492" s="1" t="s">
        <v>162</v>
      </c>
      <c r="D1492" s="1" t="s">
        <v>268</v>
      </c>
      <c r="E1492" s="5" t="s">
        <v>177</v>
      </c>
      <c r="F1492" s="5">
        <v>200</v>
      </c>
      <c r="G1492" s="1" t="s">
        <v>171</v>
      </c>
      <c r="H1492" s="234">
        <v>2</v>
      </c>
      <c r="I1492" s="235">
        <f>F1492*H1492</f>
        <v>400</v>
      </c>
      <c r="K1492" s="250">
        <f>1.17*200</f>
        <v>234</v>
      </c>
      <c r="L1492" s="237">
        <v>41345</v>
      </c>
      <c r="M1492" s="1" t="s">
        <v>165</v>
      </c>
      <c r="N1492" s="235">
        <f t="shared" si="124"/>
        <v>400</v>
      </c>
      <c r="O1492" s="235">
        <f t="shared" si="127"/>
        <v>0</v>
      </c>
      <c r="P1492" s="238" t="s">
        <v>5444</v>
      </c>
      <c r="Q1492" s="1" t="s">
        <v>1562</v>
      </c>
      <c r="R1492" s="239" t="s">
        <v>3487</v>
      </c>
      <c r="S1492" s="238" t="s">
        <v>3488</v>
      </c>
      <c r="T1492" s="238" t="s">
        <v>1562</v>
      </c>
      <c r="V1492" s="238" t="s">
        <v>175</v>
      </c>
      <c r="AB1492" s="1" t="s">
        <v>2064</v>
      </c>
    </row>
    <row r="1493" spans="1:28">
      <c r="A1493" s="233">
        <v>41344</v>
      </c>
      <c r="B1493" s="326" t="s">
        <v>1977</v>
      </c>
      <c r="C1493" s="383" t="s">
        <v>162</v>
      </c>
      <c r="D1493" s="1" t="s">
        <v>1213</v>
      </c>
      <c r="E1493" s="1" t="s">
        <v>5445</v>
      </c>
      <c r="F1493" s="1">
        <v>11</v>
      </c>
      <c r="G1493" s="1" t="s">
        <v>5446</v>
      </c>
      <c r="H1493" s="234">
        <v>13.5</v>
      </c>
      <c r="I1493" s="236">
        <f>H1493*F1493</f>
        <v>148.5</v>
      </c>
      <c r="K1493" s="250">
        <f>12.6*11</f>
        <v>138.6</v>
      </c>
      <c r="L1493" s="237">
        <v>41344</v>
      </c>
      <c r="M1493" s="1" t="s">
        <v>5447</v>
      </c>
      <c r="N1493" s="235">
        <f t="shared" si="124"/>
        <v>148.5</v>
      </c>
      <c r="O1493" s="235">
        <f t="shared" si="127"/>
        <v>0</v>
      </c>
      <c r="P1493" s="238" t="s">
        <v>5448</v>
      </c>
      <c r="Q1493" s="1" t="s">
        <v>1562</v>
      </c>
      <c r="R1493" s="239" t="s">
        <v>3476</v>
      </c>
      <c r="S1493" s="238" t="s">
        <v>167</v>
      </c>
      <c r="T1493" s="238" t="s">
        <v>167</v>
      </c>
      <c r="U1493" s="238" t="s">
        <v>1562</v>
      </c>
      <c r="AB1493" s="1" t="s">
        <v>1561</v>
      </c>
    </row>
    <row r="1494" spans="1:28">
      <c r="A1494" s="233">
        <v>41344</v>
      </c>
      <c r="B1494" s="1" t="s">
        <v>581</v>
      </c>
      <c r="C1494" s="1" t="s">
        <v>162</v>
      </c>
      <c r="D1494" s="5" t="s">
        <v>854</v>
      </c>
      <c r="E1494" s="1">
        <v>9032</v>
      </c>
      <c r="F1494" s="1">
        <v>500</v>
      </c>
      <c r="G1494" s="1" t="s">
        <v>170</v>
      </c>
      <c r="H1494" s="234">
        <v>2.6</v>
      </c>
      <c r="I1494" s="236">
        <f>H1494*F1494</f>
        <v>1300</v>
      </c>
      <c r="K1494" s="250">
        <f>1.4929*500</f>
        <v>746.44999999999993</v>
      </c>
      <c r="L1494" s="237">
        <v>41343</v>
      </c>
      <c r="M1494" s="1" t="s">
        <v>5435</v>
      </c>
      <c r="N1494" s="235">
        <f t="shared" si="124"/>
        <v>1300</v>
      </c>
      <c r="O1494" s="235">
        <f t="shared" si="127"/>
        <v>0</v>
      </c>
      <c r="P1494" s="238" t="s">
        <v>5449</v>
      </c>
      <c r="Q1494" s="1" t="s">
        <v>5322</v>
      </c>
      <c r="R1494" s="239" t="s">
        <v>583</v>
      </c>
      <c r="S1494" s="238" t="s">
        <v>584</v>
      </c>
      <c r="T1494" s="238" t="s">
        <v>2233</v>
      </c>
      <c r="U1494" s="238" t="s">
        <v>5727</v>
      </c>
      <c r="V1494" s="238" t="s">
        <v>254</v>
      </c>
      <c r="W1494" s="236" t="s">
        <v>167</v>
      </c>
      <c r="X1494" s="233" t="s">
        <v>167</v>
      </c>
      <c r="Y1494" s="239" t="s">
        <v>167</v>
      </c>
      <c r="AB1494" s="1" t="s">
        <v>382</v>
      </c>
    </row>
    <row r="1495" spans="1:28">
      <c r="A1495" s="233">
        <v>41344</v>
      </c>
      <c r="B1495" s="1" t="s">
        <v>5127</v>
      </c>
      <c r="C1495" s="5" t="s">
        <v>162</v>
      </c>
      <c r="D1495" s="1" t="s">
        <v>1210</v>
      </c>
      <c r="E1495" s="1">
        <v>3200</v>
      </c>
      <c r="F1495" s="1">
        <v>200</v>
      </c>
      <c r="G1495" s="1" t="s">
        <v>170</v>
      </c>
      <c r="H1495" s="234">
        <v>26.81</v>
      </c>
      <c r="I1495" s="235">
        <f t="shared" ref="I1495:I1504" si="128">F1495*H1495</f>
        <v>5362</v>
      </c>
      <c r="K1495" s="250">
        <f>23.94*200</f>
        <v>4788</v>
      </c>
      <c r="L1495" s="237">
        <v>41344</v>
      </c>
      <c r="M1495" s="1" t="s">
        <v>5447</v>
      </c>
      <c r="N1495" s="235">
        <f t="shared" si="124"/>
        <v>5362</v>
      </c>
      <c r="O1495" s="235">
        <f t="shared" si="127"/>
        <v>0</v>
      </c>
      <c r="P1495" s="238" t="s">
        <v>5454</v>
      </c>
      <c r="Q1495" s="1" t="s">
        <v>5322</v>
      </c>
      <c r="R1495" s="239" t="s">
        <v>5129</v>
      </c>
      <c r="S1495" s="238" t="s">
        <v>5130</v>
      </c>
      <c r="T1495" s="238" t="s">
        <v>2233</v>
      </c>
      <c r="U1495" s="238" t="s">
        <v>5726</v>
      </c>
      <c r="V1495" s="238" t="s">
        <v>175</v>
      </c>
      <c r="W1495" s="236" t="s">
        <v>167</v>
      </c>
      <c r="X1495" s="233" t="s">
        <v>167</v>
      </c>
      <c r="Y1495" s="239" t="s">
        <v>167</v>
      </c>
      <c r="AB1495" s="1" t="s">
        <v>1561</v>
      </c>
    </row>
    <row r="1496" spans="1:28">
      <c r="A1496" s="233">
        <v>41344</v>
      </c>
      <c r="B1496" s="1" t="s">
        <v>5127</v>
      </c>
      <c r="C1496" s="5" t="s">
        <v>162</v>
      </c>
      <c r="D1496" s="5" t="s">
        <v>346</v>
      </c>
      <c r="E1496" s="1">
        <v>3700</v>
      </c>
      <c r="F1496" s="1">
        <v>200</v>
      </c>
      <c r="G1496" s="1" t="s">
        <v>170</v>
      </c>
      <c r="H1496" s="234">
        <v>3.46</v>
      </c>
      <c r="I1496" s="235">
        <f t="shared" si="128"/>
        <v>692</v>
      </c>
      <c r="K1496" s="250">
        <f>3.09*200</f>
        <v>618</v>
      </c>
      <c r="L1496" s="237">
        <v>41344</v>
      </c>
      <c r="M1496" s="1" t="s">
        <v>5447</v>
      </c>
      <c r="N1496" s="235">
        <f t="shared" si="124"/>
        <v>692</v>
      </c>
      <c r="O1496" s="235">
        <f t="shared" si="127"/>
        <v>0</v>
      </c>
      <c r="P1496" s="238" t="s">
        <v>5454</v>
      </c>
      <c r="Q1496" s="1" t="s">
        <v>5322</v>
      </c>
      <c r="R1496" s="239" t="s">
        <v>5129</v>
      </c>
      <c r="S1496" s="238" t="s">
        <v>5130</v>
      </c>
      <c r="T1496" s="238" t="s">
        <v>2233</v>
      </c>
      <c r="U1496" s="238" t="s">
        <v>5726</v>
      </c>
      <c r="V1496" s="238" t="s">
        <v>175</v>
      </c>
      <c r="W1496" s="236" t="s">
        <v>167</v>
      </c>
      <c r="X1496" s="233" t="s">
        <v>167</v>
      </c>
      <c r="Y1496" s="239" t="s">
        <v>167</v>
      </c>
      <c r="AB1496" s="1" t="s">
        <v>1561</v>
      </c>
    </row>
    <row r="1497" spans="1:28">
      <c r="A1497" s="233">
        <v>41344</v>
      </c>
      <c r="B1497" s="1" t="s">
        <v>5127</v>
      </c>
      <c r="C1497" s="5" t="s">
        <v>162</v>
      </c>
      <c r="D1497" s="5" t="s">
        <v>182</v>
      </c>
      <c r="E1497" s="1" t="s">
        <v>186</v>
      </c>
      <c r="F1497" s="1">
        <v>200</v>
      </c>
      <c r="G1497" s="1" t="s">
        <v>171</v>
      </c>
      <c r="H1497" s="234">
        <v>1.73</v>
      </c>
      <c r="I1497" s="235">
        <f t="shared" si="128"/>
        <v>346</v>
      </c>
      <c r="K1497" s="250">
        <f>1.54*200</f>
        <v>308</v>
      </c>
      <c r="L1497" s="237">
        <v>41344</v>
      </c>
      <c r="M1497" s="1" t="s">
        <v>5447</v>
      </c>
      <c r="N1497" s="235">
        <f t="shared" si="124"/>
        <v>346</v>
      </c>
      <c r="O1497" s="235">
        <f t="shared" si="127"/>
        <v>0</v>
      </c>
      <c r="P1497" s="238" t="s">
        <v>5454</v>
      </c>
      <c r="Q1497" s="1" t="s">
        <v>5322</v>
      </c>
      <c r="R1497" s="239" t="s">
        <v>5129</v>
      </c>
      <c r="S1497" s="238" t="s">
        <v>5130</v>
      </c>
      <c r="T1497" s="238" t="s">
        <v>2233</v>
      </c>
      <c r="U1497" s="238" t="s">
        <v>5726</v>
      </c>
      <c r="V1497" s="238" t="s">
        <v>175</v>
      </c>
      <c r="W1497" s="236" t="s">
        <v>167</v>
      </c>
      <c r="X1497" s="233" t="s">
        <v>167</v>
      </c>
      <c r="Y1497" s="239" t="s">
        <v>167</v>
      </c>
      <c r="AB1497" s="1" t="s">
        <v>1561</v>
      </c>
    </row>
    <row r="1498" spans="1:28">
      <c r="A1498" s="233">
        <v>41344</v>
      </c>
      <c r="B1498" s="1" t="s">
        <v>1569</v>
      </c>
      <c r="C1498" s="1" t="s">
        <v>162</v>
      </c>
      <c r="D1498" s="5" t="s">
        <v>6254</v>
      </c>
      <c r="E1498" s="1" t="s">
        <v>5461</v>
      </c>
      <c r="F1498" s="1">
        <v>10000</v>
      </c>
      <c r="G1498" s="1" t="s">
        <v>5456</v>
      </c>
      <c r="H1498" s="234">
        <v>1.8</v>
      </c>
      <c r="I1498" s="235">
        <f t="shared" si="128"/>
        <v>18000</v>
      </c>
      <c r="K1498" s="250">
        <f>1.55*10000</f>
        <v>15500</v>
      </c>
      <c r="L1498" s="237">
        <v>41361</v>
      </c>
      <c r="M1498" s="1" t="s">
        <v>166</v>
      </c>
      <c r="N1498" s="235">
        <f t="shared" si="124"/>
        <v>18000</v>
      </c>
      <c r="O1498" s="235">
        <f t="shared" si="127"/>
        <v>0</v>
      </c>
      <c r="P1498" s="238" t="s">
        <v>5535</v>
      </c>
      <c r="Q1498" s="1" t="s">
        <v>1571</v>
      </c>
      <c r="R1498" s="239" t="s">
        <v>1570</v>
      </c>
      <c r="S1498" s="238">
        <v>13368068212</v>
      </c>
      <c r="T1498" s="238" t="s">
        <v>167</v>
      </c>
      <c r="U1498" s="238" t="s">
        <v>167</v>
      </c>
      <c r="V1498" s="238" t="s">
        <v>5536</v>
      </c>
      <c r="W1498" s="236">
        <v>18072</v>
      </c>
      <c r="X1498" s="233">
        <v>41347</v>
      </c>
      <c r="Y1498" s="238" t="s">
        <v>3866</v>
      </c>
      <c r="AB1498" s="5" t="s">
        <v>1561</v>
      </c>
    </row>
    <row r="1499" spans="1:28">
      <c r="A1499" s="233">
        <v>41345</v>
      </c>
      <c r="B1499" s="1" t="s">
        <v>4111</v>
      </c>
      <c r="C1499" s="1" t="s">
        <v>162</v>
      </c>
      <c r="D1499" s="5" t="s">
        <v>1899</v>
      </c>
      <c r="E1499" s="1" t="s">
        <v>4506</v>
      </c>
      <c r="F1499" s="1">
        <v>8</v>
      </c>
      <c r="G1499" s="1" t="s">
        <v>5456</v>
      </c>
      <c r="H1499" s="234">
        <v>48.35</v>
      </c>
      <c r="I1499" s="235">
        <f t="shared" si="128"/>
        <v>386.8</v>
      </c>
      <c r="K1499" s="250">
        <f>44.5*6+42.5*2</f>
        <v>352</v>
      </c>
      <c r="L1499" s="237">
        <v>41346</v>
      </c>
      <c r="M1499" s="1" t="s">
        <v>5491</v>
      </c>
      <c r="N1499" s="235">
        <f t="shared" si="124"/>
        <v>386.8</v>
      </c>
      <c r="O1499" s="235">
        <f t="shared" si="127"/>
        <v>0</v>
      </c>
      <c r="P1499" s="238" t="s">
        <v>5462</v>
      </c>
      <c r="Q1499" s="1" t="s">
        <v>1562</v>
      </c>
      <c r="R1499" s="239" t="s">
        <v>4113</v>
      </c>
      <c r="S1499" s="238" t="s">
        <v>4114</v>
      </c>
      <c r="T1499" s="238" t="s">
        <v>4115</v>
      </c>
      <c r="V1499" s="238" t="s">
        <v>175</v>
      </c>
      <c r="AB1499" s="1" t="s">
        <v>1561</v>
      </c>
    </row>
    <row r="1500" spans="1:28">
      <c r="A1500" s="233">
        <v>41345</v>
      </c>
      <c r="B1500" s="1" t="s">
        <v>4111</v>
      </c>
      <c r="C1500" s="1" t="s">
        <v>162</v>
      </c>
      <c r="D1500" s="5" t="s">
        <v>273</v>
      </c>
      <c r="E1500" s="1" t="s">
        <v>781</v>
      </c>
      <c r="F1500" s="1">
        <v>16</v>
      </c>
      <c r="G1500" s="1" t="s">
        <v>5456</v>
      </c>
      <c r="H1500" s="234">
        <v>35</v>
      </c>
      <c r="I1500" s="235">
        <f t="shared" si="128"/>
        <v>560</v>
      </c>
      <c r="K1500" s="250">
        <f>29*16</f>
        <v>464</v>
      </c>
      <c r="L1500" s="237">
        <v>41346</v>
      </c>
      <c r="M1500" s="1" t="s">
        <v>5491</v>
      </c>
      <c r="N1500" s="235">
        <f t="shared" si="124"/>
        <v>560</v>
      </c>
      <c r="O1500" s="235">
        <f t="shared" si="127"/>
        <v>0</v>
      </c>
      <c r="P1500" s="238" t="s">
        <v>5462</v>
      </c>
      <c r="Q1500" s="1" t="s">
        <v>1562</v>
      </c>
      <c r="R1500" s="239" t="s">
        <v>4113</v>
      </c>
      <c r="S1500" s="238" t="s">
        <v>4114</v>
      </c>
      <c r="T1500" s="238" t="s">
        <v>4115</v>
      </c>
      <c r="V1500" s="238" t="s">
        <v>175</v>
      </c>
      <c r="AB1500" s="1" t="s">
        <v>1561</v>
      </c>
    </row>
    <row r="1501" spans="1:28">
      <c r="A1501" s="233">
        <v>41345</v>
      </c>
      <c r="B1501" s="1" t="s">
        <v>4111</v>
      </c>
      <c r="C1501" s="1" t="s">
        <v>162</v>
      </c>
      <c r="D1501" s="5" t="s">
        <v>182</v>
      </c>
      <c r="E1501" s="1" t="s">
        <v>194</v>
      </c>
      <c r="F1501" s="1">
        <v>16</v>
      </c>
      <c r="G1501" s="1" t="s">
        <v>5459</v>
      </c>
      <c r="H1501" s="234">
        <v>5.6</v>
      </c>
      <c r="I1501" s="235">
        <f t="shared" si="128"/>
        <v>89.6</v>
      </c>
      <c r="K1501" s="250">
        <f>4.78*16</f>
        <v>76.48</v>
      </c>
      <c r="L1501" s="237">
        <v>41346</v>
      </c>
      <c r="M1501" s="1" t="s">
        <v>5491</v>
      </c>
      <c r="N1501" s="235">
        <f t="shared" si="124"/>
        <v>89.6</v>
      </c>
      <c r="O1501" s="235">
        <f t="shared" si="127"/>
        <v>0</v>
      </c>
      <c r="P1501" s="238" t="s">
        <v>5462</v>
      </c>
      <c r="Q1501" s="1" t="s">
        <v>1562</v>
      </c>
      <c r="R1501" s="239" t="s">
        <v>4113</v>
      </c>
      <c r="S1501" s="238" t="s">
        <v>4114</v>
      </c>
      <c r="T1501" s="238" t="s">
        <v>4115</v>
      </c>
      <c r="V1501" s="238" t="s">
        <v>175</v>
      </c>
      <c r="AB1501" s="1" t="s">
        <v>1561</v>
      </c>
    </row>
    <row r="1502" spans="1:28">
      <c r="A1502" s="233">
        <v>41345</v>
      </c>
      <c r="B1502" s="1" t="s">
        <v>4111</v>
      </c>
      <c r="C1502" s="1" t="s">
        <v>162</v>
      </c>
      <c r="D1502" s="5" t="s">
        <v>1869</v>
      </c>
      <c r="E1502" s="1">
        <v>501</v>
      </c>
      <c r="F1502" s="1">
        <v>16</v>
      </c>
      <c r="G1502" s="1" t="s">
        <v>5456</v>
      </c>
      <c r="H1502" s="234">
        <v>1.7250000000000001</v>
      </c>
      <c r="I1502" s="235">
        <f t="shared" si="128"/>
        <v>27.6</v>
      </c>
      <c r="K1502" s="250">
        <f>1.39</f>
        <v>1.39</v>
      </c>
      <c r="L1502" s="237">
        <v>41346</v>
      </c>
      <c r="M1502" s="1" t="s">
        <v>5491</v>
      </c>
      <c r="N1502" s="235">
        <f t="shared" si="124"/>
        <v>27.6</v>
      </c>
      <c r="O1502" s="235">
        <f t="shared" si="127"/>
        <v>0</v>
      </c>
      <c r="P1502" s="238" t="s">
        <v>5462</v>
      </c>
      <c r="Q1502" s="1" t="s">
        <v>1562</v>
      </c>
      <c r="R1502" s="239" t="s">
        <v>4113</v>
      </c>
      <c r="S1502" s="238" t="s">
        <v>4114</v>
      </c>
      <c r="T1502" s="238" t="s">
        <v>4115</v>
      </c>
      <c r="V1502" s="238" t="s">
        <v>175</v>
      </c>
      <c r="AB1502" s="1" t="s">
        <v>1561</v>
      </c>
    </row>
    <row r="1503" spans="1:28">
      <c r="A1503" s="233">
        <v>41345</v>
      </c>
      <c r="B1503" s="1" t="s">
        <v>4111</v>
      </c>
      <c r="C1503" s="1" t="s">
        <v>162</v>
      </c>
      <c r="D1503" s="5" t="s">
        <v>1894</v>
      </c>
      <c r="E1503" s="1">
        <v>1436</v>
      </c>
      <c r="F1503" s="1">
        <v>3</v>
      </c>
      <c r="G1503" s="1" t="s">
        <v>5460</v>
      </c>
      <c r="H1503" s="234">
        <v>35</v>
      </c>
      <c r="I1503" s="235">
        <f t="shared" si="128"/>
        <v>105</v>
      </c>
      <c r="K1503" s="250">
        <f>29.66*3</f>
        <v>88.98</v>
      </c>
      <c r="L1503" s="237">
        <v>41346</v>
      </c>
      <c r="M1503" s="1" t="s">
        <v>5491</v>
      </c>
      <c r="N1503" s="235">
        <f t="shared" si="124"/>
        <v>105</v>
      </c>
      <c r="O1503" s="235">
        <f t="shared" si="127"/>
        <v>0</v>
      </c>
      <c r="P1503" s="238" t="s">
        <v>5462</v>
      </c>
      <c r="Q1503" s="1" t="s">
        <v>1562</v>
      </c>
      <c r="R1503" s="239" t="s">
        <v>4113</v>
      </c>
      <c r="S1503" s="238" t="s">
        <v>4114</v>
      </c>
      <c r="T1503" s="238" t="s">
        <v>4115</v>
      </c>
      <c r="V1503" s="238" t="s">
        <v>175</v>
      </c>
      <c r="AB1503" s="1" t="s">
        <v>1561</v>
      </c>
    </row>
    <row r="1504" spans="1:28">
      <c r="A1504" s="233">
        <v>41345</v>
      </c>
      <c r="B1504" s="1" t="s">
        <v>3136</v>
      </c>
      <c r="C1504" s="5" t="s">
        <v>162</v>
      </c>
      <c r="D1504" s="5" t="s">
        <v>2013</v>
      </c>
      <c r="E1504" s="1" t="s">
        <v>1560</v>
      </c>
      <c r="F1504" s="1">
        <v>3</v>
      </c>
      <c r="G1504" s="1" t="s">
        <v>192</v>
      </c>
      <c r="H1504" s="234">
        <v>45</v>
      </c>
      <c r="I1504" s="235">
        <f t="shared" si="128"/>
        <v>135</v>
      </c>
      <c r="K1504" s="250">
        <f>33.111*3</f>
        <v>99.332999999999998</v>
      </c>
      <c r="L1504" s="237">
        <v>41345</v>
      </c>
      <c r="M1504" s="1" t="s">
        <v>698</v>
      </c>
      <c r="N1504" s="235">
        <f t="shared" si="124"/>
        <v>135</v>
      </c>
      <c r="O1504" s="235">
        <f t="shared" si="127"/>
        <v>0</v>
      </c>
      <c r="P1504" s="238" t="s">
        <v>5465</v>
      </c>
      <c r="Q1504" s="328" t="s">
        <v>3120</v>
      </c>
      <c r="R1504" s="239" t="s">
        <v>3138</v>
      </c>
      <c r="S1504" s="238" t="s">
        <v>3139</v>
      </c>
      <c r="T1504" s="238" t="s">
        <v>2685</v>
      </c>
      <c r="U1504" s="238" t="s">
        <v>5466</v>
      </c>
      <c r="V1504" s="238" t="s">
        <v>175</v>
      </c>
      <c r="AB1504" s="328" t="s">
        <v>3069</v>
      </c>
    </row>
    <row r="1505" spans="1:28">
      <c r="A1505" s="233">
        <v>41345</v>
      </c>
      <c r="B1505" s="228" t="s">
        <v>1488</v>
      </c>
      <c r="C1505" s="1" t="s">
        <v>162</v>
      </c>
      <c r="D1505" s="328" t="s">
        <v>1916</v>
      </c>
      <c r="E1505" s="1">
        <v>6800</v>
      </c>
      <c r="F1505" s="1">
        <v>12</v>
      </c>
      <c r="G1505" s="1" t="s">
        <v>5469</v>
      </c>
      <c r="H1505" s="234">
        <v>455</v>
      </c>
      <c r="I1505" s="236">
        <f>H1505*F1505</f>
        <v>5460</v>
      </c>
      <c r="K1505" s="250">
        <f>420*12</f>
        <v>5040</v>
      </c>
      <c r="L1505" s="237">
        <v>41347</v>
      </c>
      <c r="M1505" s="1" t="s">
        <v>166</v>
      </c>
      <c r="N1505" s="235">
        <f t="shared" si="124"/>
        <v>5460</v>
      </c>
      <c r="O1505" s="235">
        <f t="shared" si="127"/>
        <v>0</v>
      </c>
      <c r="P1505" s="238" t="s">
        <v>5470</v>
      </c>
      <c r="Q1505" s="328" t="s">
        <v>5471</v>
      </c>
      <c r="R1505" s="239" t="s">
        <v>4326</v>
      </c>
      <c r="S1505" s="238" t="s">
        <v>4327</v>
      </c>
      <c r="T1505" s="238" t="s">
        <v>1471</v>
      </c>
      <c r="U1505" s="238" t="s">
        <v>5475</v>
      </c>
      <c r="V1505" s="238" t="s">
        <v>5539</v>
      </c>
      <c r="W1505" s="236">
        <v>18140</v>
      </c>
      <c r="X1505" s="233">
        <v>41347</v>
      </c>
      <c r="Y1505" s="238" t="s">
        <v>5549</v>
      </c>
      <c r="AB1505" s="1" t="s">
        <v>1561</v>
      </c>
    </row>
    <row r="1506" spans="1:28">
      <c r="A1506" s="233">
        <v>41345</v>
      </c>
      <c r="B1506" s="1" t="s">
        <v>2169</v>
      </c>
      <c r="C1506" s="1" t="s">
        <v>162</v>
      </c>
      <c r="D1506" s="5" t="s">
        <v>182</v>
      </c>
      <c r="E1506" s="1" t="s">
        <v>233</v>
      </c>
      <c r="F1506" s="1">
        <v>600</v>
      </c>
      <c r="G1506" s="1" t="s">
        <v>231</v>
      </c>
      <c r="H1506" s="234">
        <v>5.64</v>
      </c>
      <c r="I1506" s="235">
        <f>F1506*H1506</f>
        <v>3384</v>
      </c>
      <c r="K1506" s="250">
        <f>4.75*600</f>
        <v>2850</v>
      </c>
      <c r="L1506" s="237">
        <v>41376</v>
      </c>
      <c r="M1506" s="1" t="s">
        <v>166</v>
      </c>
      <c r="N1506" s="235">
        <f t="shared" si="124"/>
        <v>3384</v>
      </c>
      <c r="O1506" s="235">
        <f>I1506-N1506</f>
        <v>0</v>
      </c>
      <c r="P1506" s="238" t="s">
        <v>167</v>
      </c>
      <c r="Q1506" s="1" t="s">
        <v>4254</v>
      </c>
      <c r="R1506" s="239" t="s">
        <v>2379</v>
      </c>
      <c r="S1506" s="238" t="s">
        <v>2380</v>
      </c>
      <c r="T1506" s="238" t="s">
        <v>6837</v>
      </c>
      <c r="U1506" s="238" t="s">
        <v>5476</v>
      </c>
      <c r="V1506" s="238" t="s">
        <v>5697</v>
      </c>
      <c r="W1506" s="236">
        <v>113433.12</v>
      </c>
      <c r="X1506" s="233">
        <v>41354</v>
      </c>
      <c r="Y1506" s="238" t="s">
        <v>5698</v>
      </c>
      <c r="AB1506" s="1" t="s">
        <v>1561</v>
      </c>
    </row>
    <row r="1507" spans="1:28">
      <c r="A1507" s="233">
        <v>41345</v>
      </c>
      <c r="B1507" s="1" t="s">
        <v>2692</v>
      </c>
      <c r="C1507" s="5" t="s">
        <v>162</v>
      </c>
      <c r="D1507" s="1" t="s">
        <v>240</v>
      </c>
      <c r="E1507" s="1">
        <v>6200</v>
      </c>
      <c r="F1507" s="1">
        <v>24</v>
      </c>
      <c r="G1507" s="1" t="s">
        <v>5456</v>
      </c>
      <c r="H1507" s="234">
        <v>46.06</v>
      </c>
      <c r="I1507" s="235">
        <f t="shared" ref="I1507:I1512" si="129">F1507*H1507</f>
        <v>1105.44</v>
      </c>
      <c r="K1507" s="250">
        <f>44.5*24</f>
        <v>1068</v>
      </c>
      <c r="L1507" s="237">
        <v>41346</v>
      </c>
      <c r="M1507" s="1" t="s">
        <v>166</v>
      </c>
      <c r="N1507" s="235">
        <f t="shared" si="124"/>
        <v>1105.44</v>
      </c>
      <c r="O1507" s="235">
        <f t="shared" ref="O1507:O1513" si="130">I1507-N1507</f>
        <v>0</v>
      </c>
      <c r="P1507" s="238" t="s">
        <v>5472</v>
      </c>
      <c r="Q1507" s="1" t="s">
        <v>5473</v>
      </c>
      <c r="R1507" s="239" t="s">
        <v>2688</v>
      </c>
      <c r="S1507" s="238" t="s">
        <v>2689</v>
      </c>
      <c r="T1507" s="238" t="s">
        <v>2557</v>
      </c>
      <c r="U1507" s="238" t="s">
        <v>5474</v>
      </c>
      <c r="V1507" s="238" t="s">
        <v>6323</v>
      </c>
      <c r="W1507" s="236">
        <v>3174</v>
      </c>
      <c r="X1507" s="233">
        <v>41381</v>
      </c>
      <c r="Y1507" s="238" t="s">
        <v>6324</v>
      </c>
      <c r="AB1507" s="1" t="s">
        <v>1561</v>
      </c>
    </row>
    <row r="1508" spans="1:28">
      <c r="A1508" s="233">
        <v>41345</v>
      </c>
      <c r="B1508" s="1" t="s">
        <v>2692</v>
      </c>
      <c r="C1508" s="5" t="s">
        <v>162</v>
      </c>
      <c r="D1508" s="5" t="s">
        <v>1882</v>
      </c>
      <c r="E1508" s="1" t="s">
        <v>5457</v>
      </c>
      <c r="F1508" s="1">
        <v>48</v>
      </c>
      <c r="G1508" s="1" t="s">
        <v>5456</v>
      </c>
      <c r="H1508" s="234">
        <v>19.86</v>
      </c>
      <c r="I1508" s="235">
        <f t="shared" si="129"/>
        <v>953.28</v>
      </c>
      <c r="K1508" s="250">
        <f>17.25*48</f>
        <v>828</v>
      </c>
      <c r="L1508" s="237">
        <v>41346</v>
      </c>
      <c r="M1508" s="1" t="s">
        <v>166</v>
      </c>
      <c r="N1508" s="235">
        <f t="shared" si="124"/>
        <v>953.28</v>
      </c>
      <c r="O1508" s="235">
        <f t="shared" si="130"/>
        <v>0</v>
      </c>
      <c r="P1508" s="238" t="s">
        <v>5472</v>
      </c>
      <c r="Q1508" s="1" t="s">
        <v>5473</v>
      </c>
      <c r="R1508" s="239" t="s">
        <v>2688</v>
      </c>
      <c r="S1508" s="238" t="s">
        <v>2689</v>
      </c>
      <c r="T1508" s="238" t="s">
        <v>2557</v>
      </c>
      <c r="U1508" s="238" t="s">
        <v>5474</v>
      </c>
      <c r="V1508" s="238" t="s">
        <v>6323</v>
      </c>
      <c r="W1508" s="236">
        <v>3174</v>
      </c>
      <c r="X1508" s="233">
        <v>41381</v>
      </c>
      <c r="Y1508" s="238" t="s">
        <v>6324</v>
      </c>
      <c r="AB1508" s="1" t="s">
        <v>1561</v>
      </c>
    </row>
    <row r="1509" spans="1:28">
      <c r="A1509" s="233">
        <v>41345</v>
      </c>
      <c r="B1509" s="1" t="s">
        <v>2692</v>
      </c>
      <c r="C1509" s="5" t="s">
        <v>162</v>
      </c>
      <c r="D1509" s="5" t="s">
        <v>182</v>
      </c>
      <c r="E1509" s="1" t="s">
        <v>5458</v>
      </c>
      <c r="F1509" s="1">
        <v>48</v>
      </c>
      <c r="G1509" s="1" t="s">
        <v>5459</v>
      </c>
      <c r="H1509" s="234">
        <v>5.64</v>
      </c>
      <c r="I1509" s="235">
        <f t="shared" si="129"/>
        <v>270.71999999999997</v>
      </c>
      <c r="K1509" s="250">
        <f>4.75*48</f>
        <v>228</v>
      </c>
      <c r="L1509" s="237">
        <v>41346</v>
      </c>
      <c r="M1509" s="1" t="s">
        <v>166</v>
      </c>
      <c r="N1509" s="235">
        <f t="shared" si="124"/>
        <v>270.71999999999997</v>
      </c>
      <c r="O1509" s="235">
        <f t="shared" si="130"/>
        <v>0</v>
      </c>
      <c r="P1509" s="238" t="s">
        <v>5472</v>
      </c>
      <c r="Q1509" s="1" t="s">
        <v>5473</v>
      </c>
      <c r="R1509" s="239" t="s">
        <v>2688</v>
      </c>
      <c r="S1509" s="238" t="s">
        <v>2689</v>
      </c>
      <c r="T1509" s="238" t="s">
        <v>2557</v>
      </c>
      <c r="U1509" s="238" t="s">
        <v>5474</v>
      </c>
      <c r="V1509" s="238" t="s">
        <v>6323</v>
      </c>
      <c r="W1509" s="236">
        <v>3174</v>
      </c>
      <c r="X1509" s="233">
        <v>41381</v>
      </c>
      <c r="Y1509" s="238" t="s">
        <v>6324</v>
      </c>
      <c r="AB1509" s="1" t="s">
        <v>1561</v>
      </c>
    </row>
    <row r="1510" spans="1:28">
      <c r="A1510" s="233">
        <v>41345</v>
      </c>
      <c r="B1510" s="1" t="s">
        <v>2692</v>
      </c>
      <c r="C1510" s="5" t="s">
        <v>162</v>
      </c>
      <c r="D1510" s="5" t="s">
        <v>1869</v>
      </c>
      <c r="E1510" s="1">
        <v>501</v>
      </c>
      <c r="F1510" s="1">
        <v>48</v>
      </c>
      <c r="G1510" s="1" t="s">
        <v>5456</v>
      </c>
      <c r="H1510" s="234">
        <v>1.47</v>
      </c>
      <c r="I1510" s="235">
        <f t="shared" si="129"/>
        <v>70.56</v>
      </c>
      <c r="K1510" s="250">
        <f>1.4*48</f>
        <v>67.199999999999989</v>
      </c>
      <c r="L1510" s="237">
        <v>41346</v>
      </c>
      <c r="M1510" s="1" t="s">
        <v>166</v>
      </c>
      <c r="N1510" s="235">
        <f t="shared" si="124"/>
        <v>70.56</v>
      </c>
      <c r="O1510" s="235">
        <f t="shared" si="130"/>
        <v>0</v>
      </c>
      <c r="P1510" s="238" t="s">
        <v>5472</v>
      </c>
      <c r="Q1510" s="1" t="s">
        <v>5473</v>
      </c>
      <c r="R1510" s="239" t="s">
        <v>2688</v>
      </c>
      <c r="S1510" s="238" t="s">
        <v>2689</v>
      </c>
      <c r="T1510" s="238" t="s">
        <v>2557</v>
      </c>
      <c r="U1510" s="238" t="s">
        <v>5474</v>
      </c>
      <c r="V1510" s="238" t="s">
        <v>6323</v>
      </c>
      <c r="W1510" s="236">
        <v>3174</v>
      </c>
      <c r="X1510" s="233">
        <v>41381</v>
      </c>
      <c r="Y1510" s="238" t="s">
        <v>6324</v>
      </c>
      <c r="AB1510" s="1" t="s">
        <v>1561</v>
      </c>
    </row>
    <row r="1511" spans="1:28">
      <c r="A1511" s="233">
        <v>41345</v>
      </c>
      <c r="B1511" s="1" t="s">
        <v>2362</v>
      </c>
      <c r="C1511" s="5" t="s">
        <v>162</v>
      </c>
      <c r="D1511" s="1" t="s">
        <v>2010</v>
      </c>
      <c r="E1511" s="327">
        <v>10434</v>
      </c>
      <c r="F1511" s="1">
        <v>100</v>
      </c>
      <c r="G1511" s="1" t="s">
        <v>5460</v>
      </c>
      <c r="H1511" s="234">
        <v>15.6</v>
      </c>
      <c r="I1511" s="235">
        <f t="shared" si="129"/>
        <v>1560</v>
      </c>
      <c r="K1511" s="250">
        <f>14.2*100</f>
        <v>1420</v>
      </c>
      <c r="L1511" s="237">
        <v>41345</v>
      </c>
      <c r="M1511" s="1" t="s">
        <v>5463</v>
      </c>
      <c r="N1511" s="235">
        <f t="shared" si="124"/>
        <v>1560</v>
      </c>
      <c r="O1511" s="235">
        <f t="shared" si="130"/>
        <v>0</v>
      </c>
      <c r="P1511" s="238" t="s">
        <v>5467</v>
      </c>
      <c r="Q1511" s="1" t="s">
        <v>5499</v>
      </c>
      <c r="R1511" s="239" t="s">
        <v>2364</v>
      </c>
      <c r="S1511" s="238" t="s">
        <v>3938</v>
      </c>
      <c r="T1511" s="238" t="s">
        <v>2273</v>
      </c>
      <c r="U1511" s="238" t="s">
        <v>5468</v>
      </c>
      <c r="V1511" s="238" t="s">
        <v>5533</v>
      </c>
      <c r="W1511" s="236">
        <v>2435</v>
      </c>
      <c r="X1511" s="233">
        <v>41347</v>
      </c>
      <c r="Y1511" s="238" t="s">
        <v>5534</v>
      </c>
      <c r="AB1511" s="1" t="s">
        <v>1561</v>
      </c>
    </row>
    <row r="1512" spans="1:28">
      <c r="A1512" s="233">
        <v>41345</v>
      </c>
      <c r="B1512" s="1" t="s">
        <v>5412</v>
      </c>
      <c r="C1512" s="1" t="s">
        <v>162</v>
      </c>
      <c r="D1512" s="5" t="s">
        <v>1882</v>
      </c>
      <c r="E1512" s="5" t="s">
        <v>145</v>
      </c>
      <c r="F1512" s="1">
        <v>220</v>
      </c>
      <c r="G1512" s="1" t="s">
        <v>5456</v>
      </c>
      <c r="H1512" s="234">
        <v>18.350000000000001</v>
      </c>
      <c r="I1512" s="235">
        <f t="shared" si="129"/>
        <v>4037.0000000000005</v>
      </c>
      <c r="K1512" s="250">
        <f>17.25*220</f>
        <v>3795</v>
      </c>
      <c r="L1512" s="237">
        <v>41352</v>
      </c>
      <c r="M1512" s="1" t="s">
        <v>166</v>
      </c>
      <c r="N1512" s="235">
        <f t="shared" si="124"/>
        <v>4037.0000000000005</v>
      </c>
      <c r="O1512" s="235">
        <f t="shared" si="130"/>
        <v>0</v>
      </c>
      <c r="P1512" s="238" t="s">
        <v>5477</v>
      </c>
      <c r="Q1512" s="1" t="s">
        <v>4254</v>
      </c>
      <c r="R1512" s="239" t="s">
        <v>5415</v>
      </c>
      <c r="S1512" s="238" t="s">
        <v>5414</v>
      </c>
      <c r="T1512" s="238" t="s">
        <v>5413</v>
      </c>
      <c r="U1512" s="238" t="s">
        <v>5478</v>
      </c>
      <c r="V1512" s="238" t="s">
        <v>6325</v>
      </c>
      <c r="W1512" s="236">
        <v>5505</v>
      </c>
      <c r="X1512" s="233">
        <v>41381</v>
      </c>
      <c r="Y1512" s="238" t="s">
        <v>6326</v>
      </c>
      <c r="AB1512" s="1" t="s">
        <v>1561</v>
      </c>
    </row>
    <row r="1513" spans="1:28">
      <c r="A1513" s="233">
        <v>41346</v>
      </c>
      <c r="B1513" s="228" t="s">
        <v>1488</v>
      </c>
      <c r="C1513" s="1" t="s">
        <v>162</v>
      </c>
      <c r="D1513" s="328" t="s">
        <v>1916</v>
      </c>
      <c r="E1513" s="1">
        <v>6800</v>
      </c>
      <c r="F1513" s="1">
        <v>26</v>
      </c>
      <c r="G1513" s="1" t="s">
        <v>5469</v>
      </c>
      <c r="H1513" s="234">
        <v>455</v>
      </c>
      <c r="I1513" s="236">
        <f>H1513*F1513</f>
        <v>11830</v>
      </c>
      <c r="K1513" s="250">
        <f>430*26</f>
        <v>11180</v>
      </c>
      <c r="L1513" s="237">
        <v>41347</v>
      </c>
      <c r="M1513" s="1" t="s">
        <v>166</v>
      </c>
      <c r="N1513" s="235">
        <f t="shared" si="124"/>
        <v>11830</v>
      </c>
      <c r="O1513" s="235">
        <f t="shared" si="130"/>
        <v>0</v>
      </c>
      <c r="P1513" s="238" t="s">
        <v>5489</v>
      </c>
      <c r="Q1513" s="329" t="s">
        <v>5499</v>
      </c>
      <c r="R1513" s="239" t="s">
        <v>4326</v>
      </c>
      <c r="S1513" s="238" t="s">
        <v>4327</v>
      </c>
      <c r="T1513" s="238" t="s">
        <v>1471</v>
      </c>
      <c r="U1513" s="238" t="s">
        <v>5500</v>
      </c>
      <c r="V1513" s="238" t="s">
        <v>5539</v>
      </c>
      <c r="W1513" s="236">
        <v>18140</v>
      </c>
      <c r="X1513" s="233">
        <v>41347</v>
      </c>
      <c r="Y1513" s="238" t="s">
        <v>5549</v>
      </c>
      <c r="AB1513" s="1" t="s">
        <v>1561</v>
      </c>
    </row>
    <row r="1514" spans="1:28" ht="11.25" customHeight="1">
      <c r="A1514" s="233">
        <v>41346</v>
      </c>
      <c r="B1514" s="1" t="s">
        <v>699</v>
      </c>
      <c r="C1514" s="1" t="s">
        <v>162</v>
      </c>
      <c r="D1514" s="5" t="s">
        <v>1901</v>
      </c>
      <c r="E1514" s="1">
        <v>52000183617</v>
      </c>
      <c r="F1514" s="1">
        <v>1</v>
      </c>
      <c r="G1514" s="1" t="s">
        <v>3811</v>
      </c>
      <c r="H1514" s="234">
        <v>966</v>
      </c>
      <c r="I1514" s="235">
        <f>F1514*H1514</f>
        <v>966</v>
      </c>
      <c r="K1514" s="241">
        <f>862.5*1</f>
        <v>862.5</v>
      </c>
      <c r="L1514" s="237">
        <v>41385</v>
      </c>
      <c r="M1514" s="1" t="s">
        <v>166</v>
      </c>
      <c r="N1514" s="235">
        <f t="shared" si="124"/>
        <v>966</v>
      </c>
      <c r="O1514" s="235">
        <f>I1514-N1514</f>
        <v>0</v>
      </c>
      <c r="P1514" s="238" t="s">
        <v>167</v>
      </c>
      <c r="Q1514" s="1" t="s">
        <v>726</v>
      </c>
      <c r="R1514" s="239" t="s">
        <v>4636</v>
      </c>
      <c r="S1514" s="238" t="s">
        <v>1691</v>
      </c>
      <c r="T1514" s="238" t="s">
        <v>1690</v>
      </c>
      <c r="U1514" s="238" t="s">
        <v>5514</v>
      </c>
      <c r="V1514" s="238" t="s">
        <v>5537</v>
      </c>
      <c r="W1514" s="236">
        <v>2806.8</v>
      </c>
      <c r="X1514" s="233">
        <v>41347</v>
      </c>
      <c r="Y1514" s="238" t="s">
        <v>5538</v>
      </c>
      <c r="AB1514" s="329" t="s">
        <v>4523</v>
      </c>
    </row>
    <row r="1515" spans="1:28" ht="11.25" customHeight="1">
      <c r="A1515" s="233">
        <v>41346</v>
      </c>
      <c r="B1515" s="1" t="s">
        <v>699</v>
      </c>
      <c r="C1515" s="1" t="s">
        <v>162</v>
      </c>
      <c r="D1515" s="5" t="s">
        <v>840</v>
      </c>
      <c r="E1515" s="1">
        <v>10197</v>
      </c>
      <c r="F1515" s="1">
        <v>1</v>
      </c>
      <c r="G1515" s="1" t="s">
        <v>5517</v>
      </c>
      <c r="H1515" s="234">
        <v>41</v>
      </c>
      <c r="I1515" s="235">
        <f>F1515*H1515</f>
        <v>41</v>
      </c>
      <c r="K1515" s="241">
        <f>39.078*1</f>
        <v>39.078000000000003</v>
      </c>
      <c r="L1515" s="237">
        <v>41346</v>
      </c>
      <c r="M1515" s="5" t="s">
        <v>5518</v>
      </c>
      <c r="N1515" s="235">
        <f t="shared" si="124"/>
        <v>41</v>
      </c>
      <c r="O1515" s="235">
        <f>I1515-N1515</f>
        <v>0</v>
      </c>
      <c r="P1515" s="238" t="s">
        <v>5492</v>
      </c>
      <c r="Q1515" s="1" t="s">
        <v>5492</v>
      </c>
      <c r="R1515" s="1" t="s">
        <v>5492</v>
      </c>
      <c r="S1515" s="1" t="s">
        <v>5492</v>
      </c>
      <c r="T1515" s="1" t="s">
        <v>5492</v>
      </c>
      <c r="U1515" s="1" t="s">
        <v>5492</v>
      </c>
      <c r="V1515" s="238" t="s">
        <v>175</v>
      </c>
      <c r="AB1515" s="329" t="s">
        <v>4523</v>
      </c>
    </row>
    <row r="1516" spans="1:28">
      <c r="A1516" s="233">
        <v>41346</v>
      </c>
      <c r="B1516" s="1" t="s">
        <v>2105</v>
      </c>
      <c r="C1516" s="1" t="s">
        <v>162</v>
      </c>
      <c r="D1516" s="329" t="s">
        <v>5278</v>
      </c>
      <c r="E1516" s="1" t="s">
        <v>5485</v>
      </c>
      <c r="F1516" s="1">
        <v>100</v>
      </c>
      <c r="G1516" s="1" t="s">
        <v>5469</v>
      </c>
      <c r="H1516" s="234">
        <v>1.92</v>
      </c>
      <c r="I1516" s="235">
        <f t="shared" ref="I1516:I1525" si="131">F1516*H1516</f>
        <v>192</v>
      </c>
      <c r="K1516" s="250">
        <f>1.75*100</f>
        <v>175</v>
      </c>
      <c r="L1516" s="237">
        <v>41375</v>
      </c>
      <c r="M1516" s="1" t="s">
        <v>165</v>
      </c>
      <c r="N1516" s="235">
        <f t="shared" si="124"/>
        <v>192</v>
      </c>
      <c r="O1516" s="235">
        <f>I1516-N1516</f>
        <v>0</v>
      </c>
      <c r="P1516" s="238" t="s">
        <v>5496</v>
      </c>
      <c r="Q1516" s="1" t="s">
        <v>5497</v>
      </c>
      <c r="R1516" s="239" t="s">
        <v>2470</v>
      </c>
      <c r="S1516" s="238" t="s">
        <v>2103</v>
      </c>
      <c r="T1516" s="238" t="s">
        <v>773</v>
      </c>
      <c r="U1516" s="238" t="s">
        <v>5498</v>
      </c>
      <c r="V1516" s="238" t="s">
        <v>175</v>
      </c>
      <c r="AB1516" s="1" t="s">
        <v>1561</v>
      </c>
    </row>
    <row r="1517" spans="1:28">
      <c r="A1517" s="233">
        <v>41346</v>
      </c>
      <c r="B1517" s="1" t="s">
        <v>2105</v>
      </c>
      <c r="C1517" s="1" t="s">
        <v>162</v>
      </c>
      <c r="D1517" s="1" t="s">
        <v>2010</v>
      </c>
      <c r="E1517" s="1">
        <v>10434</v>
      </c>
      <c r="F1517" s="1">
        <v>100</v>
      </c>
      <c r="G1517" s="1" t="s">
        <v>5486</v>
      </c>
      <c r="H1517" s="234">
        <v>16.559999999999999</v>
      </c>
      <c r="I1517" s="235">
        <f t="shared" si="131"/>
        <v>1655.9999999999998</v>
      </c>
      <c r="K1517" s="250">
        <f>14.8*100</f>
        <v>1480</v>
      </c>
      <c r="L1517" s="237">
        <v>41375</v>
      </c>
      <c r="M1517" s="1" t="s">
        <v>165</v>
      </c>
      <c r="N1517" s="235">
        <f t="shared" si="124"/>
        <v>1655.9999999999998</v>
      </c>
      <c r="O1517" s="235">
        <f>I1517-N1517</f>
        <v>0</v>
      </c>
      <c r="P1517" s="238" t="s">
        <v>5496</v>
      </c>
      <c r="Q1517" s="1" t="s">
        <v>5497</v>
      </c>
      <c r="R1517" s="239" t="s">
        <v>2470</v>
      </c>
      <c r="S1517" s="238" t="s">
        <v>2103</v>
      </c>
      <c r="T1517" s="238" t="s">
        <v>773</v>
      </c>
      <c r="U1517" s="238" t="s">
        <v>5498</v>
      </c>
      <c r="V1517" s="238" t="s">
        <v>175</v>
      </c>
      <c r="AB1517" s="1" t="s">
        <v>1561</v>
      </c>
    </row>
    <row r="1518" spans="1:28">
      <c r="A1518" s="233">
        <v>41346</v>
      </c>
      <c r="B1518" s="1" t="s">
        <v>2105</v>
      </c>
      <c r="C1518" s="1" t="s">
        <v>162</v>
      </c>
      <c r="D1518" s="391" t="s">
        <v>5047</v>
      </c>
      <c r="E1518" s="1">
        <v>8210</v>
      </c>
      <c r="F1518" s="1">
        <v>1000</v>
      </c>
      <c r="G1518" s="1" t="s">
        <v>5469</v>
      </c>
      <c r="H1518" s="234">
        <v>4.6500000000000004</v>
      </c>
      <c r="I1518" s="235">
        <f t="shared" si="131"/>
        <v>4650</v>
      </c>
      <c r="K1518" s="250">
        <f>3.78*1000</f>
        <v>3780</v>
      </c>
      <c r="L1518" s="237">
        <v>41391</v>
      </c>
      <c r="M1518" s="1" t="s">
        <v>165</v>
      </c>
      <c r="N1518" s="235">
        <f t="shared" si="124"/>
        <v>4650</v>
      </c>
      <c r="O1518" s="235">
        <f>I1518-N1518</f>
        <v>0</v>
      </c>
      <c r="P1518" s="238" t="s">
        <v>5496</v>
      </c>
      <c r="Q1518" s="1" t="s">
        <v>5497</v>
      </c>
      <c r="R1518" s="239" t="s">
        <v>2470</v>
      </c>
      <c r="S1518" s="238" t="s">
        <v>2103</v>
      </c>
      <c r="T1518" s="238" t="s">
        <v>773</v>
      </c>
      <c r="U1518" s="238" t="s">
        <v>5498</v>
      </c>
      <c r="V1518" s="238" t="s">
        <v>175</v>
      </c>
      <c r="AB1518" s="1" t="s">
        <v>1561</v>
      </c>
    </row>
    <row r="1519" spans="1:28">
      <c r="A1519" s="233">
        <v>41346</v>
      </c>
      <c r="B1519" s="1" t="s">
        <v>4338</v>
      </c>
      <c r="C1519" s="1" t="s">
        <v>162</v>
      </c>
      <c r="D1519" s="328" t="s">
        <v>702</v>
      </c>
      <c r="E1519" s="1" t="s">
        <v>5487</v>
      </c>
      <c r="F1519" s="1">
        <v>3172</v>
      </c>
      <c r="G1519" s="1" t="s">
        <v>5469</v>
      </c>
      <c r="H1519" s="234">
        <v>2.6</v>
      </c>
      <c r="I1519" s="235">
        <f t="shared" si="131"/>
        <v>8247.2000000000007</v>
      </c>
      <c r="K1519" s="250">
        <f>2.36*3172</f>
        <v>7485.9199999999992</v>
      </c>
      <c r="L1519" s="237">
        <v>41347</v>
      </c>
      <c r="M1519" s="1" t="s">
        <v>165</v>
      </c>
      <c r="N1519" s="235">
        <f t="shared" si="124"/>
        <v>8247.2000000000007</v>
      </c>
      <c r="O1519" s="235">
        <f t="shared" ref="O1519:O1525" si="132">I1519-N1519</f>
        <v>0</v>
      </c>
      <c r="P1519" s="238" t="s">
        <v>5523</v>
      </c>
      <c r="Q1519" s="1" t="s">
        <v>5381</v>
      </c>
      <c r="R1519" s="239" t="s">
        <v>4341</v>
      </c>
      <c r="S1519" s="238" t="s">
        <v>4342</v>
      </c>
      <c r="T1519" s="238" t="s">
        <v>2237</v>
      </c>
      <c r="U1519" s="238" t="s">
        <v>5495</v>
      </c>
      <c r="V1519" s="238" t="s">
        <v>5540</v>
      </c>
      <c r="W1519" s="236">
        <v>9279.93</v>
      </c>
      <c r="X1519" s="233">
        <v>41347</v>
      </c>
      <c r="Y1519" s="238" t="s">
        <v>5551</v>
      </c>
      <c r="AB1519" s="1" t="s">
        <v>1561</v>
      </c>
    </row>
    <row r="1520" spans="1:28">
      <c r="A1520" s="233">
        <v>41346</v>
      </c>
      <c r="B1520" s="1" t="s">
        <v>2174</v>
      </c>
      <c r="C1520" s="1" t="s">
        <v>162</v>
      </c>
      <c r="D1520" s="1" t="s">
        <v>5521</v>
      </c>
      <c r="E1520" s="1">
        <v>9031</v>
      </c>
      <c r="F1520" s="1">
        <v>20</v>
      </c>
      <c r="G1520" s="1" t="s">
        <v>170</v>
      </c>
      <c r="H1520" s="234">
        <v>1.63</v>
      </c>
      <c r="I1520" s="235">
        <f t="shared" si="131"/>
        <v>32.599999999999994</v>
      </c>
      <c r="K1520" s="250">
        <f>1.4929*20</f>
        <v>29.857999999999997</v>
      </c>
      <c r="L1520" s="237">
        <v>41346</v>
      </c>
      <c r="M1520" s="1" t="s">
        <v>5491</v>
      </c>
      <c r="N1520" s="235">
        <f t="shared" si="124"/>
        <v>32.599999999999994</v>
      </c>
      <c r="O1520" s="235">
        <f t="shared" si="132"/>
        <v>0</v>
      </c>
      <c r="P1520" s="238" t="s">
        <v>5522</v>
      </c>
      <c r="Q1520" s="1" t="s">
        <v>2505</v>
      </c>
      <c r="R1520" s="239" t="s">
        <v>2176</v>
      </c>
      <c r="S1520" s="238" t="s">
        <v>2177</v>
      </c>
      <c r="T1520" s="238" t="s">
        <v>3533</v>
      </c>
      <c r="U1520" s="238" t="s">
        <v>167</v>
      </c>
      <c r="V1520" s="246" t="s">
        <v>175</v>
      </c>
      <c r="W1520" s="236" t="s">
        <v>167</v>
      </c>
      <c r="X1520" s="233" t="s">
        <v>167</v>
      </c>
      <c r="Y1520" s="238" t="s">
        <v>167</v>
      </c>
      <c r="AB1520" s="5" t="s">
        <v>1561</v>
      </c>
    </row>
    <row r="1521" spans="1:28">
      <c r="A1521" s="233">
        <v>41346</v>
      </c>
      <c r="B1521" s="1" t="s">
        <v>2174</v>
      </c>
      <c r="C1521" s="1" t="s">
        <v>162</v>
      </c>
      <c r="D1521" s="1" t="s">
        <v>5520</v>
      </c>
      <c r="E1521" s="1">
        <v>1110</v>
      </c>
      <c r="F1521" s="1">
        <v>20</v>
      </c>
      <c r="G1521" s="1" t="s">
        <v>5517</v>
      </c>
      <c r="H1521" s="234">
        <v>0.82</v>
      </c>
      <c r="I1521" s="235">
        <f t="shared" si="131"/>
        <v>16.399999999999999</v>
      </c>
      <c r="K1521" s="250">
        <f>0.77*20</f>
        <v>15.4</v>
      </c>
      <c r="L1521" s="237">
        <v>41346</v>
      </c>
      <c r="M1521" s="1" t="s">
        <v>5491</v>
      </c>
      <c r="N1521" s="235">
        <f t="shared" si="124"/>
        <v>16.399999999999999</v>
      </c>
      <c r="O1521" s="235">
        <f t="shared" si="132"/>
        <v>0</v>
      </c>
      <c r="P1521" s="238" t="s">
        <v>5522</v>
      </c>
      <c r="Q1521" s="1" t="s">
        <v>2505</v>
      </c>
      <c r="R1521" s="239" t="s">
        <v>2176</v>
      </c>
      <c r="S1521" s="238" t="s">
        <v>2177</v>
      </c>
      <c r="T1521" s="238" t="s">
        <v>3533</v>
      </c>
      <c r="U1521" s="238" t="s">
        <v>167</v>
      </c>
      <c r="V1521" s="246" t="s">
        <v>175</v>
      </c>
      <c r="W1521" s="236" t="s">
        <v>167</v>
      </c>
      <c r="X1521" s="233" t="s">
        <v>167</v>
      </c>
      <c r="Y1521" s="238" t="s">
        <v>167</v>
      </c>
      <c r="AB1521" s="5" t="s">
        <v>1561</v>
      </c>
    </row>
    <row r="1522" spans="1:28">
      <c r="A1522" s="233">
        <v>41346</v>
      </c>
      <c r="B1522" s="1" t="s">
        <v>2692</v>
      </c>
      <c r="C1522" s="5" t="s">
        <v>162</v>
      </c>
      <c r="D1522" s="328" t="s">
        <v>670</v>
      </c>
      <c r="E1522" s="1" t="s">
        <v>5481</v>
      </c>
      <c r="F1522" s="1">
        <v>180</v>
      </c>
      <c r="G1522" s="1" t="s">
        <v>170</v>
      </c>
      <c r="H1522" s="234">
        <v>4.3</v>
      </c>
      <c r="I1522" s="235">
        <f t="shared" si="131"/>
        <v>774</v>
      </c>
      <c r="K1522" s="250">
        <f>3.59*180</f>
        <v>646.19999999999993</v>
      </c>
      <c r="L1522" s="237">
        <v>41346</v>
      </c>
      <c r="M1522" s="1" t="s">
        <v>166</v>
      </c>
      <c r="N1522" s="235">
        <f t="shared" si="124"/>
        <v>774</v>
      </c>
      <c r="O1522" s="235">
        <f t="shared" si="132"/>
        <v>0</v>
      </c>
      <c r="P1522" s="238" t="s">
        <v>5492</v>
      </c>
      <c r="Q1522" s="1" t="s">
        <v>5494</v>
      </c>
      <c r="R1522" s="239" t="s">
        <v>2694</v>
      </c>
      <c r="S1522" s="238" t="s">
        <v>2695</v>
      </c>
      <c r="T1522" s="238" t="s">
        <v>2696</v>
      </c>
      <c r="U1522" s="238" t="s">
        <v>5493</v>
      </c>
      <c r="V1522" s="238" t="s">
        <v>6323</v>
      </c>
      <c r="W1522" s="236">
        <v>3174</v>
      </c>
      <c r="X1522" s="233">
        <v>41381</v>
      </c>
      <c r="Y1522" s="238" t="s">
        <v>6324</v>
      </c>
      <c r="AB1522" s="1" t="s">
        <v>1561</v>
      </c>
    </row>
    <row r="1523" spans="1:28">
      <c r="A1523" s="233">
        <v>41346</v>
      </c>
      <c r="B1523" s="1" t="s">
        <v>4058</v>
      </c>
      <c r="C1523" s="5" t="s">
        <v>162</v>
      </c>
      <c r="D1523" s="1" t="s">
        <v>2010</v>
      </c>
      <c r="E1523" s="1">
        <v>10434</v>
      </c>
      <c r="F1523" s="1">
        <v>65</v>
      </c>
      <c r="G1523" s="1" t="s">
        <v>172</v>
      </c>
      <c r="H1523" s="234">
        <v>23</v>
      </c>
      <c r="I1523" s="235">
        <f t="shared" si="131"/>
        <v>1495</v>
      </c>
      <c r="K1523" s="250">
        <f>14.8*60+14.2*5</f>
        <v>959</v>
      </c>
      <c r="N1523" s="235">
        <v>0</v>
      </c>
      <c r="O1523" s="235">
        <f t="shared" si="132"/>
        <v>1495</v>
      </c>
      <c r="P1523" s="238" t="s">
        <v>5490</v>
      </c>
      <c r="Q1523" s="1" t="s">
        <v>5212</v>
      </c>
      <c r="R1523" s="239" t="s">
        <v>5479</v>
      </c>
      <c r="S1523" s="238" t="s">
        <v>5480</v>
      </c>
      <c r="T1523" s="238" t="s">
        <v>3924</v>
      </c>
      <c r="U1523" s="238" t="s">
        <v>5525</v>
      </c>
      <c r="V1523" s="238" t="s">
        <v>5508</v>
      </c>
      <c r="W1523" s="236">
        <v>4580</v>
      </c>
      <c r="X1523" s="233">
        <v>41346</v>
      </c>
      <c r="Y1523" s="238" t="s">
        <v>5525</v>
      </c>
      <c r="AB1523" s="1" t="s">
        <v>2064</v>
      </c>
    </row>
    <row r="1524" spans="1:28">
      <c r="A1524" s="233">
        <v>41346</v>
      </c>
      <c r="B1524" s="1" t="s">
        <v>4058</v>
      </c>
      <c r="C1524" s="5" t="s">
        <v>162</v>
      </c>
      <c r="D1524" s="5" t="s">
        <v>51</v>
      </c>
      <c r="E1524" s="1">
        <v>9032</v>
      </c>
      <c r="F1524" s="1">
        <v>500</v>
      </c>
      <c r="G1524" s="1" t="s">
        <v>170</v>
      </c>
      <c r="H1524" s="234">
        <v>2.7</v>
      </c>
      <c r="I1524" s="235">
        <f t="shared" si="131"/>
        <v>1350</v>
      </c>
      <c r="K1524" s="250">
        <f>1.4929*F1524</f>
        <v>746.44999999999993</v>
      </c>
      <c r="N1524" s="235">
        <v>0</v>
      </c>
      <c r="O1524" s="235">
        <f t="shared" si="132"/>
        <v>1350</v>
      </c>
      <c r="P1524" s="238" t="s">
        <v>5490</v>
      </c>
      <c r="Q1524" s="1" t="s">
        <v>5212</v>
      </c>
      <c r="R1524" s="239" t="s">
        <v>5479</v>
      </c>
      <c r="S1524" s="238" t="s">
        <v>5480</v>
      </c>
      <c r="T1524" s="238" t="s">
        <v>3924</v>
      </c>
      <c r="U1524" s="238" t="s">
        <v>5525</v>
      </c>
      <c r="V1524" s="238" t="s">
        <v>5508</v>
      </c>
      <c r="W1524" s="236">
        <v>4580</v>
      </c>
      <c r="X1524" s="233">
        <v>41346</v>
      </c>
      <c r="Y1524" s="238" t="s">
        <v>5525</v>
      </c>
      <c r="AB1524" s="1" t="s">
        <v>2064</v>
      </c>
    </row>
    <row r="1525" spans="1:28">
      <c r="A1525" s="233">
        <v>41346</v>
      </c>
      <c r="B1525" s="1" t="s">
        <v>4058</v>
      </c>
      <c r="C1525" s="5" t="s">
        <v>162</v>
      </c>
      <c r="D1525" s="5" t="s">
        <v>1902</v>
      </c>
      <c r="E1525" s="1">
        <v>1270</v>
      </c>
      <c r="F1525" s="1">
        <v>40</v>
      </c>
      <c r="G1525" s="1" t="s">
        <v>172</v>
      </c>
      <c r="H1525" s="234">
        <v>6.5</v>
      </c>
      <c r="I1525" s="235">
        <f t="shared" si="131"/>
        <v>260</v>
      </c>
      <c r="K1525" s="250">
        <f>4.2*40</f>
        <v>168</v>
      </c>
      <c r="N1525" s="235">
        <v>0</v>
      </c>
      <c r="O1525" s="235">
        <f t="shared" si="132"/>
        <v>260</v>
      </c>
      <c r="P1525" s="238" t="s">
        <v>5490</v>
      </c>
      <c r="Q1525" s="1" t="s">
        <v>5212</v>
      </c>
      <c r="R1525" s="239" t="s">
        <v>5479</v>
      </c>
      <c r="S1525" s="238" t="s">
        <v>5480</v>
      </c>
      <c r="T1525" s="238" t="s">
        <v>3924</v>
      </c>
      <c r="U1525" s="238" t="s">
        <v>5525</v>
      </c>
      <c r="V1525" s="238" t="s">
        <v>5508</v>
      </c>
      <c r="W1525" s="236">
        <v>4580</v>
      </c>
      <c r="X1525" s="233">
        <v>41346</v>
      </c>
      <c r="Y1525" s="238" t="s">
        <v>5525</v>
      </c>
      <c r="AB1525" s="1" t="s">
        <v>2064</v>
      </c>
    </row>
    <row r="1526" spans="1:28">
      <c r="A1526" s="233">
        <v>41347</v>
      </c>
      <c r="B1526" s="1" t="s">
        <v>4338</v>
      </c>
      <c r="C1526" s="1" t="s">
        <v>162</v>
      </c>
      <c r="D1526" s="1" t="s">
        <v>1210</v>
      </c>
      <c r="E1526" s="1">
        <v>3200</v>
      </c>
      <c r="F1526" s="1">
        <v>20</v>
      </c>
      <c r="G1526" s="1" t="s">
        <v>5519</v>
      </c>
      <c r="H1526" s="234">
        <v>26.5</v>
      </c>
      <c r="I1526" s="235">
        <f>F1526*H1526</f>
        <v>530</v>
      </c>
      <c r="K1526" s="250">
        <f>23.94*20</f>
        <v>478.8</v>
      </c>
      <c r="L1526" s="237">
        <v>41347</v>
      </c>
      <c r="M1526" s="1" t="s">
        <v>165</v>
      </c>
      <c r="N1526" s="235">
        <f t="shared" si="124"/>
        <v>530</v>
      </c>
      <c r="O1526" s="235">
        <f t="shared" ref="O1526:O1534" si="133">I1526-N1526</f>
        <v>0</v>
      </c>
      <c r="P1526" s="238" t="s">
        <v>5523</v>
      </c>
      <c r="Q1526" s="1" t="s">
        <v>5381</v>
      </c>
      <c r="R1526" s="239" t="s">
        <v>4341</v>
      </c>
      <c r="S1526" s="238" t="s">
        <v>4342</v>
      </c>
      <c r="T1526" s="238" t="s">
        <v>2237</v>
      </c>
      <c r="U1526" s="238" t="s">
        <v>5551</v>
      </c>
      <c r="V1526" s="238" t="s">
        <v>5540</v>
      </c>
      <c r="W1526" s="236">
        <v>9279.93</v>
      </c>
      <c r="X1526" s="233">
        <v>41347</v>
      </c>
      <c r="Y1526" s="238" t="s">
        <v>5551</v>
      </c>
      <c r="AB1526" s="1" t="s">
        <v>1561</v>
      </c>
    </row>
    <row r="1527" spans="1:28">
      <c r="A1527" s="233">
        <v>41347</v>
      </c>
      <c r="B1527" s="1" t="s">
        <v>4338</v>
      </c>
      <c r="C1527" s="1" t="s">
        <v>162</v>
      </c>
      <c r="D1527" s="5" t="s">
        <v>182</v>
      </c>
      <c r="E1527" s="1" t="s">
        <v>186</v>
      </c>
      <c r="F1527" s="1">
        <v>200</v>
      </c>
      <c r="G1527" s="1" t="s">
        <v>5524</v>
      </c>
      <c r="H1527" s="234">
        <v>1.75</v>
      </c>
      <c r="I1527" s="235">
        <f>F1527*H1527</f>
        <v>350</v>
      </c>
      <c r="K1527" s="250">
        <f>1.54*200</f>
        <v>308</v>
      </c>
      <c r="L1527" s="237">
        <v>41347</v>
      </c>
      <c r="M1527" s="1" t="s">
        <v>165</v>
      </c>
      <c r="N1527" s="235">
        <f t="shared" si="124"/>
        <v>350</v>
      </c>
      <c r="O1527" s="235">
        <f t="shared" si="133"/>
        <v>0</v>
      </c>
      <c r="P1527" s="238" t="s">
        <v>5523</v>
      </c>
      <c r="Q1527" s="1" t="s">
        <v>5381</v>
      </c>
      <c r="R1527" s="239" t="s">
        <v>4341</v>
      </c>
      <c r="S1527" s="238" t="s">
        <v>4342</v>
      </c>
      <c r="T1527" s="238" t="s">
        <v>2237</v>
      </c>
      <c r="U1527" s="238" t="s">
        <v>5551</v>
      </c>
      <c r="V1527" s="238" t="s">
        <v>5540</v>
      </c>
      <c r="W1527" s="236">
        <v>9279.93</v>
      </c>
      <c r="X1527" s="233">
        <v>41347</v>
      </c>
      <c r="Y1527" s="238" t="s">
        <v>5551</v>
      </c>
      <c r="AB1527" s="1" t="s">
        <v>1561</v>
      </c>
    </row>
    <row r="1528" spans="1:28">
      <c r="A1528" s="233">
        <v>41347</v>
      </c>
      <c r="B1528" s="1" t="s">
        <v>3770</v>
      </c>
      <c r="C1528" s="1" t="s">
        <v>5395</v>
      </c>
      <c r="D1528" s="1" t="s">
        <v>5394</v>
      </c>
      <c r="E1528" s="1">
        <v>7475</v>
      </c>
      <c r="F1528" s="1">
        <v>10</v>
      </c>
      <c r="G1528" s="1" t="s">
        <v>5393</v>
      </c>
      <c r="H1528" s="234">
        <v>310</v>
      </c>
      <c r="I1528" s="235">
        <f>F1528*H1528</f>
        <v>3100</v>
      </c>
      <c r="K1528" s="250">
        <f>280*10</f>
        <v>2800</v>
      </c>
      <c r="L1528" s="237">
        <v>41339</v>
      </c>
      <c r="M1528" s="1" t="s">
        <v>166</v>
      </c>
      <c r="N1528" s="235">
        <f t="shared" si="124"/>
        <v>3100</v>
      </c>
      <c r="O1528" s="235">
        <f t="shared" si="133"/>
        <v>0</v>
      </c>
      <c r="P1528" s="238" t="s">
        <v>5531</v>
      </c>
      <c r="Q1528" s="1" t="s">
        <v>5532</v>
      </c>
      <c r="R1528" s="1" t="s">
        <v>3772</v>
      </c>
      <c r="S1528" s="238" t="s">
        <v>3773</v>
      </c>
      <c r="T1528" s="238" t="s">
        <v>4404</v>
      </c>
      <c r="U1528" s="238" t="s">
        <v>167</v>
      </c>
      <c r="V1528" s="238" t="s">
        <v>5542</v>
      </c>
      <c r="W1528" s="236">
        <v>4281.6000000000004</v>
      </c>
      <c r="X1528" s="233">
        <v>41347</v>
      </c>
      <c r="Y1528" s="238" t="s">
        <v>1562</v>
      </c>
      <c r="AB1528" s="1" t="s">
        <v>1561</v>
      </c>
    </row>
    <row r="1529" spans="1:28">
      <c r="A1529" s="233">
        <v>41347</v>
      </c>
      <c r="B1529" s="1" t="s">
        <v>2236</v>
      </c>
      <c r="C1529" s="1" t="s">
        <v>162</v>
      </c>
      <c r="D1529" s="5" t="s">
        <v>1899</v>
      </c>
      <c r="E1529" s="1">
        <v>6200</v>
      </c>
      <c r="F1529" s="1">
        <v>80</v>
      </c>
      <c r="G1529" s="1" t="s">
        <v>170</v>
      </c>
      <c r="H1529" s="234">
        <v>79.400000000000006</v>
      </c>
      <c r="I1529" s="235">
        <f t="shared" ref="I1529:I1534" si="134">F1529*H1529</f>
        <v>6352</v>
      </c>
      <c r="K1529" s="250">
        <f>46.5*80</f>
        <v>3720</v>
      </c>
      <c r="L1529" s="237">
        <v>41411</v>
      </c>
      <c r="M1529" s="1" t="s">
        <v>6882</v>
      </c>
      <c r="N1529" s="235">
        <f t="shared" si="124"/>
        <v>6352</v>
      </c>
      <c r="O1529" s="235">
        <f t="shared" si="133"/>
        <v>0</v>
      </c>
      <c r="P1529" s="238" t="s">
        <v>5530</v>
      </c>
      <c r="Q1529" s="1" t="s">
        <v>5548</v>
      </c>
      <c r="R1529" s="239" t="s">
        <v>2450</v>
      </c>
      <c r="S1529" s="238" t="s">
        <v>3492</v>
      </c>
      <c r="T1529" s="238" t="s">
        <v>797</v>
      </c>
      <c r="U1529" s="238" t="s">
        <v>5552</v>
      </c>
      <c r="V1529" s="238" t="s">
        <v>5541</v>
      </c>
      <c r="W1529" s="236">
        <v>29540.799999999999</v>
      </c>
      <c r="X1529" s="233">
        <v>41347</v>
      </c>
      <c r="Y1529" s="238" t="s">
        <v>5552</v>
      </c>
      <c r="AA1529" s="240" t="s">
        <v>2722</v>
      </c>
      <c r="AB1529" s="1" t="s">
        <v>2064</v>
      </c>
    </row>
    <row r="1530" spans="1:28">
      <c r="A1530" s="233">
        <v>41347</v>
      </c>
      <c r="B1530" s="1" t="s">
        <v>2236</v>
      </c>
      <c r="C1530" s="1" t="s">
        <v>162</v>
      </c>
      <c r="D1530" s="5" t="s">
        <v>1882</v>
      </c>
      <c r="E1530" s="1" t="s">
        <v>145</v>
      </c>
      <c r="F1530" s="1">
        <v>380</v>
      </c>
      <c r="G1530" s="1" t="s">
        <v>170</v>
      </c>
      <c r="H1530" s="234">
        <v>28.6</v>
      </c>
      <c r="I1530" s="235">
        <f t="shared" si="134"/>
        <v>10868</v>
      </c>
      <c r="K1530" s="250">
        <f>18.25*160+18.37*80+17.25*140</f>
        <v>6804.6</v>
      </c>
      <c r="L1530" s="237">
        <v>41411</v>
      </c>
      <c r="M1530" s="1" t="s">
        <v>6882</v>
      </c>
      <c r="N1530" s="235">
        <f t="shared" si="124"/>
        <v>10868</v>
      </c>
      <c r="O1530" s="235">
        <f t="shared" si="133"/>
        <v>0</v>
      </c>
      <c r="P1530" s="238" t="s">
        <v>5530</v>
      </c>
      <c r="Q1530" s="1" t="s">
        <v>5548</v>
      </c>
      <c r="R1530" s="239" t="s">
        <v>2450</v>
      </c>
      <c r="S1530" s="238" t="s">
        <v>3492</v>
      </c>
      <c r="T1530" s="238" t="s">
        <v>797</v>
      </c>
      <c r="U1530" s="238" t="s">
        <v>5552</v>
      </c>
      <c r="V1530" s="238" t="s">
        <v>5541</v>
      </c>
      <c r="W1530" s="236">
        <v>29540.799999999999</v>
      </c>
      <c r="X1530" s="233">
        <v>41347</v>
      </c>
      <c r="Y1530" s="238" t="s">
        <v>5552</v>
      </c>
      <c r="AA1530" s="240" t="s">
        <v>2722</v>
      </c>
      <c r="AB1530" s="1" t="s">
        <v>2064</v>
      </c>
    </row>
    <row r="1531" spans="1:28">
      <c r="A1531" s="233">
        <v>41347</v>
      </c>
      <c r="B1531" s="1" t="s">
        <v>2236</v>
      </c>
      <c r="C1531" s="1" t="s">
        <v>162</v>
      </c>
      <c r="D1531" s="5" t="s">
        <v>182</v>
      </c>
      <c r="E1531" s="1" t="s">
        <v>194</v>
      </c>
      <c r="F1531" s="1">
        <v>380</v>
      </c>
      <c r="G1531" s="1" t="s">
        <v>231</v>
      </c>
      <c r="H1531" s="234">
        <v>7.99</v>
      </c>
      <c r="I1531" s="235">
        <f t="shared" si="134"/>
        <v>3036.2000000000003</v>
      </c>
      <c r="K1531" s="250">
        <f>5.25*320+4.75*60</f>
        <v>1965</v>
      </c>
      <c r="M1531" s="1" t="s">
        <v>6882</v>
      </c>
      <c r="N1531" s="235">
        <v>1995.4</v>
      </c>
      <c r="O1531" s="235">
        <f t="shared" si="133"/>
        <v>1040.8000000000002</v>
      </c>
      <c r="P1531" s="238" t="s">
        <v>5530</v>
      </c>
      <c r="Q1531" s="1" t="s">
        <v>5548</v>
      </c>
      <c r="R1531" s="239" t="s">
        <v>2450</v>
      </c>
      <c r="S1531" s="238" t="s">
        <v>3492</v>
      </c>
      <c r="T1531" s="238" t="s">
        <v>797</v>
      </c>
      <c r="U1531" s="238" t="s">
        <v>5552</v>
      </c>
      <c r="V1531" s="238" t="s">
        <v>5541</v>
      </c>
      <c r="W1531" s="236">
        <v>29540.799999999999</v>
      </c>
      <c r="X1531" s="233">
        <v>41347</v>
      </c>
      <c r="Y1531" s="238" t="s">
        <v>5552</v>
      </c>
      <c r="AA1531" s="240" t="s">
        <v>2722</v>
      </c>
      <c r="AB1531" s="1" t="s">
        <v>2064</v>
      </c>
    </row>
    <row r="1532" spans="1:28">
      <c r="A1532" s="233">
        <v>41347</v>
      </c>
      <c r="B1532" s="1" t="s">
        <v>2236</v>
      </c>
      <c r="C1532" s="1" t="s">
        <v>162</v>
      </c>
      <c r="D1532" s="5" t="s">
        <v>1869</v>
      </c>
      <c r="E1532" s="1">
        <v>501</v>
      </c>
      <c r="F1532" s="1">
        <v>160</v>
      </c>
      <c r="G1532" s="1" t="s">
        <v>170</v>
      </c>
      <c r="H1532" s="234">
        <v>2.12</v>
      </c>
      <c r="I1532" s="235">
        <f t="shared" si="134"/>
        <v>339.20000000000005</v>
      </c>
      <c r="K1532" s="250">
        <f>1.82*160</f>
        <v>291.2</v>
      </c>
      <c r="N1532" s="235">
        <v>0</v>
      </c>
      <c r="O1532" s="235">
        <f t="shared" si="133"/>
        <v>339.20000000000005</v>
      </c>
      <c r="P1532" s="238" t="s">
        <v>5530</v>
      </c>
      <c r="Q1532" s="1" t="s">
        <v>5548</v>
      </c>
      <c r="R1532" s="239" t="s">
        <v>2450</v>
      </c>
      <c r="S1532" s="238" t="s">
        <v>3492</v>
      </c>
      <c r="T1532" s="238" t="s">
        <v>797</v>
      </c>
      <c r="U1532" s="238" t="s">
        <v>5552</v>
      </c>
      <c r="V1532" s="238" t="s">
        <v>5541</v>
      </c>
      <c r="W1532" s="236">
        <v>29540.799999999999</v>
      </c>
      <c r="X1532" s="233">
        <v>41347</v>
      </c>
      <c r="Y1532" s="238" t="s">
        <v>5552</v>
      </c>
      <c r="AA1532" s="240" t="s">
        <v>2722</v>
      </c>
      <c r="AB1532" s="1" t="s">
        <v>2064</v>
      </c>
    </row>
    <row r="1533" spans="1:28">
      <c r="A1533" s="233">
        <v>41347</v>
      </c>
      <c r="B1533" s="1" t="s">
        <v>3668</v>
      </c>
      <c r="C1533" s="5" t="s">
        <v>162</v>
      </c>
      <c r="D1533" s="5" t="s">
        <v>86</v>
      </c>
      <c r="E1533" s="5">
        <v>9032</v>
      </c>
      <c r="F1533" s="1">
        <v>1500</v>
      </c>
      <c r="G1533" s="1" t="s">
        <v>170</v>
      </c>
      <c r="H1533" s="234">
        <v>2.2999999999999998</v>
      </c>
      <c r="I1533" s="235">
        <f t="shared" si="134"/>
        <v>3449.9999999999995</v>
      </c>
      <c r="K1533" s="250">
        <f>1.4929*F1533</f>
        <v>2239.35</v>
      </c>
      <c r="N1533" s="235">
        <v>0</v>
      </c>
      <c r="O1533" s="235">
        <f t="shared" si="133"/>
        <v>3449.9999999999995</v>
      </c>
      <c r="P1533" s="238" t="s">
        <v>5571</v>
      </c>
      <c r="Q1533" s="1" t="s">
        <v>5641</v>
      </c>
      <c r="R1533" s="239" t="s">
        <v>4204</v>
      </c>
      <c r="S1533" s="238" t="s">
        <v>4205</v>
      </c>
      <c r="T1533" s="238" t="s">
        <v>3672</v>
      </c>
      <c r="U1533" s="238" t="s">
        <v>5642</v>
      </c>
      <c r="V1533" s="238" t="s">
        <v>6901</v>
      </c>
      <c r="W1533" s="236">
        <v>6570</v>
      </c>
      <c r="X1533" s="233">
        <v>41411</v>
      </c>
      <c r="Y1533" s="238" t="s">
        <v>6902</v>
      </c>
      <c r="AB1533" s="1" t="s">
        <v>2064</v>
      </c>
    </row>
    <row r="1534" spans="1:28">
      <c r="A1534" s="233">
        <v>41347</v>
      </c>
      <c r="B1534" s="1" t="s">
        <v>3668</v>
      </c>
      <c r="C1534" s="5" t="s">
        <v>162</v>
      </c>
      <c r="D1534" s="391" t="s">
        <v>5047</v>
      </c>
      <c r="E1534" s="5">
        <v>8210</v>
      </c>
      <c r="F1534" s="1">
        <v>480</v>
      </c>
      <c r="G1534" s="1" t="s">
        <v>170</v>
      </c>
      <c r="H1534" s="234">
        <v>6.5</v>
      </c>
      <c r="I1534" s="235">
        <f t="shared" si="134"/>
        <v>3120</v>
      </c>
      <c r="K1534" s="250">
        <f>3.78*200</f>
        <v>756</v>
      </c>
      <c r="N1534" s="235">
        <v>0</v>
      </c>
      <c r="O1534" s="235">
        <f t="shared" si="133"/>
        <v>3120</v>
      </c>
      <c r="P1534" s="238" t="s">
        <v>5571</v>
      </c>
      <c r="Q1534" s="1" t="s">
        <v>5641</v>
      </c>
      <c r="R1534" s="239" t="s">
        <v>4204</v>
      </c>
      <c r="S1534" s="238" t="s">
        <v>4205</v>
      </c>
      <c r="T1534" s="238" t="s">
        <v>3672</v>
      </c>
      <c r="U1534" s="238" t="s">
        <v>5642</v>
      </c>
      <c r="V1534" s="238" t="s">
        <v>6901</v>
      </c>
      <c r="W1534" s="236">
        <v>6570</v>
      </c>
      <c r="X1534" s="233">
        <v>41411</v>
      </c>
      <c r="Y1534" s="238" t="s">
        <v>6902</v>
      </c>
      <c r="AB1534" s="1" t="s">
        <v>2064</v>
      </c>
    </row>
    <row r="1535" spans="1:28">
      <c r="A1535" s="233">
        <v>41347</v>
      </c>
      <c r="B1535" s="1" t="s">
        <v>3501</v>
      </c>
      <c r="C1535" s="1" t="s">
        <v>162</v>
      </c>
      <c r="D1535" s="5" t="s">
        <v>854</v>
      </c>
      <c r="E1535" s="1">
        <v>9032</v>
      </c>
      <c r="F1535" s="1">
        <v>1000</v>
      </c>
      <c r="G1535" s="232" t="s">
        <v>170</v>
      </c>
      <c r="H1535" s="234">
        <v>2.2999999999999998</v>
      </c>
      <c r="I1535" s="236">
        <f>H1535*F1535</f>
        <v>2300</v>
      </c>
      <c r="K1535" s="250">
        <f>1.4929*F1535</f>
        <v>1492.8999999999999</v>
      </c>
      <c r="L1535" s="237">
        <v>41330</v>
      </c>
      <c r="M1535" s="1" t="s">
        <v>166</v>
      </c>
      <c r="N1535" s="235">
        <f t="shared" ref="N1535:N1597" si="135">I1535</f>
        <v>2300</v>
      </c>
      <c r="O1535" s="235">
        <f t="shared" ref="O1535:O1542" si="136">I1535-N1535</f>
        <v>0</v>
      </c>
      <c r="P1535" s="238" t="s">
        <v>5450</v>
      </c>
      <c r="Q1535" s="1" t="s">
        <v>5553</v>
      </c>
      <c r="R1535" s="239" t="s">
        <v>3503</v>
      </c>
      <c r="S1535" s="238" t="s">
        <v>3504</v>
      </c>
      <c r="T1535" s="238" t="s">
        <v>3505</v>
      </c>
      <c r="U1535" s="238" t="s">
        <v>5554</v>
      </c>
      <c r="V1535" s="238" t="s">
        <v>5509</v>
      </c>
      <c r="W1535" s="236">
        <v>2300</v>
      </c>
      <c r="X1535" s="233">
        <v>41346</v>
      </c>
      <c r="Y1535" s="238" t="s">
        <v>5554</v>
      </c>
      <c r="AB1535" s="1" t="s">
        <v>2064</v>
      </c>
    </row>
    <row r="1536" spans="1:28">
      <c r="A1536" s="233">
        <v>41347</v>
      </c>
      <c r="B1536" s="1" t="s">
        <v>973</v>
      </c>
      <c r="C1536" s="5" t="s">
        <v>162</v>
      </c>
      <c r="D1536" s="5" t="s">
        <v>854</v>
      </c>
      <c r="E1536" s="1">
        <v>9032</v>
      </c>
      <c r="F1536" s="1">
        <v>2000</v>
      </c>
      <c r="G1536" s="1" t="s">
        <v>5456</v>
      </c>
      <c r="H1536" s="234">
        <v>2.4</v>
      </c>
      <c r="I1536" s="235">
        <f>F1536*H1536</f>
        <v>4800</v>
      </c>
      <c r="K1536" s="250">
        <f>1.4929*2000</f>
        <v>2985.7999999999997</v>
      </c>
      <c r="L1536" s="237">
        <v>41352</v>
      </c>
      <c r="M1536" s="1" t="s">
        <v>5614</v>
      </c>
      <c r="N1536" s="235">
        <f t="shared" si="135"/>
        <v>4800</v>
      </c>
      <c r="O1536" s="235">
        <f t="shared" si="136"/>
        <v>0</v>
      </c>
      <c r="P1536" s="238" t="s">
        <v>5640</v>
      </c>
      <c r="Q1536" s="1" t="s">
        <v>5379</v>
      </c>
      <c r="R1536" s="247" t="s">
        <v>3580</v>
      </c>
      <c r="S1536" s="246" t="s">
        <v>3323</v>
      </c>
      <c r="T1536" s="238" t="s">
        <v>5513</v>
      </c>
      <c r="U1536" s="238" t="s">
        <v>5550</v>
      </c>
      <c r="V1536" s="238" t="s">
        <v>5506</v>
      </c>
      <c r="W1536" s="236">
        <v>4800</v>
      </c>
      <c r="X1536" s="233">
        <v>41346</v>
      </c>
      <c r="Y1536" s="238" t="s">
        <v>5550</v>
      </c>
      <c r="AB1536" s="5" t="s">
        <v>2064</v>
      </c>
    </row>
    <row r="1537" spans="1:28">
      <c r="A1537" s="233">
        <v>41347</v>
      </c>
      <c r="B1537" s="1" t="s">
        <v>5482</v>
      </c>
      <c r="C1537" s="5" t="s">
        <v>162</v>
      </c>
      <c r="D1537" s="1" t="s">
        <v>1210</v>
      </c>
      <c r="E1537" s="1">
        <v>3200</v>
      </c>
      <c r="F1537" s="1">
        <v>2000</v>
      </c>
      <c r="G1537" s="1" t="s">
        <v>5469</v>
      </c>
      <c r="H1537" s="234">
        <v>25.25</v>
      </c>
      <c r="I1537" s="235">
        <f>F1537*H1537</f>
        <v>50500</v>
      </c>
      <c r="K1537" s="250">
        <f>23.94*2000</f>
        <v>47880</v>
      </c>
      <c r="L1537" s="237">
        <v>41346</v>
      </c>
      <c r="M1537" s="1" t="s">
        <v>5483</v>
      </c>
      <c r="N1537" s="235">
        <f t="shared" si="135"/>
        <v>50500</v>
      </c>
      <c r="O1537" s="235">
        <f t="shared" si="136"/>
        <v>0</v>
      </c>
      <c r="P1537" s="238" t="s">
        <v>5640</v>
      </c>
      <c r="Q1537" s="1" t="s">
        <v>5583</v>
      </c>
      <c r="R1537" s="239" t="s">
        <v>5585</v>
      </c>
      <c r="S1537" s="238" t="s">
        <v>5584</v>
      </c>
      <c r="T1537" s="238" t="s">
        <v>5484</v>
      </c>
      <c r="U1537" s="238" t="s">
        <v>5723</v>
      </c>
      <c r="V1537" s="238" t="s">
        <v>6991</v>
      </c>
      <c r="W1537" s="236">
        <v>50500</v>
      </c>
      <c r="X1537" s="233">
        <v>41417</v>
      </c>
      <c r="Y1537" s="238" t="s">
        <v>6992</v>
      </c>
      <c r="AB1537" s="1" t="s">
        <v>1561</v>
      </c>
    </row>
    <row r="1538" spans="1:28">
      <c r="A1538" s="233">
        <v>41347</v>
      </c>
      <c r="B1538" s="228" t="s">
        <v>1488</v>
      </c>
      <c r="C1538" s="1" t="s">
        <v>162</v>
      </c>
      <c r="D1538" s="5" t="s">
        <v>2012</v>
      </c>
      <c r="E1538" s="1" t="s">
        <v>5526</v>
      </c>
      <c r="F1538" s="1">
        <v>500</v>
      </c>
      <c r="G1538" s="1" t="s">
        <v>170</v>
      </c>
      <c r="H1538" s="234">
        <v>1.7</v>
      </c>
      <c r="I1538" s="236">
        <f>H1538*F1538</f>
        <v>850</v>
      </c>
      <c r="K1538" s="250">
        <f>1.48*500</f>
        <v>740</v>
      </c>
      <c r="L1538" s="237">
        <v>41351</v>
      </c>
      <c r="M1538" s="1" t="s">
        <v>166</v>
      </c>
      <c r="N1538" s="235">
        <f t="shared" si="135"/>
        <v>850</v>
      </c>
      <c r="O1538" s="235">
        <f t="shared" si="136"/>
        <v>0</v>
      </c>
      <c r="P1538" s="238" t="s">
        <v>5543</v>
      </c>
      <c r="Q1538" s="1" t="s">
        <v>5548</v>
      </c>
      <c r="R1538" s="239" t="s">
        <v>4326</v>
      </c>
      <c r="S1538" s="238" t="s">
        <v>4327</v>
      </c>
      <c r="T1538" s="238" t="s">
        <v>1471</v>
      </c>
      <c r="U1538" s="238" t="s">
        <v>5549</v>
      </c>
      <c r="V1538" s="238" t="s">
        <v>5539</v>
      </c>
      <c r="W1538" s="236">
        <v>18140</v>
      </c>
      <c r="X1538" s="233">
        <v>41347</v>
      </c>
      <c r="Y1538" s="238" t="s">
        <v>5549</v>
      </c>
      <c r="AB1538" s="1" t="s">
        <v>1561</v>
      </c>
    </row>
    <row r="1539" spans="1:28">
      <c r="A1539" s="233">
        <v>41347</v>
      </c>
      <c r="B1539" s="1" t="s">
        <v>4111</v>
      </c>
      <c r="C1539" s="1" t="s">
        <v>162</v>
      </c>
      <c r="D1539" s="5" t="s">
        <v>1899</v>
      </c>
      <c r="E1539" s="1" t="s">
        <v>4506</v>
      </c>
      <c r="F1539" s="1">
        <v>6</v>
      </c>
      <c r="G1539" s="1" t="s">
        <v>5527</v>
      </c>
      <c r="H1539" s="234">
        <v>47.8</v>
      </c>
      <c r="I1539" s="235">
        <f>H1539*F1539</f>
        <v>286.79999999999995</v>
      </c>
      <c r="K1539" s="250">
        <f>42.5*3+44.5*3</f>
        <v>261</v>
      </c>
      <c r="L1539" s="237">
        <v>41380</v>
      </c>
      <c r="M1539" s="1" t="s">
        <v>698</v>
      </c>
      <c r="N1539" s="235">
        <f t="shared" si="135"/>
        <v>286.79999999999995</v>
      </c>
      <c r="O1539" s="235">
        <f t="shared" si="136"/>
        <v>0</v>
      </c>
      <c r="P1539" s="238" t="s">
        <v>5546</v>
      </c>
      <c r="Q1539" s="1" t="s">
        <v>1562</v>
      </c>
      <c r="R1539" s="239" t="s">
        <v>4113</v>
      </c>
      <c r="S1539" s="238" t="s">
        <v>4114</v>
      </c>
      <c r="T1539" s="238" t="s">
        <v>4115</v>
      </c>
      <c r="V1539" s="238" t="s">
        <v>175</v>
      </c>
      <c r="AB1539" s="1" t="s">
        <v>1561</v>
      </c>
    </row>
    <row r="1540" spans="1:28">
      <c r="A1540" s="233">
        <v>41347</v>
      </c>
      <c r="B1540" s="1" t="s">
        <v>4111</v>
      </c>
      <c r="C1540" s="1" t="s">
        <v>162</v>
      </c>
      <c r="D1540" s="5" t="s">
        <v>353</v>
      </c>
      <c r="E1540" s="1" t="s">
        <v>145</v>
      </c>
      <c r="F1540" s="1">
        <v>12</v>
      </c>
      <c r="G1540" s="1" t="s">
        <v>5527</v>
      </c>
      <c r="H1540" s="234">
        <v>19</v>
      </c>
      <c r="I1540" s="235">
        <f>H1540*F1540</f>
        <v>228</v>
      </c>
      <c r="K1540" s="250">
        <f>17.25*12</f>
        <v>207</v>
      </c>
      <c r="L1540" s="237">
        <v>41380</v>
      </c>
      <c r="M1540" s="1" t="s">
        <v>698</v>
      </c>
      <c r="N1540" s="235">
        <f t="shared" si="135"/>
        <v>228</v>
      </c>
      <c r="O1540" s="235">
        <f t="shared" si="136"/>
        <v>0</v>
      </c>
      <c r="P1540" s="238" t="s">
        <v>5546</v>
      </c>
      <c r="Q1540" s="1" t="s">
        <v>1562</v>
      </c>
      <c r="R1540" s="239" t="s">
        <v>4113</v>
      </c>
      <c r="S1540" s="238" t="s">
        <v>4114</v>
      </c>
      <c r="T1540" s="238" t="s">
        <v>4115</v>
      </c>
      <c r="V1540" s="238" t="s">
        <v>175</v>
      </c>
      <c r="AB1540" s="1" t="s">
        <v>1561</v>
      </c>
    </row>
    <row r="1541" spans="1:28">
      <c r="A1541" s="233">
        <v>41347</v>
      </c>
      <c r="B1541" s="1" t="s">
        <v>4111</v>
      </c>
      <c r="C1541" s="1" t="s">
        <v>162</v>
      </c>
      <c r="D1541" s="5" t="s">
        <v>182</v>
      </c>
      <c r="E1541" s="1" t="s">
        <v>194</v>
      </c>
      <c r="F1541" s="1">
        <v>12</v>
      </c>
      <c r="G1541" s="1" t="s">
        <v>5544</v>
      </c>
      <c r="H1541" s="234">
        <v>5.6</v>
      </c>
      <c r="I1541" s="235">
        <f>H1541*F1541</f>
        <v>67.199999999999989</v>
      </c>
      <c r="K1541" s="250">
        <f>4.78*2+4.75*10</f>
        <v>57.06</v>
      </c>
      <c r="L1541" s="237">
        <v>41380</v>
      </c>
      <c r="M1541" s="1" t="s">
        <v>698</v>
      </c>
      <c r="N1541" s="235">
        <f t="shared" si="135"/>
        <v>67.199999999999989</v>
      </c>
      <c r="O1541" s="235">
        <f t="shared" si="136"/>
        <v>0</v>
      </c>
      <c r="P1541" s="238" t="s">
        <v>5546</v>
      </c>
      <c r="Q1541" s="1" t="s">
        <v>1562</v>
      </c>
      <c r="R1541" s="239" t="s">
        <v>4113</v>
      </c>
      <c r="S1541" s="238" t="s">
        <v>4114</v>
      </c>
      <c r="T1541" s="238" t="s">
        <v>4115</v>
      </c>
      <c r="V1541" s="238" t="s">
        <v>175</v>
      </c>
      <c r="AB1541" s="1" t="s">
        <v>1561</v>
      </c>
    </row>
    <row r="1542" spans="1:28">
      <c r="A1542" s="233">
        <v>41347</v>
      </c>
      <c r="B1542" s="1" t="s">
        <v>4111</v>
      </c>
      <c r="C1542" s="1" t="s">
        <v>162</v>
      </c>
      <c r="D1542" s="5" t="s">
        <v>1869</v>
      </c>
      <c r="E1542" s="1">
        <v>501</v>
      </c>
      <c r="F1542" s="1">
        <v>12</v>
      </c>
      <c r="G1542" s="1" t="s">
        <v>5527</v>
      </c>
      <c r="H1542" s="234">
        <v>1.5</v>
      </c>
      <c r="I1542" s="235">
        <f>H1542*F1542</f>
        <v>18</v>
      </c>
      <c r="K1542" s="250">
        <f>1.39*22</f>
        <v>30.58</v>
      </c>
      <c r="L1542" s="237">
        <v>41380</v>
      </c>
      <c r="M1542" s="1" t="s">
        <v>698</v>
      </c>
      <c r="N1542" s="235">
        <f t="shared" si="135"/>
        <v>18</v>
      </c>
      <c r="O1542" s="235">
        <f t="shared" si="136"/>
        <v>0</v>
      </c>
      <c r="P1542" s="238" t="s">
        <v>5546</v>
      </c>
      <c r="Q1542" s="1" t="s">
        <v>1562</v>
      </c>
      <c r="R1542" s="239" t="s">
        <v>4113</v>
      </c>
      <c r="S1542" s="238" t="s">
        <v>4114</v>
      </c>
      <c r="T1542" s="238" t="s">
        <v>4115</v>
      </c>
      <c r="V1542" s="238" t="s">
        <v>175</v>
      </c>
      <c r="AB1542" s="1" t="s">
        <v>1561</v>
      </c>
    </row>
    <row r="1543" spans="1:28">
      <c r="A1543" s="233">
        <v>41348</v>
      </c>
      <c r="B1543" s="1" t="s">
        <v>5560</v>
      </c>
      <c r="C1543" s="1" t="s">
        <v>2827</v>
      </c>
      <c r="D1543" s="1" t="s">
        <v>304</v>
      </c>
      <c r="E1543" s="1">
        <v>1426</v>
      </c>
      <c r="F1543" s="1">
        <v>20</v>
      </c>
      <c r="G1543" s="1" t="s">
        <v>5555</v>
      </c>
      <c r="H1543" s="234">
        <v>24</v>
      </c>
      <c r="I1543" s="235">
        <f t="shared" ref="I1543:I1548" si="137">F1543*H1543</f>
        <v>480</v>
      </c>
      <c r="K1543" s="250">
        <f>19.422*9+18.51*11</f>
        <v>378.40800000000002</v>
      </c>
      <c r="L1543" s="237">
        <v>41348</v>
      </c>
      <c r="M1543" s="1" t="s">
        <v>5561</v>
      </c>
      <c r="N1543" s="235">
        <f t="shared" si="135"/>
        <v>480</v>
      </c>
      <c r="O1543" s="235">
        <f t="shared" ref="O1543:O1548" si="138">I1543-N1543</f>
        <v>0</v>
      </c>
      <c r="P1543" s="238" t="s">
        <v>5562</v>
      </c>
      <c r="Q1543" s="1" t="s">
        <v>5563</v>
      </c>
      <c r="R1543" s="239" t="s">
        <v>5564</v>
      </c>
      <c r="S1543" s="238" t="s">
        <v>5564</v>
      </c>
      <c r="T1543" s="238" t="s">
        <v>5564</v>
      </c>
      <c r="U1543" s="238" t="s">
        <v>5564</v>
      </c>
      <c r="V1543" s="238" t="s">
        <v>5565</v>
      </c>
      <c r="AB1543" s="1" t="s">
        <v>2826</v>
      </c>
    </row>
    <row r="1544" spans="1:28">
      <c r="A1544" s="233">
        <v>41348</v>
      </c>
      <c r="B1544" s="1" t="s">
        <v>4111</v>
      </c>
      <c r="C1544" s="1" t="s">
        <v>2827</v>
      </c>
      <c r="D1544" s="1" t="s">
        <v>1934</v>
      </c>
      <c r="E1544" s="1">
        <v>1110</v>
      </c>
      <c r="F1544" s="1">
        <v>1</v>
      </c>
      <c r="G1544" s="1" t="s">
        <v>5555</v>
      </c>
      <c r="H1544" s="234">
        <v>0.8</v>
      </c>
      <c r="I1544" s="235">
        <f t="shared" si="137"/>
        <v>0.8</v>
      </c>
      <c r="K1544" s="250">
        <f>0.77*1</f>
        <v>0.77</v>
      </c>
      <c r="L1544" s="237">
        <v>41380</v>
      </c>
      <c r="M1544" s="1" t="s">
        <v>698</v>
      </c>
      <c r="N1544" s="235">
        <f t="shared" si="135"/>
        <v>0.8</v>
      </c>
      <c r="O1544" s="235">
        <f t="shared" si="138"/>
        <v>0</v>
      </c>
      <c r="P1544" s="238" t="s">
        <v>5570</v>
      </c>
      <c r="Q1544" s="1" t="s">
        <v>1562</v>
      </c>
      <c r="R1544" s="239" t="s">
        <v>4113</v>
      </c>
      <c r="S1544" s="238" t="s">
        <v>4114</v>
      </c>
      <c r="T1544" s="238" t="s">
        <v>4115</v>
      </c>
      <c r="V1544" s="238" t="s">
        <v>175</v>
      </c>
      <c r="AB1544" s="1" t="s">
        <v>1561</v>
      </c>
    </row>
    <row r="1545" spans="1:28">
      <c r="A1545" s="233">
        <v>41348</v>
      </c>
      <c r="B1545" s="1" t="s">
        <v>4111</v>
      </c>
      <c r="C1545" s="1" t="s">
        <v>2827</v>
      </c>
      <c r="D1545" s="1" t="s">
        <v>1219</v>
      </c>
      <c r="E1545" s="1" t="s">
        <v>5567</v>
      </c>
      <c r="F1545" s="1">
        <v>1</v>
      </c>
      <c r="G1545" s="1" t="s">
        <v>5568</v>
      </c>
      <c r="H1545" s="234">
        <v>4.2</v>
      </c>
      <c r="I1545" s="235">
        <f t="shared" si="137"/>
        <v>4.2</v>
      </c>
      <c r="K1545" s="254">
        <f>3.56*1</f>
        <v>3.56</v>
      </c>
      <c r="L1545" s="237">
        <v>41380</v>
      </c>
      <c r="M1545" s="1" t="s">
        <v>698</v>
      </c>
      <c r="N1545" s="235">
        <f t="shared" si="135"/>
        <v>4.2</v>
      </c>
      <c r="O1545" s="235">
        <f t="shared" si="138"/>
        <v>0</v>
      </c>
      <c r="P1545" s="238" t="s">
        <v>5570</v>
      </c>
      <c r="Q1545" s="1" t="s">
        <v>1562</v>
      </c>
      <c r="R1545" s="239" t="s">
        <v>4113</v>
      </c>
      <c r="S1545" s="238" t="s">
        <v>4114</v>
      </c>
      <c r="T1545" s="238" t="s">
        <v>4115</v>
      </c>
      <c r="V1545" s="238" t="s">
        <v>175</v>
      </c>
      <c r="Z1545" s="255" t="s">
        <v>5569</v>
      </c>
      <c r="AB1545" s="1" t="s">
        <v>1561</v>
      </c>
    </row>
    <row r="1546" spans="1:28">
      <c r="A1546" s="233">
        <v>41348</v>
      </c>
      <c r="B1546" s="1" t="s">
        <v>1563</v>
      </c>
      <c r="C1546" s="1" t="s">
        <v>2827</v>
      </c>
      <c r="D1546" s="5" t="s">
        <v>2994</v>
      </c>
      <c r="E1546" s="1">
        <v>4620</v>
      </c>
      <c r="F1546" s="1">
        <v>30</v>
      </c>
      <c r="G1546" s="1" t="s">
        <v>3796</v>
      </c>
      <c r="H1546" s="234">
        <v>22.5</v>
      </c>
      <c r="I1546" s="235">
        <f t="shared" si="137"/>
        <v>675</v>
      </c>
      <c r="K1546" s="250">
        <f>17.79*30</f>
        <v>533.69999999999993</v>
      </c>
      <c r="N1546" s="235">
        <v>0</v>
      </c>
      <c r="O1546" s="235">
        <f t="shared" si="138"/>
        <v>675</v>
      </c>
      <c r="P1546" s="238" t="s">
        <v>5575</v>
      </c>
      <c r="Q1546" s="1" t="s">
        <v>3798</v>
      </c>
      <c r="R1546" s="239" t="s">
        <v>6017</v>
      </c>
      <c r="S1546" s="238" t="s">
        <v>6018</v>
      </c>
      <c r="T1546" s="238" t="s">
        <v>2256</v>
      </c>
      <c r="U1546" s="238" t="s">
        <v>2257</v>
      </c>
      <c r="V1546" s="238" t="s">
        <v>5699</v>
      </c>
      <c r="W1546" s="236">
        <v>2150</v>
      </c>
      <c r="X1546" s="233">
        <v>41354</v>
      </c>
      <c r="Y1546" s="238" t="s">
        <v>5700</v>
      </c>
      <c r="AB1546" s="1" t="s">
        <v>3793</v>
      </c>
    </row>
    <row r="1547" spans="1:28">
      <c r="A1547" s="233">
        <v>41348</v>
      </c>
      <c r="B1547" s="228" t="s">
        <v>5574</v>
      </c>
      <c r="C1547" s="1" t="s">
        <v>2827</v>
      </c>
      <c r="D1547" s="1" t="s">
        <v>1892</v>
      </c>
      <c r="E1547" s="1">
        <v>9031</v>
      </c>
      <c r="F1547" s="1">
        <v>600</v>
      </c>
      <c r="G1547" s="1" t="s">
        <v>170</v>
      </c>
      <c r="H1547" s="234">
        <v>1.65</v>
      </c>
      <c r="I1547" s="235">
        <f t="shared" si="137"/>
        <v>990</v>
      </c>
      <c r="K1547" s="250">
        <f>1.4929*600</f>
        <v>895.7399999999999</v>
      </c>
      <c r="L1547" s="237">
        <v>41348</v>
      </c>
      <c r="M1547" s="1" t="s">
        <v>5561</v>
      </c>
      <c r="N1547" s="235">
        <f t="shared" si="135"/>
        <v>990</v>
      </c>
      <c r="O1547" s="235">
        <f t="shared" si="138"/>
        <v>0</v>
      </c>
      <c r="P1547" s="238" t="s">
        <v>5576</v>
      </c>
      <c r="Q1547" s="1" t="s">
        <v>5577</v>
      </c>
      <c r="R1547" s="239" t="s">
        <v>5578</v>
      </c>
      <c r="S1547" s="238" t="s">
        <v>5579</v>
      </c>
      <c r="T1547" s="238" t="s">
        <v>5580</v>
      </c>
      <c r="AB1547" s="1" t="s">
        <v>1561</v>
      </c>
    </row>
    <row r="1548" spans="1:28">
      <c r="A1548" s="233">
        <v>41348</v>
      </c>
      <c r="B1548" s="5" t="s">
        <v>2565</v>
      </c>
      <c r="C1548" s="1" t="s">
        <v>2827</v>
      </c>
      <c r="D1548" s="1" t="s">
        <v>1219</v>
      </c>
      <c r="E1548" s="1" t="s">
        <v>5831</v>
      </c>
      <c r="F1548" s="1">
        <v>400</v>
      </c>
      <c r="G1548" s="1" t="s">
        <v>5568</v>
      </c>
      <c r="H1548" s="234">
        <v>4.3</v>
      </c>
      <c r="I1548" s="235">
        <f t="shared" si="137"/>
        <v>1720</v>
      </c>
      <c r="K1548" s="250">
        <f>3.6*300+100*3.96</f>
        <v>1476</v>
      </c>
      <c r="L1548" s="237">
        <v>41391</v>
      </c>
      <c r="M1548" s="1" t="s">
        <v>165</v>
      </c>
      <c r="N1548" s="235">
        <f t="shared" si="135"/>
        <v>1720</v>
      </c>
      <c r="O1548" s="235">
        <f t="shared" si="138"/>
        <v>0</v>
      </c>
      <c r="P1548" s="238" t="s">
        <v>5581</v>
      </c>
      <c r="Q1548" s="1" t="s">
        <v>3647</v>
      </c>
      <c r="R1548" s="247" t="s">
        <v>2567</v>
      </c>
      <c r="S1548" s="246" t="s">
        <v>2568</v>
      </c>
      <c r="T1548" s="246" t="s">
        <v>3694</v>
      </c>
      <c r="U1548" s="238" t="s">
        <v>5587</v>
      </c>
      <c r="V1548" s="238" t="s">
        <v>175</v>
      </c>
      <c r="AB1548" s="1" t="s">
        <v>1561</v>
      </c>
    </row>
    <row r="1549" spans="1:28">
      <c r="A1549" s="233">
        <v>41348</v>
      </c>
      <c r="B1549" s="1" t="s">
        <v>4771</v>
      </c>
      <c r="C1549" s="1" t="s">
        <v>2827</v>
      </c>
      <c r="D1549" s="1" t="s">
        <v>34</v>
      </c>
      <c r="E1549" s="1">
        <v>12235</v>
      </c>
      <c r="F1549" s="1">
        <v>20</v>
      </c>
      <c r="G1549" s="1" t="s">
        <v>5555</v>
      </c>
      <c r="H1549" s="234">
        <v>42</v>
      </c>
      <c r="I1549" s="235">
        <f>F1549*H1549</f>
        <v>840</v>
      </c>
      <c r="K1549" s="250">
        <f>40.2*20</f>
        <v>804</v>
      </c>
      <c r="L1549" s="237">
        <v>41348</v>
      </c>
      <c r="M1549" s="1" t="s">
        <v>2829</v>
      </c>
      <c r="N1549" s="235">
        <f t="shared" si="135"/>
        <v>840</v>
      </c>
      <c r="O1549" s="235">
        <f t="shared" ref="O1549:O1556" si="139">I1549-N1549</f>
        <v>0</v>
      </c>
      <c r="P1549" s="238" t="s">
        <v>5564</v>
      </c>
      <c r="Q1549" s="1" t="s">
        <v>5320</v>
      </c>
      <c r="R1549" s="239" t="s">
        <v>5556</v>
      </c>
      <c r="S1549" s="238" t="s">
        <v>5557</v>
      </c>
      <c r="T1549" s="238" t="s">
        <v>5558</v>
      </c>
      <c r="U1549" s="238" t="s">
        <v>5559</v>
      </c>
      <c r="AB1549" s="5" t="s">
        <v>2826</v>
      </c>
    </row>
    <row r="1550" spans="1:28">
      <c r="A1550" s="233">
        <v>41351</v>
      </c>
      <c r="B1550" s="1" t="s">
        <v>2123</v>
      </c>
      <c r="C1550" s="1" t="s">
        <v>162</v>
      </c>
      <c r="D1550" s="1" t="s">
        <v>240</v>
      </c>
      <c r="E1550" s="1">
        <v>6200</v>
      </c>
      <c r="F1550" s="5">
        <v>1</v>
      </c>
      <c r="G1550" s="1" t="s">
        <v>170</v>
      </c>
      <c r="H1550" s="234">
        <v>59</v>
      </c>
      <c r="I1550" s="236">
        <f>H1550*F1550</f>
        <v>59</v>
      </c>
      <c r="K1550" s="250">
        <f>44.5*1</f>
        <v>44.5</v>
      </c>
      <c r="L1550" s="237">
        <v>41351</v>
      </c>
      <c r="M1550" s="1" t="s">
        <v>698</v>
      </c>
      <c r="N1550" s="235">
        <f t="shared" si="135"/>
        <v>59</v>
      </c>
      <c r="O1550" s="235">
        <f t="shared" si="139"/>
        <v>0</v>
      </c>
      <c r="P1550" s="238" t="s">
        <v>5594</v>
      </c>
      <c r="Q1550" s="1" t="s">
        <v>391</v>
      </c>
      <c r="R1550" s="239" t="s">
        <v>2121</v>
      </c>
      <c r="S1550" s="238" t="s">
        <v>2656</v>
      </c>
      <c r="T1550" s="238" t="s">
        <v>2657</v>
      </c>
      <c r="V1550" s="238" t="s">
        <v>175</v>
      </c>
      <c r="AB1550" s="1" t="s">
        <v>1561</v>
      </c>
    </row>
    <row r="1551" spans="1:28">
      <c r="A1551" s="233">
        <v>41351</v>
      </c>
      <c r="B1551" s="1" t="s">
        <v>2123</v>
      </c>
      <c r="C1551" s="1" t="s">
        <v>162</v>
      </c>
      <c r="D1551" s="1" t="s">
        <v>353</v>
      </c>
      <c r="E1551" s="1" t="s">
        <v>145</v>
      </c>
      <c r="F1551" s="5">
        <v>2</v>
      </c>
      <c r="G1551" s="1" t="s">
        <v>229</v>
      </c>
      <c r="H1551" s="234">
        <v>22</v>
      </c>
      <c r="I1551" s="236">
        <f>H1551*F1551</f>
        <v>44</v>
      </c>
      <c r="K1551" s="250">
        <f>17.25*2</f>
        <v>34.5</v>
      </c>
      <c r="L1551" s="237">
        <v>41351</v>
      </c>
      <c r="M1551" s="1" t="s">
        <v>698</v>
      </c>
      <c r="N1551" s="235">
        <f t="shared" si="135"/>
        <v>44</v>
      </c>
      <c r="O1551" s="235">
        <f t="shared" si="139"/>
        <v>0</v>
      </c>
      <c r="P1551" s="238" t="s">
        <v>5594</v>
      </c>
      <c r="Q1551" s="1" t="s">
        <v>391</v>
      </c>
      <c r="R1551" s="239" t="s">
        <v>2121</v>
      </c>
      <c r="S1551" s="238" t="s">
        <v>2656</v>
      </c>
      <c r="T1551" s="238" t="s">
        <v>2657</v>
      </c>
      <c r="V1551" s="238" t="s">
        <v>175</v>
      </c>
      <c r="AB1551" s="1" t="s">
        <v>1561</v>
      </c>
    </row>
    <row r="1552" spans="1:28">
      <c r="A1552" s="233">
        <v>41351</v>
      </c>
      <c r="B1552" s="1" t="s">
        <v>2123</v>
      </c>
      <c r="C1552" s="1" t="s">
        <v>162</v>
      </c>
      <c r="D1552" s="1" t="s">
        <v>232</v>
      </c>
      <c r="E1552" s="1" t="s">
        <v>194</v>
      </c>
      <c r="F1552" s="5">
        <v>2</v>
      </c>
      <c r="G1552" s="1" t="s">
        <v>231</v>
      </c>
      <c r="H1552" s="234">
        <v>7</v>
      </c>
      <c r="I1552" s="236">
        <f>H1552*F1552</f>
        <v>14</v>
      </c>
      <c r="K1552" s="250">
        <f>4.75*2</f>
        <v>9.5</v>
      </c>
      <c r="L1552" s="237">
        <v>41351</v>
      </c>
      <c r="M1552" s="1" t="s">
        <v>698</v>
      </c>
      <c r="N1552" s="235">
        <f t="shared" si="135"/>
        <v>14</v>
      </c>
      <c r="O1552" s="235">
        <f t="shared" si="139"/>
        <v>0</v>
      </c>
      <c r="P1552" s="238" t="s">
        <v>5594</v>
      </c>
      <c r="Q1552" s="1" t="s">
        <v>391</v>
      </c>
      <c r="R1552" s="239" t="s">
        <v>2121</v>
      </c>
      <c r="S1552" s="238" t="s">
        <v>2656</v>
      </c>
      <c r="T1552" s="238" t="s">
        <v>2657</v>
      </c>
      <c r="V1552" s="238" t="s">
        <v>175</v>
      </c>
      <c r="AB1552" s="1" t="s">
        <v>1561</v>
      </c>
    </row>
    <row r="1553" spans="1:28">
      <c r="A1553" s="233">
        <v>41351</v>
      </c>
      <c r="B1553" s="1" t="s">
        <v>2123</v>
      </c>
      <c r="C1553" s="1" t="s">
        <v>162</v>
      </c>
      <c r="D1553" s="1" t="s">
        <v>263</v>
      </c>
      <c r="E1553" s="1">
        <v>501</v>
      </c>
      <c r="F1553" s="5">
        <v>2</v>
      </c>
      <c r="G1553" s="1" t="s">
        <v>229</v>
      </c>
      <c r="H1553" s="234">
        <v>1.5</v>
      </c>
      <c r="I1553" s="236">
        <f>H1553*F1553</f>
        <v>3</v>
      </c>
      <c r="K1553" s="250">
        <f>1.39*2</f>
        <v>2.78</v>
      </c>
      <c r="L1553" s="237">
        <v>41351</v>
      </c>
      <c r="M1553" s="1" t="s">
        <v>698</v>
      </c>
      <c r="N1553" s="235">
        <f t="shared" si="135"/>
        <v>3</v>
      </c>
      <c r="O1553" s="235">
        <f t="shared" si="139"/>
        <v>0</v>
      </c>
      <c r="P1553" s="238" t="s">
        <v>5594</v>
      </c>
      <c r="Q1553" s="1" t="s">
        <v>391</v>
      </c>
      <c r="R1553" s="239" t="s">
        <v>2121</v>
      </c>
      <c r="S1553" s="238" t="s">
        <v>2656</v>
      </c>
      <c r="T1553" s="238" t="s">
        <v>2657</v>
      </c>
      <c r="V1553" s="238" t="s">
        <v>175</v>
      </c>
      <c r="AB1553" s="1" t="s">
        <v>1561</v>
      </c>
    </row>
    <row r="1554" spans="1:28">
      <c r="A1554" s="233">
        <v>41351</v>
      </c>
      <c r="B1554" s="1" t="s">
        <v>5600</v>
      </c>
      <c r="C1554" s="1" t="s">
        <v>162</v>
      </c>
      <c r="D1554" s="5" t="s">
        <v>664</v>
      </c>
      <c r="E1554" s="1">
        <v>8246</v>
      </c>
      <c r="F1554" s="5">
        <v>400</v>
      </c>
      <c r="G1554" s="1" t="s">
        <v>5603</v>
      </c>
      <c r="H1554" s="234">
        <v>19.8</v>
      </c>
      <c r="I1554" s="235">
        <f t="shared" ref="I1554:I1560" si="140">F1554*H1554</f>
        <v>7920</v>
      </c>
      <c r="K1554" s="250">
        <f>12*400</f>
        <v>4800</v>
      </c>
      <c r="L1554" s="237">
        <v>41386</v>
      </c>
      <c r="M1554" s="1" t="s">
        <v>166</v>
      </c>
      <c r="N1554" s="235">
        <f>I1554</f>
        <v>7920</v>
      </c>
      <c r="O1554" s="235">
        <f t="shared" si="139"/>
        <v>0</v>
      </c>
      <c r="P1554" s="238" t="s">
        <v>5604</v>
      </c>
      <c r="Q1554" s="1" t="s">
        <v>5605</v>
      </c>
      <c r="R1554" s="239" t="s">
        <v>167</v>
      </c>
      <c r="S1554" s="238" t="s">
        <v>167</v>
      </c>
      <c r="T1554" s="238" t="s">
        <v>167</v>
      </c>
      <c r="U1554" s="238" t="s">
        <v>167</v>
      </c>
      <c r="V1554" s="238" t="s">
        <v>5606</v>
      </c>
      <c r="W1554" s="236">
        <v>7920</v>
      </c>
      <c r="AA1554" s="282" t="s">
        <v>5608</v>
      </c>
      <c r="AB1554" s="1" t="s">
        <v>5609</v>
      </c>
    </row>
    <row r="1555" spans="1:28">
      <c r="A1555" s="233">
        <v>41351</v>
      </c>
      <c r="B1555" s="1" t="s">
        <v>5600</v>
      </c>
      <c r="C1555" s="1" t="s">
        <v>162</v>
      </c>
      <c r="D1555" s="5" t="s">
        <v>2014</v>
      </c>
      <c r="E1555" s="1">
        <v>7502</v>
      </c>
      <c r="F1555" s="5">
        <v>5</v>
      </c>
      <c r="G1555" s="1" t="s">
        <v>5603</v>
      </c>
      <c r="H1555" s="234">
        <v>189</v>
      </c>
      <c r="I1555" s="236">
        <f t="shared" si="140"/>
        <v>945</v>
      </c>
      <c r="K1555" s="250">
        <f>110*5</f>
        <v>550</v>
      </c>
      <c r="L1555" s="237">
        <v>41386</v>
      </c>
      <c r="M1555" s="1" t="s">
        <v>166</v>
      </c>
      <c r="N1555" s="235">
        <f>I1555</f>
        <v>945</v>
      </c>
      <c r="O1555" s="235">
        <f t="shared" si="139"/>
        <v>0</v>
      </c>
      <c r="P1555" s="238" t="s">
        <v>5604</v>
      </c>
      <c r="Q1555" s="1" t="s">
        <v>5605</v>
      </c>
      <c r="R1555" s="239" t="s">
        <v>167</v>
      </c>
      <c r="S1555" s="238" t="s">
        <v>167</v>
      </c>
      <c r="T1555" s="238" t="s">
        <v>167</v>
      </c>
      <c r="U1555" s="238" t="s">
        <v>167</v>
      </c>
      <c r="V1555" s="238" t="s">
        <v>5607</v>
      </c>
      <c r="W1555" s="236">
        <v>4425</v>
      </c>
      <c r="AA1555" s="282" t="s">
        <v>5608</v>
      </c>
      <c r="AB1555" s="1" t="s">
        <v>5609</v>
      </c>
    </row>
    <row r="1556" spans="1:28">
      <c r="A1556" s="233">
        <v>41351</v>
      </c>
      <c r="B1556" s="1" t="s">
        <v>5600</v>
      </c>
      <c r="C1556" s="1" t="s">
        <v>162</v>
      </c>
      <c r="D1556" s="5" t="s">
        <v>273</v>
      </c>
      <c r="E1556" s="1" t="s">
        <v>5601</v>
      </c>
      <c r="F1556" s="5">
        <v>60</v>
      </c>
      <c r="G1556" s="1" t="s">
        <v>170</v>
      </c>
      <c r="H1556" s="234">
        <v>58</v>
      </c>
      <c r="I1556" s="235">
        <f t="shared" si="140"/>
        <v>3480</v>
      </c>
      <c r="K1556" s="250">
        <f>31.7*60</f>
        <v>1902</v>
      </c>
      <c r="L1556" s="237">
        <v>41386</v>
      </c>
      <c r="M1556" s="1" t="s">
        <v>166</v>
      </c>
      <c r="N1556" s="235">
        <f>I1556</f>
        <v>3480</v>
      </c>
      <c r="O1556" s="235">
        <f t="shared" si="139"/>
        <v>0</v>
      </c>
      <c r="P1556" s="238" t="s">
        <v>5604</v>
      </c>
      <c r="Q1556" s="1" t="s">
        <v>5605</v>
      </c>
      <c r="R1556" s="239" t="s">
        <v>167</v>
      </c>
      <c r="S1556" s="238" t="s">
        <v>167</v>
      </c>
      <c r="T1556" s="238" t="s">
        <v>167</v>
      </c>
      <c r="U1556" s="238" t="s">
        <v>167</v>
      </c>
      <c r="V1556" s="238" t="s">
        <v>5607</v>
      </c>
      <c r="W1556" s="236">
        <v>4425</v>
      </c>
      <c r="AA1556" s="282" t="s">
        <v>5608</v>
      </c>
      <c r="AB1556" s="1" t="s">
        <v>5609</v>
      </c>
    </row>
    <row r="1557" spans="1:28">
      <c r="A1557" s="233">
        <v>41351</v>
      </c>
      <c r="B1557" s="1" t="s">
        <v>3381</v>
      </c>
      <c r="C1557" s="1" t="s">
        <v>162</v>
      </c>
      <c r="D1557" s="5" t="s">
        <v>4769</v>
      </c>
      <c r="E1557" s="1">
        <v>2078</v>
      </c>
      <c r="F1557" s="1">
        <v>200</v>
      </c>
      <c r="G1557" s="1" t="s">
        <v>231</v>
      </c>
      <c r="H1557" s="234">
        <v>13.23</v>
      </c>
      <c r="I1557" s="235">
        <f t="shared" si="140"/>
        <v>2646</v>
      </c>
      <c r="K1557" s="250">
        <f>10.7*200</f>
        <v>2140</v>
      </c>
      <c r="L1557" s="237">
        <v>41333</v>
      </c>
      <c r="M1557" s="1" t="s">
        <v>5411</v>
      </c>
      <c r="N1557" s="235">
        <f t="shared" si="135"/>
        <v>2646</v>
      </c>
      <c r="O1557" s="235">
        <f>I1557-N1557</f>
        <v>0</v>
      </c>
      <c r="P1557" s="238" t="s">
        <v>5602</v>
      </c>
      <c r="Q1557" s="1" t="s">
        <v>5610</v>
      </c>
      <c r="R1557" s="239" t="s">
        <v>5378</v>
      </c>
      <c r="S1557" s="238" t="s">
        <v>3383</v>
      </c>
      <c r="T1557" s="238" t="s">
        <v>3174</v>
      </c>
      <c r="U1557" s="238" t="s">
        <v>5611</v>
      </c>
      <c r="V1557" s="238" t="s">
        <v>6026</v>
      </c>
      <c r="W1557" s="236">
        <v>6912</v>
      </c>
      <c r="X1557" s="233">
        <v>41371</v>
      </c>
      <c r="Y1557" s="238" t="s">
        <v>6027</v>
      </c>
      <c r="AB1557" s="1" t="s">
        <v>1561</v>
      </c>
    </row>
    <row r="1558" spans="1:28">
      <c r="A1558" s="233">
        <v>41351</v>
      </c>
      <c r="B1558" s="1" t="s">
        <v>5591</v>
      </c>
      <c r="C1558" s="1" t="s">
        <v>188</v>
      </c>
      <c r="D1558" s="333" t="s">
        <v>4978</v>
      </c>
      <c r="E1558" s="1" t="s">
        <v>5592</v>
      </c>
      <c r="F1558" s="1">
        <v>60</v>
      </c>
      <c r="G1558" s="1" t="s">
        <v>5593</v>
      </c>
      <c r="H1558" s="234">
        <v>14.62</v>
      </c>
      <c r="I1558" s="235">
        <f t="shared" si="140"/>
        <v>877.19999999999993</v>
      </c>
      <c r="K1558" s="250">
        <f>14.15*60</f>
        <v>849</v>
      </c>
      <c r="L1558" s="237">
        <v>41403</v>
      </c>
      <c r="M1558" s="1" t="s">
        <v>166</v>
      </c>
      <c r="N1558" s="235">
        <f t="shared" si="135"/>
        <v>877.19999999999993</v>
      </c>
      <c r="O1558" s="235">
        <f>I1558-N1558</f>
        <v>0</v>
      </c>
      <c r="P1558" s="238" t="s">
        <v>6643</v>
      </c>
      <c r="Q1558" s="5" t="s">
        <v>5617</v>
      </c>
      <c r="R1558" s="239" t="s">
        <v>167</v>
      </c>
      <c r="S1558" s="238" t="s">
        <v>167</v>
      </c>
      <c r="T1558" s="238" t="s">
        <v>167</v>
      </c>
      <c r="U1558" s="238" t="s">
        <v>167</v>
      </c>
      <c r="AB1558" s="5" t="s">
        <v>1561</v>
      </c>
    </row>
    <row r="1559" spans="1:28">
      <c r="A1559" s="233">
        <v>41352</v>
      </c>
      <c r="B1559" s="1" t="s">
        <v>5628</v>
      </c>
      <c r="C1559" s="1" t="s">
        <v>162</v>
      </c>
      <c r="D1559" s="1" t="s">
        <v>2022</v>
      </c>
      <c r="E1559" s="1">
        <v>8511</v>
      </c>
      <c r="F1559" s="1">
        <v>10</v>
      </c>
      <c r="G1559" s="1" t="s">
        <v>5616</v>
      </c>
      <c r="H1559" s="234">
        <v>12</v>
      </c>
      <c r="I1559" s="235">
        <f t="shared" si="140"/>
        <v>120</v>
      </c>
      <c r="K1559" s="282">
        <f>8.05*10</f>
        <v>80.5</v>
      </c>
      <c r="L1559" s="237">
        <v>41354</v>
      </c>
      <c r="M1559" s="1" t="s">
        <v>165</v>
      </c>
      <c r="N1559" s="235">
        <f t="shared" si="135"/>
        <v>120</v>
      </c>
      <c r="O1559" s="235">
        <f t="shared" ref="O1559:O1575" si="141">I1559-N1559</f>
        <v>0</v>
      </c>
      <c r="P1559" s="238" t="s">
        <v>5630</v>
      </c>
      <c r="Q1559" s="5" t="s">
        <v>726</v>
      </c>
      <c r="R1559" s="239" t="s">
        <v>5631</v>
      </c>
      <c r="S1559" s="238" t="s">
        <v>5632</v>
      </c>
      <c r="T1559" s="238" t="s">
        <v>5633</v>
      </c>
      <c r="U1559" s="238" t="s">
        <v>5634</v>
      </c>
      <c r="V1559" s="238" t="s">
        <v>6072</v>
      </c>
      <c r="Z1559" s="255" t="s">
        <v>5635</v>
      </c>
      <c r="AB1559" s="5" t="s">
        <v>2064</v>
      </c>
    </row>
    <row r="1560" spans="1:28">
      <c r="A1560" s="233">
        <v>41352</v>
      </c>
      <c r="B1560" s="1" t="s">
        <v>5615</v>
      </c>
      <c r="C1560" s="1" t="s">
        <v>162</v>
      </c>
      <c r="D1560" s="5" t="s">
        <v>51</v>
      </c>
      <c r="E1560" s="1">
        <v>9032</v>
      </c>
      <c r="F1560" s="1">
        <v>150</v>
      </c>
      <c r="G1560" s="1" t="s">
        <v>5616</v>
      </c>
      <c r="H1560" s="234">
        <v>1.62</v>
      </c>
      <c r="I1560" s="235">
        <f t="shared" si="140"/>
        <v>243.00000000000003</v>
      </c>
      <c r="K1560" s="250">
        <f>1.4929*150</f>
        <v>223.93499999999997</v>
      </c>
      <c r="L1560" s="237">
        <v>41355</v>
      </c>
      <c r="M1560" s="1" t="s">
        <v>5741</v>
      </c>
      <c r="N1560" s="235">
        <f t="shared" si="135"/>
        <v>243.00000000000003</v>
      </c>
      <c r="O1560" s="235">
        <f t="shared" si="141"/>
        <v>0</v>
      </c>
      <c r="P1560" s="238" t="s">
        <v>5623</v>
      </c>
      <c r="Q1560" s="1" t="s">
        <v>726</v>
      </c>
      <c r="R1560" s="239" t="s">
        <v>5624</v>
      </c>
      <c r="S1560" s="238" t="s">
        <v>5625</v>
      </c>
      <c r="T1560" s="238" t="s">
        <v>5626</v>
      </c>
      <c r="U1560" s="238" t="s">
        <v>5627</v>
      </c>
      <c r="AB1560" s="1" t="s">
        <v>1561</v>
      </c>
    </row>
    <row r="1561" spans="1:28">
      <c r="A1561" s="233">
        <v>41352</v>
      </c>
      <c r="B1561" s="1" t="s">
        <v>2309</v>
      </c>
      <c r="C1561" s="1" t="s">
        <v>162</v>
      </c>
      <c r="D1561" s="5" t="s">
        <v>983</v>
      </c>
      <c r="E1561" s="1">
        <v>6800</v>
      </c>
      <c r="F1561" s="1">
        <v>1</v>
      </c>
      <c r="G1561" s="1" t="s">
        <v>5616</v>
      </c>
      <c r="H1561" s="234">
        <v>458</v>
      </c>
      <c r="I1561" s="235">
        <f t="shared" ref="I1561:I1567" si="142">H1561*F1561</f>
        <v>458</v>
      </c>
      <c r="J1561" s="409">
        <v>458</v>
      </c>
      <c r="K1561" s="250">
        <f>430*1</f>
        <v>430</v>
      </c>
      <c r="L1561" s="237">
        <v>41352</v>
      </c>
      <c r="M1561" s="1" t="s">
        <v>166</v>
      </c>
      <c r="N1561" s="235">
        <f t="shared" si="135"/>
        <v>458</v>
      </c>
      <c r="O1561" s="235">
        <f t="shared" si="141"/>
        <v>0</v>
      </c>
      <c r="P1561" s="238" t="s">
        <v>5638</v>
      </c>
      <c r="Q1561" s="1" t="s">
        <v>1562</v>
      </c>
      <c r="R1561" s="239" t="s">
        <v>3148</v>
      </c>
      <c r="S1561" s="238" t="s">
        <v>3149</v>
      </c>
      <c r="T1561" s="239" t="s">
        <v>167</v>
      </c>
      <c r="U1561" s="239" t="s">
        <v>167</v>
      </c>
      <c r="V1561" s="238" t="s">
        <v>6986</v>
      </c>
      <c r="W1561" s="236">
        <v>39344.81</v>
      </c>
      <c r="X1561" s="233">
        <v>41416</v>
      </c>
      <c r="Y1561" s="238" t="s">
        <v>1562</v>
      </c>
      <c r="AB1561" s="1" t="s">
        <v>1561</v>
      </c>
    </row>
    <row r="1562" spans="1:28">
      <c r="A1562" s="233">
        <v>41352</v>
      </c>
      <c r="B1562" s="1" t="s">
        <v>2309</v>
      </c>
      <c r="C1562" s="1" t="s">
        <v>162</v>
      </c>
      <c r="D1562" s="1" t="s">
        <v>273</v>
      </c>
      <c r="E1562" s="1" t="s">
        <v>5637</v>
      </c>
      <c r="F1562" s="1">
        <v>10</v>
      </c>
      <c r="G1562" s="1" t="s">
        <v>5616</v>
      </c>
      <c r="H1562" s="234">
        <v>35</v>
      </c>
      <c r="I1562" s="235">
        <f t="shared" si="142"/>
        <v>350</v>
      </c>
      <c r="J1562" s="409">
        <v>350</v>
      </c>
      <c r="K1562" s="250">
        <f>32*10</f>
        <v>320</v>
      </c>
      <c r="L1562" s="237">
        <v>41352</v>
      </c>
      <c r="M1562" s="1" t="s">
        <v>166</v>
      </c>
      <c r="N1562" s="235">
        <f t="shared" si="135"/>
        <v>350</v>
      </c>
      <c r="O1562" s="235">
        <f t="shared" si="141"/>
        <v>0</v>
      </c>
      <c r="P1562" s="238" t="s">
        <v>5638</v>
      </c>
      <c r="Q1562" s="1" t="s">
        <v>1562</v>
      </c>
      <c r="R1562" s="239" t="s">
        <v>3148</v>
      </c>
      <c r="S1562" s="238" t="s">
        <v>3149</v>
      </c>
      <c r="T1562" s="239" t="s">
        <v>167</v>
      </c>
      <c r="U1562" s="239" t="s">
        <v>167</v>
      </c>
      <c r="V1562" s="238" t="s">
        <v>6986</v>
      </c>
      <c r="W1562" s="236">
        <v>39344.81</v>
      </c>
      <c r="X1562" s="233">
        <v>41416</v>
      </c>
      <c r="Y1562" s="238" t="s">
        <v>1562</v>
      </c>
      <c r="AB1562" s="1" t="s">
        <v>1561</v>
      </c>
    </row>
    <row r="1563" spans="1:28">
      <c r="A1563" s="233">
        <v>41353</v>
      </c>
      <c r="B1563" s="1" t="s">
        <v>3254</v>
      </c>
      <c r="C1563" s="1" t="s">
        <v>162</v>
      </c>
      <c r="D1563" s="5" t="s">
        <v>2013</v>
      </c>
      <c r="E1563" s="1" t="s">
        <v>5618</v>
      </c>
      <c r="F1563" s="1">
        <v>10</v>
      </c>
      <c r="G1563" s="1" t="s">
        <v>5621</v>
      </c>
      <c r="H1563" s="234">
        <v>48</v>
      </c>
      <c r="I1563" s="236">
        <f t="shared" si="142"/>
        <v>480</v>
      </c>
      <c r="K1563" s="250">
        <f>33.111*10</f>
        <v>331.10999999999996</v>
      </c>
      <c r="L1563" s="237">
        <v>41353</v>
      </c>
      <c r="M1563" s="1" t="s">
        <v>165</v>
      </c>
      <c r="N1563" s="235">
        <f t="shared" si="135"/>
        <v>480</v>
      </c>
      <c r="O1563" s="235">
        <f t="shared" si="141"/>
        <v>0</v>
      </c>
      <c r="P1563" s="238" t="s">
        <v>5636</v>
      </c>
      <c r="Q1563" s="1" t="s">
        <v>3647</v>
      </c>
      <c r="R1563" s="239" t="s">
        <v>2147</v>
      </c>
      <c r="S1563" s="238" t="s">
        <v>3258</v>
      </c>
      <c r="T1563" s="238" t="s">
        <v>2149</v>
      </c>
      <c r="U1563" s="238" t="s">
        <v>5703</v>
      </c>
      <c r="V1563" s="238" t="s">
        <v>5962</v>
      </c>
      <c r="W1563" s="236">
        <v>1306</v>
      </c>
      <c r="X1563" s="233">
        <v>41366</v>
      </c>
      <c r="Y1563" s="238" t="s">
        <v>5964</v>
      </c>
      <c r="AB1563" s="1" t="s">
        <v>2064</v>
      </c>
    </row>
    <row r="1564" spans="1:28">
      <c r="A1564" s="233">
        <v>41353</v>
      </c>
      <c r="B1564" s="1" t="s">
        <v>3254</v>
      </c>
      <c r="C1564" s="1" t="s">
        <v>162</v>
      </c>
      <c r="D1564" s="65" t="s">
        <v>1566</v>
      </c>
      <c r="E1564" s="1" t="s">
        <v>5619</v>
      </c>
      <c r="F1564" s="1">
        <v>10</v>
      </c>
      <c r="G1564" s="1" t="s">
        <v>5621</v>
      </c>
      <c r="H1564" s="234">
        <v>58</v>
      </c>
      <c r="I1564" s="236">
        <f t="shared" si="142"/>
        <v>580</v>
      </c>
      <c r="K1564" s="250">
        <f>42.939*10</f>
        <v>429.39</v>
      </c>
      <c r="L1564" s="237">
        <v>41353</v>
      </c>
      <c r="M1564" s="1" t="s">
        <v>165</v>
      </c>
      <c r="N1564" s="235">
        <f t="shared" si="135"/>
        <v>580</v>
      </c>
      <c r="O1564" s="235">
        <f t="shared" si="141"/>
        <v>0</v>
      </c>
      <c r="P1564" s="238" t="s">
        <v>5636</v>
      </c>
      <c r="Q1564" s="1" t="s">
        <v>3647</v>
      </c>
      <c r="R1564" s="239" t="s">
        <v>2147</v>
      </c>
      <c r="S1564" s="238" t="s">
        <v>3258</v>
      </c>
      <c r="T1564" s="238" t="s">
        <v>2149</v>
      </c>
      <c r="U1564" s="238" t="s">
        <v>5703</v>
      </c>
      <c r="V1564" s="238" t="s">
        <v>5962</v>
      </c>
      <c r="W1564" s="236">
        <v>1306</v>
      </c>
      <c r="X1564" s="233">
        <v>41366</v>
      </c>
      <c r="Y1564" s="238" t="s">
        <v>5964</v>
      </c>
      <c r="AB1564" s="1" t="s">
        <v>2064</v>
      </c>
    </row>
    <row r="1565" spans="1:28">
      <c r="A1565" s="233">
        <v>41353</v>
      </c>
      <c r="B1565" s="1" t="s">
        <v>3254</v>
      </c>
      <c r="C1565" s="1" t="s">
        <v>162</v>
      </c>
      <c r="D1565" s="5" t="s">
        <v>182</v>
      </c>
      <c r="E1565" s="1" t="s">
        <v>2049</v>
      </c>
      <c r="F1565" s="1">
        <v>20</v>
      </c>
      <c r="G1565" s="1" t="s">
        <v>5622</v>
      </c>
      <c r="H1565" s="234">
        <v>2.2999999999999998</v>
      </c>
      <c r="I1565" s="236">
        <f t="shared" si="142"/>
        <v>46</v>
      </c>
      <c r="K1565" s="250">
        <f>1.24*20</f>
        <v>24.8</v>
      </c>
      <c r="L1565" s="237">
        <v>41353</v>
      </c>
      <c r="M1565" s="1" t="s">
        <v>165</v>
      </c>
      <c r="N1565" s="235">
        <f t="shared" si="135"/>
        <v>46</v>
      </c>
      <c r="O1565" s="235">
        <f t="shared" si="141"/>
        <v>0</v>
      </c>
      <c r="P1565" s="238" t="s">
        <v>5636</v>
      </c>
      <c r="Q1565" s="1" t="s">
        <v>3647</v>
      </c>
      <c r="R1565" s="239" t="s">
        <v>2147</v>
      </c>
      <c r="S1565" s="238" t="s">
        <v>3258</v>
      </c>
      <c r="T1565" s="238" t="s">
        <v>2149</v>
      </c>
      <c r="U1565" s="238" t="s">
        <v>5703</v>
      </c>
      <c r="V1565" s="238" t="s">
        <v>5962</v>
      </c>
      <c r="W1565" s="236">
        <v>1306</v>
      </c>
      <c r="X1565" s="233">
        <v>41366</v>
      </c>
      <c r="Y1565" s="238" t="s">
        <v>5964</v>
      </c>
      <c r="AB1565" s="1" t="s">
        <v>2064</v>
      </c>
    </row>
    <row r="1566" spans="1:28">
      <c r="A1566" s="233">
        <v>41353</v>
      </c>
      <c r="B1566" s="1" t="s">
        <v>3254</v>
      </c>
      <c r="C1566" s="1" t="s">
        <v>162</v>
      </c>
      <c r="D1566" s="1" t="s">
        <v>353</v>
      </c>
      <c r="E1566" s="1" t="s">
        <v>22</v>
      </c>
      <c r="F1566" s="1">
        <v>10</v>
      </c>
      <c r="G1566" s="1" t="s">
        <v>5616</v>
      </c>
      <c r="H1566" s="234">
        <v>18</v>
      </c>
      <c r="I1566" s="236">
        <f t="shared" si="142"/>
        <v>180</v>
      </c>
      <c r="K1566" s="250">
        <f>10.94*10</f>
        <v>109.39999999999999</v>
      </c>
      <c r="L1566" s="237">
        <v>41353</v>
      </c>
      <c r="M1566" s="1" t="s">
        <v>165</v>
      </c>
      <c r="N1566" s="235">
        <f t="shared" si="135"/>
        <v>180</v>
      </c>
      <c r="O1566" s="235">
        <f t="shared" si="141"/>
        <v>0</v>
      </c>
      <c r="P1566" s="238" t="s">
        <v>5636</v>
      </c>
      <c r="Q1566" s="1" t="s">
        <v>3647</v>
      </c>
      <c r="R1566" s="239" t="s">
        <v>2147</v>
      </c>
      <c r="S1566" s="238" t="s">
        <v>3258</v>
      </c>
      <c r="T1566" s="238" t="s">
        <v>2149</v>
      </c>
      <c r="U1566" s="238" t="s">
        <v>5703</v>
      </c>
      <c r="V1566" s="238" t="s">
        <v>5962</v>
      </c>
      <c r="W1566" s="236">
        <v>1306</v>
      </c>
      <c r="X1566" s="233">
        <v>41366</v>
      </c>
      <c r="Y1566" s="238" t="s">
        <v>5964</v>
      </c>
      <c r="AB1566" s="1" t="s">
        <v>2064</v>
      </c>
    </row>
    <row r="1567" spans="1:28">
      <c r="A1567" s="233">
        <v>41353</v>
      </c>
      <c r="B1567" s="1" t="s">
        <v>3254</v>
      </c>
      <c r="C1567" s="1" t="s">
        <v>162</v>
      </c>
      <c r="D1567" s="1" t="s">
        <v>268</v>
      </c>
      <c r="E1567" s="1" t="s">
        <v>5620</v>
      </c>
      <c r="F1567" s="1">
        <v>10</v>
      </c>
      <c r="G1567" s="1" t="s">
        <v>171</v>
      </c>
      <c r="H1567" s="234">
        <v>2</v>
      </c>
      <c r="I1567" s="236">
        <f t="shared" si="142"/>
        <v>20</v>
      </c>
      <c r="K1567" s="250">
        <f>1.17*10</f>
        <v>11.7</v>
      </c>
      <c r="L1567" s="237">
        <v>41353</v>
      </c>
      <c r="M1567" s="1" t="s">
        <v>165</v>
      </c>
      <c r="N1567" s="235">
        <f t="shared" si="135"/>
        <v>20</v>
      </c>
      <c r="O1567" s="235">
        <f t="shared" si="141"/>
        <v>0</v>
      </c>
      <c r="P1567" s="238" t="s">
        <v>5636</v>
      </c>
      <c r="Q1567" s="1" t="s">
        <v>3647</v>
      </c>
      <c r="R1567" s="239" t="s">
        <v>2147</v>
      </c>
      <c r="S1567" s="238" t="s">
        <v>3258</v>
      </c>
      <c r="T1567" s="238" t="s">
        <v>2149</v>
      </c>
      <c r="U1567" s="238" t="s">
        <v>5703</v>
      </c>
      <c r="V1567" s="238" t="s">
        <v>5962</v>
      </c>
      <c r="W1567" s="236">
        <v>1306</v>
      </c>
      <c r="X1567" s="233">
        <v>41366</v>
      </c>
      <c r="Y1567" s="238" t="s">
        <v>5964</v>
      </c>
      <c r="AB1567" s="1" t="s">
        <v>2064</v>
      </c>
    </row>
    <row r="1568" spans="1:28">
      <c r="A1568" s="233">
        <v>41353</v>
      </c>
      <c r="B1568" s="1" t="s">
        <v>5254</v>
      </c>
      <c r="C1568" s="1" t="s">
        <v>162</v>
      </c>
      <c r="D1568" s="1" t="s">
        <v>1210</v>
      </c>
      <c r="E1568" s="1">
        <v>3200</v>
      </c>
      <c r="F1568" s="1">
        <v>60</v>
      </c>
      <c r="G1568" s="1" t="s">
        <v>5527</v>
      </c>
      <c r="H1568" s="234">
        <v>26.5</v>
      </c>
      <c r="I1568" s="235">
        <f>F1568*H1568</f>
        <v>1590</v>
      </c>
      <c r="K1568" s="250">
        <f>23.94*60</f>
        <v>1436.4</v>
      </c>
      <c r="L1568" s="237">
        <v>41354</v>
      </c>
      <c r="M1568" s="1" t="s">
        <v>166</v>
      </c>
      <c r="N1568" s="235">
        <f t="shared" si="135"/>
        <v>1590</v>
      </c>
      <c r="O1568" s="235">
        <f t="shared" si="141"/>
        <v>0</v>
      </c>
      <c r="P1568" s="238" t="s">
        <v>5659</v>
      </c>
      <c r="Q1568" s="1" t="s">
        <v>3647</v>
      </c>
      <c r="R1568" s="239" t="s">
        <v>5256</v>
      </c>
      <c r="S1568" s="238" t="s">
        <v>5257</v>
      </c>
      <c r="T1568" s="238" t="s">
        <v>5255</v>
      </c>
      <c r="U1568" s="238" t="s">
        <v>5704</v>
      </c>
      <c r="V1568" s="238" t="s">
        <v>6162</v>
      </c>
      <c r="W1568" s="236">
        <v>41752</v>
      </c>
      <c r="X1568" s="233">
        <v>41376</v>
      </c>
      <c r="Y1568" s="238" t="s">
        <v>6163</v>
      </c>
      <c r="AB1568" s="1" t="s">
        <v>1561</v>
      </c>
    </row>
    <row r="1569" spans="1:28">
      <c r="A1569" s="233">
        <v>41353</v>
      </c>
      <c r="B1569" s="1" t="s">
        <v>5254</v>
      </c>
      <c r="C1569" s="1" t="s">
        <v>162</v>
      </c>
      <c r="D1569" s="5" t="s">
        <v>2012</v>
      </c>
      <c r="E1569" s="1" t="s">
        <v>5526</v>
      </c>
      <c r="F1569" s="1">
        <v>4000</v>
      </c>
      <c r="G1569" s="1" t="s">
        <v>5527</v>
      </c>
      <c r="H1569" s="234">
        <v>1.62</v>
      </c>
      <c r="I1569" s="235">
        <f>F1569*H1569</f>
        <v>6480</v>
      </c>
      <c r="K1569" s="250">
        <f>1.44*3500+1.48*500</f>
        <v>5780</v>
      </c>
      <c r="L1569" s="237">
        <v>41354</v>
      </c>
      <c r="M1569" s="1" t="s">
        <v>166</v>
      </c>
      <c r="N1569" s="235">
        <f t="shared" si="135"/>
        <v>6480</v>
      </c>
      <c r="O1569" s="235">
        <f t="shared" si="141"/>
        <v>0</v>
      </c>
      <c r="P1569" s="238" t="s">
        <v>5659</v>
      </c>
      <c r="Q1569" s="1" t="s">
        <v>3647</v>
      </c>
      <c r="R1569" s="239" t="s">
        <v>5256</v>
      </c>
      <c r="S1569" s="238" t="s">
        <v>5257</v>
      </c>
      <c r="T1569" s="238" t="s">
        <v>5255</v>
      </c>
      <c r="U1569" s="238" t="s">
        <v>5704</v>
      </c>
      <c r="V1569" s="238" t="s">
        <v>6162</v>
      </c>
      <c r="W1569" s="236">
        <v>41752</v>
      </c>
      <c r="X1569" s="233">
        <v>41376</v>
      </c>
      <c r="Y1569" s="238" t="s">
        <v>6163</v>
      </c>
      <c r="AB1569" s="1" t="s">
        <v>1561</v>
      </c>
    </row>
    <row r="1570" spans="1:28">
      <c r="A1570" s="233">
        <v>41353</v>
      </c>
      <c r="B1570" s="1" t="s">
        <v>5254</v>
      </c>
      <c r="C1570" s="1" t="s">
        <v>162</v>
      </c>
      <c r="D1570" s="5" t="s">
        <v>1717</v>
      </c>
      <c r="E1570" s="1">
        <v>10435</v>
      </c>
      <c r="F1570" s="1">
        <v>10</v>
      </c>
      <c r="G1570" s="1" t="s">
        <v>5528</v>
      </c>
      <c r="H1570" s="234">
        <v>15.8</v>
      </c>
      <c r="I1570" s="235">
        <f>F1570*H1570</f>
        <v>158</v>
      </c>
      <c r="K1570" s="282">
        <f>14.8*10</f>
        <v>148</v>
      </c>
      <c r="L1570" s="237">
        <v>41354</v>
      </c>
      <c r="M1570" s="1" t="s">
        <v>166</v>
      </c>
      <c r="N1570" s="235">
        <f t="shared" si="135"/>
        <v>158</v>
      </c>
      <c r="O1570" s="235">
        <f t="shared" si="141"/>
        <v>0</v>
      </c>
      <c r="P1570" s="238" t="s">
        <v>5659</v>
      </c>
      <c r="Q1570" s="1" t="s">
        <v>3647</v>
      </c>
      <c r="R1570" s="239" t="s">
        <v>5256</v>
      </c>
      <c r="S1570" s="238" t="s">
        <v>5257</v>
      </c>
      <c r="T1570" s="238" t="s">
        <v>5255</v>
      </c>
      <c r="U1570" s="238" t="s">
        <v>5704</v>
      </c>
      <c r="V1570" s="238" t="s">
        <v>6162</v>
      </c>
      <c r="W1570" s="236">
        <v>41752</v>
      </c>
      <c r="X1570" s="233">
        <v>41376</v>
      </c>
      <c r="Y1570" s="238" t="s">
        <v>6163</v>
      </c>
      <c r="Z1570" s="255" t="s">
        <v>5529</v>
      </c>
      <c r="AB1570" s="1" t="s">
        <v>1561</v>
      </c>
    </row>
    <row r="1571" spans="1:28">
      <c r="A1571" s="233">
        <v>41353</v>
      </c>
      <c r="B1571" s="1" t="s">
        <v>5254</v>
      </c>
      <c r="C1571" s="1" t="s">
        <v>7</v>
      </c>
      <c r="D1571" s="339" t="s">
        <v>4977</v>
      </c>
      <c r="E1571" s="1" t="s">
        <v>5656</v>
      </c>
      <c r="F1571" s="1">
        <v>50</v>
      </c>
      <c r="G1571" s="1" t="s">
        <v>5654</v>
      </c>
      <c r="H1571" s="234">
        <v>1.42</v>
      </c>
      <c r="I1571" s="235">
        <f>F1571*H1571</f>
        <v>71</v>
      </c>
      <c r="K1571" s="282">
        <v>0</v>
      </c>
      <c r="L1571" s="237">
        <v>41354</v>
      </c>
      <c r="M1571" s="1" t="s">
        <v>166</v>
      </c>
      <c r="N1571" s="235">
        <f t="shared" si="135"/>
        <v>71</v>
      </c>
      <c r="O1571" s="235">
        <f t="shared" si="141"/>
        <v>0</v>
      </c>
      <c r="P1571" s="238" t="s">
        <v>5659</v>
      </c>
      <c r="Q1571" s="1" t="s">
        <v>3647</v>
      </c>
      <c r="R1571" s="239" t="s">
        <v>5256</v>
      </c>
      <c r="S1571" s="238" t="s">
        <v>5257</v>
      </c>
      <c r="T1571" s="238" t="s">
        <v>5255</v>
      </c>
      <c r="U1571" s="238" t="s">
        <v>5704</v>
      </c>
      <c r="V1571" s="238" t="s">
        <v>6162</v>
      </c>
      <c r="W1571" s="236">
        <v>41752</v>
      </c>
      <c r="X1571" s="233">
        <v>41376</v>
      </c>
      <c r="Y1571" s="238" t="s">
        <v>6163</v>
      </c>
      <c r="Z1571" s="255" t="s">
        <v>6033</v>
      </c>
      <c r="AB1571" s="1" t="s">
        <v>1561</v>
      </c>
    </row>
    <row r="1572" spans="1:28">
      <c r="A1572" s="233">
        <v>41354</v>
      </c>
      <c r="B1572" s="1" t="s">
        <v>2309</v>
      </c>
      <c r="C1572" s="1" t="s">
        <v>162</v>
      </c>
      <c r="D1572" s="1" t="s">
        <v>1210</v>
      </c>
      <c r="E1572" s="1">
        <v>3200</v>
      </c>
      <c r="F1572" s="1">
        <v>15</v>
      </c>
      <c r="G1572" s="1" t="s">
        <v>170</v>
      </c>
      <c r="H1572" s="234">
        <v>26.5</v>
      </c>
      <c r="I1572" s="235">
        <f>H1572*F1572</f>
        <v>397.5</v>
      </c>
      <c r="J1572" s="409">
        <f>28.5*F1572</f>
        <v>427.5</v>
      </c>
      <c r="K1572" s="250">
        <f>23.94*15</f>
        <v>359.1</v>
      </c>
      <c r="L1572" s="237">
        <v>41354</v>
      </c>
      <c r="M1572" s="1" t="s">
        <v>5689</v>
      </c>
      <c r="N1572" s="235">
        <f t="shared" si="135"/>
        <v>397.5</v>
      </c>
      <c r="O1572" s="235">
        <f t="shared" si="141"/>
        <v>0</v>
      </c>
      <c r="P1572" s="238" t="s">
        <v>5690</v>
      </c>
      <c r="Q1572" s="1" t="s">
        <v>1562</v>
      </c>
      <c r="R1572" s="239" t="s">
        <v>3148</v>
      </c>
      <c r="S1572" s="238" t="s">
        <v>3149</v>
      </c>
      <c r="T1572" s="239" t="s">
        <v>167</v>
      </c>
      <c r="U1572" s="239" t="s">
        <v>167</v>
      </c>
      <c r="V1572" s="238" t="s">
        <v>6986</v>
      </c>
      <c r="W1572" s="236">
        <v>39344.81</v>
      </c>
      <c r="X1572" s="233">
        <v>41416</v>
      </c>
      <c r="Y1572" s="238" t="s">
        <v>1562</v>
      </c>
      <c r="AB1572" s="1" t="s">
        <v>1561</v>
      </c>
    </row>
    <row r="1573" spans="1:28">
      <c r="A1573" s="233">
        <v>41354</v>
      </c>
      <c r="B1573" s="1" t="s">
        <v>1569</v>
      </c>
      <c r="C1573" s="1" t="s">
        <v>162</v>
      </c>
      <c r="D1573" s="336" t="s">
        <v>593</v>
      </c>
      <c r="E1573" s="1">
        <v>3200</v>
      </c>
      <c r="F1573" s="1">
        <v>1</v>
      </c>
      <c r="G1573" s="1" t="s">
        <v>170</v>
      </c>
      <c r="H1573" s="234">
        <v>27</v>
      </c>
      <c r="I1573" s="235">
        <f>H1573*F1573</f>
        <v>27</v>
      </c>
      <c r="K1573" s="250">
        <f>23.94*1</f>
        <v>23.94</v>
      </c>
      <c r="L1573" s="237">
        <v>41411</v>
      </c>
      <c r="M1573" s="1" t="s">
        <v>166</v>
      </c>
      <c r="N1573" s="235">
        <f t="shared" si="135"/>
        <v>27</v>
      </c>
      <c r="O1573" s="235">
        <f t="shared" si="141"/>
        <v>0</v>
      </c>
      <c r="P1573" s="238" t="s">
        <v>5692</v>
      </c>
      <c r="Q1573" s="1" t="s">
        <v>1571</v>
      </c>
      <c r="R1573" s="239" t="s">
        <v>1570</v>
      </c>
      <c r="S1573" s="238">
        <v>13368068212</v>
      </c>
      <c r="T1573" s="238" t="s">
        <v>167</v>
      </c>
      <c r="U1573" s="238" t="s">
        <v>167</v>
      </c>
      <c r="V1573" s="238" t="s">
        <v>6540</v>
      </c>
      <c r="W1573" s="236">
        <v>33461.35</v>
      </c>
      <c r="X1573" s="233">
        <v>41390</v>
      </c>
      <c r="Y1573" s="238" t="s">
        <v>3866</v>
      </c>
      <c r="AB1573" s="5" t="s">
        <v>1561</v>
      </c>
    </row>
    <row r="1574" spans="1:28">
      <c r="A1574" s="233">
        <v>41354</v>
      </c>
      <c r="B1574" s="1" t="s">
        <v>1569</v>
      </c>
      <c r="C1574" s="1" t="s">
        <v>162</v>
      </c>
      <c r="D1574" s="5" t="s">
        <v>346</v>
      </c>
      <c r="E1574" s="1">
        <v>3700</v>
      </c>
      <c r="F1574" s="1">
        <v>11</v>
      </c>
      <c r="G1574" s="1" t="s">
        <v>170</v>
      </c>
      <c r="H1574" s="234">
        <v>3.48</v>
      </c>
      <c r="I1574" s="235">
        <f>H1574*F1574</f>
        <v>38.28</v>
      </c>
      <c r="K1574" s="250">
        <f>3.09*11</f>
        <v>33.989999999999995</v>
      </c>
      <c r="L1574" s="237">
        <v>41411</v>
      </c>
      <c r="M1574" s="1" t="s">
        <v>166</v>
      </c>
      <c r="N1574" s="235">
        <f t="shared" si="135"/>
        <v>38.28</v>
      </c>
      <c r="O1574" s="235">
        <f t="shared" si="141"/>
        <v>0</v>
      </c>
      <c r="P1574" s="238" t="s">
        <v>5692</v>
      </c>
      <c r="Q1574" s="1" t="s">
        <v>1571</v>
      </c>
      <c r="R1574" s="239" t="s">
        <v>1570</v>
      </c>
      <c r="S1574" s="238">
        <v>13368068212</v>
      </c>
      <c r="T1574" s="238" t="s">
        <v>167</v>
      </c>
      <c r="U1574" s="238" t="s">
        <v>167</v>
      </c>
      <c r="V1574" s="238" t="s">
        <v>6540</v>
      </c>
      <c r="W1574" s="236">
        <v>33461.35</v>
      </c>
      <c r="X1574" s="233">
        <v>41390</v>
      </c>
      <c r="Y1574" s="238" t="s">
        <v>3866</v>
      </c>
      <c r="AB1574" s="5" t="s">
        <v>1561</v>
      </c>
    </row>
    <row r="1575" spans="1:28">
      <c r="A1575" s="233">
        <v>41354</v>
      </c>
      <c r="B1575" s="1" t="s">
        <v>1569</v>
      </c>
      <c r="C1575" s="1" t="s">
        <v>162</v>
      </c>
      <c r="D1575" s="5" t="s">
        <v>182</v>
      </c>
      <c r="E1575" s="1" t="s">
        <v>186</v>
      </c>
      <c r="F1575" s="1">
        <v>500</v>
      </c>
      <c r="G1575" s="1" t="s">
        <v>5691</v>
      </c>
      <c r="H1575" s="234">
        <v>1.65</v>
      </c>
      <c r="I1575" s="235">
        <f>H1575*F1575</f>
        <v>825</v>
      </c>
      <c r="K1575" s="250">
        <f>1.54*500</f>
        <v>770</v>
      </c>
      <c r="L1575" s="237">
        <v>41411</v>
      </c>
      <c r="M1575" s="1" t="s">
        <v>166</v>
      </c>
      <c r="N1575" s="235">
        <f t="shared" si="135"/>
        <v>825</v>
      </c>
      <c r="O1575" s="235">
        <f t="shared" si="141"/>
        <v>0</v>
      </c>
      <c r="P1575" s="238" t="s">
        <v>5692</v>
      </c>
      <c r="Q1575" s="1" t="s">
        <v>1571</v>
      </c>
      <c r="R1575" s="239" t="s">
        <v>1570</v>
      </c>
      <c r="S1575" s="238">
        <v>13368068212</v>
      </c>
      <c r="T1575" s="238" t="s">
        <v>167</v>
      </c>
      <c r="U1575" s="238" t="s">
        <v>167</v>
      </c>
      <c r="V1575" s="238" t="s">
        <v>6540</v>
      </c>
      <c r="W1575" s="236">
        <v>33461.35</v>
      </c>
      <c r="X1575" s="233">
        <v>41390</v>
      </c>
      <c r="Y1575" s="238" t="s">
        <v>3866</v>
      </c>
      <c r="AB1575" s="5" t="s">
        <v>1561</v>
      </c>
    </row>
    <row r="1576" spans="1:28">
      <c r="A1576" s="233">
        <v>41354</v>
      </c>
      <c r="B1576" s="228" t="s">
        <v>1488</v>
      </c>
      <c r="C1576" s="1" t="s">
        <v>162</v>
      </c>
      <c r="D1576" s="5" t="s">
        <v>182</v>
      </c>
      <c r="E1576" s="1" t="s">
        <v>186</v>
      </c>
      <c r="F1576" s="1">
        <v>500</v>
      </c>
      <c r="G1576" s="1" t="s">
        <v>5691</v>
      </c>
      <c r="H1576" s="234">
        <v>1.65</v>
      </c>
      <c r="I1576" s="236">
        <f>H1576*F1576</f>
        <v>825</v>
      </c>
      <c r="K1576" s="250">
        <f>1.54*500</f>
        <v>770</v>
      </c>
      <c r="L1576" s="237">
        <v>41359</v>
      </c>
      <c r="M1576" s="1" t="s">
        <v>166</v>
      </c>
      <c r="N1576" s="235">
        <f t="shared" si="135"/>
        <v>825</v>
      </c>
      <c r="O1576" s="235">
        <f>I1576-N1576</f>
        <v>0</v>
      </c>
      <c r="P1576" s="238" t="s">
        <v>5693</v>
      </c>
      <c r="Q1576" s="1" t="s">
        <v>5724</v>
      </c>
      <c r="R1576" s="239" t="s">
        <v>4326</v>
      </c>
      <c r="S1576" s="238" t="s">
        <v>4327</v>
      </c>
      <c r="T1576" s="238" t="s">
        <v>1471</v>
      </c>
      <c r="U1576" s="238" t="s">
        <v>5725</v>
      </c>
      <c r="V1576" s="238" t="s">
        <v>6164</v>
      </c>
      <c r="W1576" s="236">
        <v>16862.8</v>
      </c>
      <c r="X1576" s="233">
        <v>41376</v>
      </c>
      <c r="Y1576" s="238" t="s">
        <v>6165</v>
      </c>
      <c r="AB1576" s="1" t="s">
        <v>1561</v>
      </c>
    </row>
    <row r="1577" spans="1:28">
      <c r="A1577" s="233">
        <v>41355</v>
      </c>
      <c r="B1577" s="1" t="s">
        <v>2528</v>
      </c>
      <c r="C1577" s="1" t="s">
        <v>162</v>
      </c>
      <c r="D1577" s="5" t="s">
        <v>2012</v>
      </c>
      <c r="E1577" s="1" t="s">
        <v>5746</v>
      </c>
      <c r="F1577" s="1">
        <v>500</v>
      </c>
      <c r="G1577" s="1" t="s">
        <v>5735</v>
      </c>
      <c r="H1577" s="234">
        <v>1.65</v>
      </c>
      <c r="I1577" s="235">
        <f t="shared" ref="I1577:I1582" si="143">F1577*H1577</f>
        <v>825</v>
      </c>
      <c r="K1577" s="250">
        <f>1.48*500</f>
        <v>740</v>
      </c>
      <c r="L1577" s="237">
        <v>41355</v>
      </c>
      <c r="M1577" s="1" t="s">
        <v>5748</v>
      </c>
      <c r="N1577" s="235">
        <f t="shared" si="135"/>
        <v>825</v>
      </c>
      <c r="O1577" s="235">
        <f>I1577-N1577</f>
        <v>0</v>
      </c>
      <c r="P1577" s="238" t="s">
        <v>5747</v>
      </c>
      <c r="Q1577" s="1" t="s">
        <v>1562</v>
      </c>
      <c r="R1577" s="239" t="s">
        <v>2819</v>
      </c>
      <c r="S1577" s="238" t="s">
        <v>2532</v>
      </c>
      <c r="T1577" s="238" t="s">
        <v>2533</v>
      </c>
      <c r="V1577" s="238" t="s">
        <v>2266</v>
      </c>
      <c r="AB1577" s="1" t="s">
        <v>1561</v>
      </c>
    </row>
    <row r="1578" spans="1:28">
      <c r="A1578" s="233">
        <v>41355</v>
      </c>
      <c r="B1578" s="1" t="s">
        <v>4646</v>
      </c>
      <c r="C1578" s="1" t="s">
        <v>162</v>
      </c>
      <c r="D1578" s="1" t="s">
        <v>1210</v>
      </c>
      <c r="E1578" s="1">
        <v>3200</v>
      </c>
      <c r="F1578" s="1">
        <v>20</v>
      </c>
      <c r="G1578" s="1" t="s">
        <v>170</v>
      </c>
      <c r="H1578" s="234">
        <v>29.51</v>
      </c>
      <c r="I1578" s="235">
        <f t="shared" si="143"/>
        <v>590.20000000000005</v>
      </c>
      <c r="K1578" s="250">
        <f>23.94*20</f>
        <v>478.8</v>
      </c>
      <c r="L1578" s="237">
        <v>41362</v>
      </c>
      <c r="M1578" s="1" t="s">
        <v>165</v>
      </c>
      <c r="N1578" s="235">
        <f t="shared" si="135"/>
        <v>590.20000000000005</v>
      </c>
      <c r="O1578" s="235">
        <f>I1578-N1578</f>
        <v>0</v>
      </c>
      <c r="P1578" s="238" t="s">
        <v>5739</v>
      </c>
      <c r="Q1578" s="1" t="s">
        <v>3600</v>
      </c>
      <c r="R1578" s="239" t="s">
        <v>4649</v>
      </c>
      <c r="S1578" s="238" t="s">
        <v>4650</v>
      </c>
      <c r="T1578" s="238" t="s">
        <v>5752</v>
      </c>
      <c r="U1578" s="238" t="s">
        <v>5753</v>
      </c>
      <c r="V1578" s="238" t="s">
        <v>5740</v>
      </c>
      <c r="W1578" s="236">
        <v>3400</v>
      </c>
      <c r="X1578" s="233">
        <v>41355</v>
      </c>
      <c r="Y1578" s="238" t="s">
        <v>6069</v>
      </c>
      <c r="AA1578" s="282" t="s">
        <v>2141</v>
      </c>
      <c r="AB1578" s="1" t="s">
        <v>1561</v>
      </c>
    </row>
    <row r="1579" spans="1:28">
      <c r="A1579" s="233">
        <v>41355</v>
      </c>
      <c r="B1579" s="1" t="s">
        <v>4646</v>
      </c>
      <c r="C1579" s="1" t="s">
        <v>162</v>
      </c>
      <c r="D1579" s="5" t="s">
        <v>346</v>
      </c>
      <c r="E1579" s="1">
        <v>3700</v>
      </c>
      <c r="F1579" s="1">
        <v>20</v>
      </c>
      <c r="G1579" s="1" t="s">
        <v>170</v>
      </c>
      <c r="H1579" s="234">
        <v>3.66</v>
      </c>
      <c r="I1579" s="235">
        <f t="shared" si="143"/>
        <v>73.2</v>
      </c>
      <c r="K1579" s="250">
        <f>3.09*20</f>
        <v>61.8</v>
      </c>
      <c r="L1579" s="237">
        <v>41362</v>
      </c>
      <c r="M1579" s="1" t="s">
        <v>165</v>
      </c>
      <c r="N1579" s="235">
        <f t="shared" si="135"/>
        <v>73.2</v>
      </c>
      <c r="O1579" s="235">
        <f>I1579-N1579</f>
        <v>0</v>
      </c>
      <c r="P1579" s="238" t="s">
        <v>5739</v>
      </c>
      <c r="Q1579" s="1" t="s">
        <v>3600</v>
      </c>
      <c r="R1579" s="239" t="s">
        <v>4649</v>
      </c>
      <c r="S1579" s="238" t="s">
        <v>4650</v>
      </c>
      <c r="T1579" s="238" t="s">
        <v>5752</v>
      </c>
      <c r="U1579" s="238" t="s">
        <v>5753</v>
      </c>
      <c r="V1579" s="238" t="s">
        <v>5740</v>
      </c>
      <c r="W1579" s="236">
        <v>3400</v>
      </c>
      <c r="X1579" s="233">
        <v>41355</v>
      </c>
      <c r="Y1579" s="238" t="s">
        <v>6069</v>
      </c>
      <c r="AA1579" s="282" t="s">
        <v>2141</v>
      </c>
      <c r="AB1579" s="1" t="s">
        <v>1561</v>
      </c>
    </row>
    <row r="1580" spans="1:28">
      <c r="A1580" s="233">
        <v>41355</v>
      </c>
      <c r="B1580" s="1" t="s">
        <v>4646</v>
      </c>
      <c r="C1580" s="1" t="s">
        <v>162</v>
      </c>
      <c r="D1580" s="1" t="s">
        <v>232</v>
      </c>
      <c r="E1580" s="1" t="s">
        <v>186</v>
      </c>
      <c r="F1580" s="1">
        <v>1020</v>
      </c>
      <c r="G1580" s="1" t="s">
        <v>171</v>
      </c>
      <c r="H1580" s="234">
        <v>1.83</v>
      </c>
      <c r="I1580" s="235">
        <f t="shared" si="143"/>
        <v>1866.6000000000001</v>
      </c>
      <c r="K1580" s="250">
        <f>1.54*1020</f>
        <v>1570.8</v>
      </c>
      <c r="L1580" s="237">
        <v>41362</v>
      </c>
      <c r="M1580" s="1" t="s">
        <v>165</v>
      </c>
      <c r="N1580" s="235">
        <f t="shared" si="135"/>
        <v>1866.6000000000001</v>
      </c>
      <c r="O1580" s="235">
        <f>I1580-N1580</f>
        <v>0</v>
      </c>
      <c r="P1580" s="238" t="s">
        <v>5739</v>
      </c>
      <c r="Q1580" s="1" t="s">
        <v>3600</v>
      </c>
      <c r="R1580" s="239" t="s">
        <v>4649</v>
      </c>
      <c r="S1580" s="238" t="s">
        <v>4650</v>
      </c>
      <c r="T1580" s="238" t="s">
        <v>5752</v>
      </c>
      <c r="U1580" s="238" t="s">
        <v>5753</v>
      </c>
      <c r="V1580" s="238" t="s">
        <v>5740</v>
      </c>
      <c r="W1580" s="236">
        <v>3400</v>
      </c>
      <c r="X1580" s="233">
        <v>41355</v>
      </c>
      <c r="Y1580" s="238" t="s">
        <v>6069</v>
      </c>
      <c r="AA1580" s="282" t="s">
        <v>2141</v>
      </c>
      <c r="AB1580" s="1" t="s">
        <v>1561</v>
      </c>
    </row>
    <row r="1581" spans="1:28">
      <c r="A1581" s="233">
        <v>41358</v>
      </c>
      <c r="B1581" s="1" t="s">
        <v>4111</v>
      </c>
      <c r="C1581" s="1" t="s">
        <v>162</v>
      </c>
      <c r="D1581" s="1" t="s">
        <v>5764</v>
      </c>
      <c r="E1581" s="1" t="s">
        <v>5763</v>
      </c>
      <c r="F1581" s="1">
        <v>1</v>
      </c>
      <c r="G1581" s="1" t="s">
        <v>5765</v>
      </c>
      <c r="H1581" s="234">
        <v>33.6</v>
      </c>
      <c r="I1581" s="235">
        <f t="shared" si="143"/>
        <v>33.6</v>
      </c>
      <c r="K1581" s="250">
        <f>27.144*1</f>
        <v>27.143999999999998</v>
      </c>
      <c r="L1581" s="237">
        <v>41358</v>
      </c>
      <c r="M1581" s="1" t="s">
        <v>698</v>
      </c>
      <c r="N1581" s="235">
        <f t="shared" si="135"/>
        <v>33.6</v>
      </c>
      <c r="O1581" s="235">
        <f t="shared" ref="O1581:O1593" si="144">I1581-N1581</f>
        <v>0</v>
      </c>
      <c r="P1581" s="238" t="s">
        <v>5766</v>
      </c>
      <c r="Q1581" s="1" t="s">
        <v>2505</v>
      </c>
      <c r="R1581" s="239" t="s">
        <v>4113</v>
      </c>
      <c r="S1581" s="238" t="s">
        <v>4114</v>
      </c>
      <c r="T1581" s="238" t="s">
        <v>4115</v>
      </c>
      <c r="V1581" s="238" t="s">
        <v>175</v>
      </c>
      <c r="AB1581" s="1" t="s">
        <v>1561</v>
      </c>
    </row>
    <row r="1582" spans="1:28">
      <c r="A1582" s="233">
        <v>41358</v>
      </c>
      <c r="B1582" s="1" t="s">
        <v>2528</v>
      </c>
      <c r="C1582" s="1" t="s">
        <v>162</v>
      </c>
      <c r="D1582" s="1" t="s">
        <v>353</v>
      </c>
      <c r="E1582" s="1" t="s">
        <v>5779</v>
      </c>
      <c r="F1582" s="1">
        <v>60</v>
      </c>
      <c r="G1582" s="1" t="s">
        <v>5735</v>
      </c>
      <c r="H1582" s="234">
        <v>12.93</v>
      </c>
      <c r="I1582" s="235">
        <f t="shared" si="143"/>
        <v>775.8</v>
      </c>
      <c r="K1582" s="250">
        <f>10.94*60</f>
        <v>656.4</v>
      </c>
      <c r="L1582" s="237">
        <v>41358</v>
      </c>
      <c r="M1582" s="1" t="s">
        <v>5781</v>
      </c>
      <c r="N1582" s="235">
        <f t="shared" si="135"/>
        <v>775.8</v>
      </c>
      <c r="O1582" s="235">
        <f t="shared" si="144"/>
        <v>0</v>
      </c>
      <c r="P1582" s="238" t="s">
        <v>5780</v>
      </c>
      <c r="Q1582" s="1" t="s">
        <v>1562</v>
      </c>
      <c r="R1582" s="239" t="s">
        <v>2819</v>
      </c>
      <c r="S1582" s="238" t="s">
        <v>2532</v>
      </c>
      <c r="T1582" s="238" t="s">
        <v>2533</v>
      </c>
      <c r="V1582" s="238" t="s">
        <v>2266</v>
      </c>
      <c r="AB1582" s="1" t="s">
        <v>1561</v>
      </c>
    </row>
    <row r="1583" spans="1:28">
      <c r="A1583" s="233">
        <v>41358</v>
      </c>
      <c r="B1583" s="1" t="s">
        <v>2309</v>
      </c>
      <c r="C1583" s="1" t="s">
        <v>162</v>
      </c>
      <c r="D1583" s="1" t="s">
        <v>1210</v>
      </c>
      <c r="E1583" s="1">
        <v>3200</v>
      </c>
      <c r="F1583" s="1">
        <v>5</v>
      </c>
      <c r="G1583" s="1" t="s">
        <v>170</v>
      </c>
      <c r="H1583" s="234">
        <v>26.5</v>
      </c>
      <c r="I1583" s="235">
        <f>H1583*F1583</f>
        <v>132.5</v>
      </c>
      <c r="J1583" s="409">
        <f>28.5*F1583</f>
        <v>142.5</v>
      </c>
      <c r="K1583" s="250">
        <f>23.94*5</f>
        <v>119.7</v>
      </c>
      <c r="L1583" s="237">
        <v>41358</v>
      </c>
      <c r="M1583" s="1" t="s">
        <v>166</v>
      </c>
      <c r="N1583" s="235">
        <f t="shared" si="135"/>
        <v>132.5</v>
      </c>
      <c r="O1583" s="235">
        <f t="shared" si="144"/>
        <v>0</v>
      </c>
      <c r="P1583" s="238" t="s">
        <v>5783</v>
      </c>
      <c r="Q1583" s="1" t="s">
        <v>1562</v>
      </c>
      <c r="R1583" s="239" t="s">
        <v>3148</v>
      </c>
      <c r="S1583" s="238" t="s">
        <v>3149</v>
      </c>
      <c r="T1583" s="239" t="s">
        <v>167</v>
      </c>
      <c r="U1583" s="239" t="s">
        <v>167</v>
      </c>
      <c r="V1583" s="238" t="s">
        <v>6986</v>
      </c>
      <c r="W1583" s="236">
        <v>39344.81</v>
      </c>
      <c r="X1583" s="233">
        <v>41416</v>
      </c>
      <c r="Y1583" s="238" t="s">
        <v>1562</v>
      </c>
      <c r="AB1583" s="1" t="s">
        <v>1561</v>
      </c>
    </row>
    <row r="1584" spans="1:28">
      <c r="A1584" s="233">
        <v>41358</v>
      </c>
      <c r="B1584" s="1" t="s">
        <v>2309</v>
      </c>
      <c r="C1584" s="1" t="s">
        <v>162</v>
      </c>
      <c r="D1584" s="338" t="s">
        <v>353</v>
      </c>
      <c r="E1584" s="1" t="s">
        <v>5779</v>
      </c>
      <c r="F1584" s="1">
        <v>5</v>
      </c>
      <c r="G1584" s="1" t="s">
        <v>170</v>
      </c>
      <c r="H1584" s="234">
        <v>13</v>
      </c>
      <c r="I1584" s="235">
        <f>H1584*F1584</f>
        <v>65</v>
      </c>
      <c r="J1584" s="409">
        <f>13.5*F1584</f>
        <v>67.5</v>
      </c>
      <c r="K1584" s="250">
        <f>10.94*5</f>
        <v>54.699999999999996</v>
      </c>
      <c r="L1584" s="237">
        <v>41358</v>
      </c>
      <c r="M1584" s="1" t="s">
        <v>166</v>
      </c>
      <c r="N1584" s="235">
        <f t="shared" si="135"/>
        <v>65</v>
      </c>
      <c r="O1584" s="235">
        <f t="shared" si="144"/>
        <v>0</v>
      </c>
      <c r="P1584" s="238" t="s">
        <v>5783</v>
      </c>
      <c r="Q1584" s="1" t="s">
        <v>1562</v>
      </c>
      <c r="R1584" s="239" t="s">
        <v>3148</v>
      </c>
      <c r="S1584" s="238" t="s">
        <v>3149</v>
      </c>
      <c r="T1584" s="239" t="s">
        <v>167</v>
      </c>
      <c r="U1584" s="239" t="s">
        <v>167</v>
      </c>
      <c r="V1584" s="238" t="s">
        <v>6986</v>
      </c>
      <c r="W1584" s="236">
        <v>39344.81</v>
      </c>
      <c r="X1584" s="233">
        <v>41416</v>
      </c>
      <c r="Y1584" s="238" t="s">
        <v>1562</v>
      </c>
      <c r="AB1584" s="1" t="s">
        <v>1561</v>
      </c>
    </row>
    <row r="1585" spans="1:28">
      <c r="A1585" s="233">
        <v>41358</v>
      </c>
      <c r="B1585" s="1" t="s">
        <v>2309</v>
      </c>
      <c r="C1585" s="1" t="s">
        <v>162</v>
      </c>
      <c r="D1585" s="1" t="s">
        <v>268</v>
      </c>
      <c r="E1585" s="1" t="s">
        <v>177</v>
      </c>
      <c r="F1585" s="1">
        <v>800</v>
      </c>
      <c r="G1585" s="1" t="s">
        <v>5782</v>
      </c>
      <c r="H1585" s="234">
        <v>1.32</v>
      </c>
      <c r="I1585" s="235">
        <f>H1585*F1585</f>
        <v>1056</v>
      </c>
      <c r="J1585" s="409">
        <f>1.53*F1585</f>
        <v>1224</v>
      </c>
      <c r="K1585" s="250">
        <f>1.17*800</f>
        <v>936</v>
      </c>
      <c r="L1585" s="237">
        <v>41358</v>
      </c>
      <c r="M1585" s="1" t="s">
        <v>166</v>
      </c>
      <c r="N1585" s="235">
        <f t="shared" si="135"/>
        <v>1056</v>
      </c>
      <c r="O1585" s="235">
        <f t="shared" si="144"/>
        <v>0</v>
      </c>
      <c r="P1585" s="238" t="s">
        <v>5783</v>
      </c>
      <c r="Q1585" s="1" t="s">
        <v>1562</v>
      </c>
      <c r="R1585" s="239" t="s">
        <v>3148</v>
      </c>
      <c r="S1585" s="238" t="s">
        <v>3149</v>
      </c>
      <c r="T1585" s="239" t="s">
        <v>167</v>
      </c>
      <c r="U1585" s="239" t="s">
        <v>167</v>
      </c>
      <c r="V1585" s="238" t="s">
        <v>6986</v>
      </c>
      <c r="W1585" s="236">
        <v>39344.81</v>
      </c>
      <c r="X1585" s="233">
        <v>41416</v>
      </c>
      <c r="Y1585" s="238" t="s">
        <v>1562</v>
      </c>
      <c r="AB1585" s="1" t="s">
        <v>1561</v>
      </c>
    </row>
    <row r="1586" spans="1:28">
      <c r="A1586" s="233">
        <v>41358</v>
      </c>
      <c r="B1586" s="1" t="s">
        <v>5794</v>
      </c>
      <c r="C1586" s="1" t="s">
        <v>162</v>
      </c>
      <c r="D1586" s="1" t="s">
        <v>1210</v>
      </c>
      <c r="E1586" s="1">
        <v>3200</v>
      </c>
      <c r="F1586" s="1">
        <v>1</v>
      </c>
      <c r="G1586" s="1" t="s">
        <v>5795</v>
      </c>
      <c r="H1586" s="234">
        <v>28.5</v>
      </c>
      <c r="I1586" s="235">
        <f>H1586*F1586</f>
        <v>28.5</v>
      </c>
      <c r="K1586" s="250">
        <f>23.94*1</f>
        <v>23.94</v>
      </c>
      <c r="L1586" s="237">
        <v>41358</v>
      </c>
      <c r="M1586" s="1" t="s">
        <v>5796</v>
      </c>
      <c r="N1586" s="235">
        <f t="shared" si="135"/>
        <v>28.5</v>
      </c>
      <c r="O1586" s="235">
        <f t="shared" si="144"/>
        <v>0</v>
      </c>
      <c r="P1586" s="238" t="s">
        <v>5791</v>
      </c>
      <c r="Q1586" s="1" t="s">
        <v>1562</v>
      </c>
      <c r="R1586" s="239" t="s">
        <v>5791</v>
      </c>
      <c r="S1586" s="238" t="s">
        <v>5791</v>
      </c>
      <c r="T1586" s="239" t="s">
        <v>5791</v>
      </c>
      <c r="U1586" s="239" t="s">
        <v>5791</v>
      </c>
      <c r="V1586" s="238" t="s">
        <v>175</v>
      </c>
      <c r="W1586" s="236" t="s">
        <v>5791</v>
      </c>
      <c r="X1586" s="233" t="s">
        <v>5791</v>
      </c>
      <c r="Y1586" s="238" t="s">
        <v>5797</v>
      </c>
      <c r="AB1586" s="1" t="s">
        <v>1561</v>
      </c>
    </row>
    <row r="1587" spans="1:28">
      <c r="A1587" s="233">
        <v>41358</v>
      </c>
      <c r="B1587" s="136" t="s">
        <v>5974</v>
      </c>
      <c r="C1587" s="1" t="s">
        <v>5677</v>
      </c>
      <c r="D1587" s="1" t="s">
        <v>5678</v>
      </c>
      <c r="E1587" s="1" t="s">
        <v>5677</v>
      </c>
      <c r="F1587" s="1">
        <v>45</v>
      </c>
      <c r="G1587" s="1" t="s">
        <v>5684</v>
      </c>
      <c r="H1587" s="234">
        <v>2</v>
      </c>
      <c r="I1587" s="235">
        <f t="shared" ref="I1587:I1598" si="145">F1587*H1587</f>
        <v>90</v>
      </c>
      <c r="K1587" s="250">
        <f>1.68*F1587</f>
        <v>75.599999999999994</v>
      </c>
      <c r="N1587" s="235">
        <v>0</v>
      </c>
      <c r="O1587" s="235">
        <f t="shared" si="144"/>
        <v>90</v>
      </c>
      <c r="P1587" s="238" t="s">
        <v>5767</v>
      </c>
      <c r="Q1587" s="1" t="s">
        <v>5768</v>
      </c>
      <c r="R1587" s="239" t="s">
        <v>5318</v>
      </c>
      <c r="S1587" s="238" t="s">
        <v>5319</v>
      </c>
      <c r="T1587" s="238" t="s">
        <v>5317</v>
      </c>
      <c r="U1587" s="238" t="s">
        <v>6198</v>
      </c>
      <c r="V1587" s="238" t="s">
        <v>5975</v>
      </c>
      <c r="W1587" s="236">
        <v>3653</v>
      </c>
      <c r="X1587" s="233">
        <v>41366</v>
      </c>
      <c r="Y1587" s="238" t="s">
        <v>5976</v>
      </c>
      <c r="AB1587" s="1" t="s">
        <v>2064</v>
      </c>
    </row>
    <row r="1588" spans="1:28">
      <c r="A1588" s="233">
        <v>41358</v>
      </c>
      <c r="B1588" s="136" t="s">
        <v>5974</v>
      </c>
      <c r="C1588" s="1" t="s">
        <v>167</v>
      </c>
      <c r="D1588" s="1" t="s">
        <v>5679</v>
      </c>
      <c r="E1588" s="1" t="s">
        <v>5677</v>
      </c>
      <c r="F1588" s="1">
        <v>15</v>
      </c>
      <c r="G1588" s="1" t="s">
        <v>5685</v>
      </c>
      <c r="H1588" s="234">
        <v>38</v>
      </c>
      <c r="I1588" s="235">
        <f t="shared" si="145"/>
        <v>570</v>
      </c>
      <c r="K1588" s="250">
        <f>15*30</f>
        <v>450</v>
      </c>
      <c r="N1588" s="235">
        <v>0</v>
      </c>
      <c r="O1588" s="235">
        <f t="shared" si="144"/>
        <v>570</v>
      </c>
      <c r="P1588" s="238" t="s">
        <v>5767</v>
      </c>
      <c r="Q1588" s="1" t="s">
        <v>5768</v>
      </c>
      <c r="R1588" s="239" t="s">
        <v>5318</v>
      </c>
      <c r="S1588" s="238" t="s">
        <v>5319</v>
      </c>
      <c r="T1588" s="238" t="s">
        <v>5317</v>
      </c>
      <c r="U1588" s="238" t="s">
        <v>6198</v>
      </c>
      <c r="V1588" s="238" t="s">
        <v>5975</v>
      </c>
      <c r="W1588" s="236">
        <v>3653</v>
      </c>
      <c r="X1588" s="233">
        <v>41366</v>
      </c>
      <c r="Y1588" s="238" t="s">
        <v>5976</v>
      </c>
      <c r="AB1588" s="1" t="s">
        <v>2064</v>
      </c>
    </row>
    <row r="1589" spans="1:28">
      <c r="A1589" s="233">
        <v>41358</v>
      </c>
      <c r="B1589" s="136" t="s">
        <v>5974</v>
      </c>
      <c r="C1589" s="1" t="s">
        <v>167</v>
      </c>
      <c r="D1589" s="1" t="s">
        <v>5680</v>
      </c>
      <c r="E1589" s="1" t="s">
        <v>5677</v>
      </c>
      <c r="F1589" s="1">
        <v>400</v>
      </c>
      <c r="G1589" s="1" t="s">
        <v>5684</v>
      </c>
      <c r="H1589" s="234">
        <v>1.3</v>
      </c>
      <c r="I1589" s="235">
        <f t="shared" si="145"/>
        <v>520</v>
      </c>
      <c r="K1589" s="250">
        <f>0.7*400</f>
        <v>280</v>
      </c>
      <c r="N1589" s="235">
        <v>0</v>
      </c>
      <c r="O1589" s="235">
        <f t="shared" si="144"/>
        <v>520</v>
      </c>
      <c r="P1589" s="238" t="s">
        <v>5767</v>
      </c>
      <c r="Q1589" s="1" t="s">
        <v>5768</v>
      </c>
      <c r="R1589" s="239" t="s">
        <v>5318</v>
      </c>
      <c r="S1589" s="238" t="s">
        <v>5319</v>
      </c>
      <c r="T1589" s="238" t="s">
        <v>5317</v>
      </c>
      <c r="U1589" s="238" t="s">
        <v>6198</v>
      </c>
      <c r="V1589" s="238" t="s">
        <v>5975</v>
      </c>
      <c r="W1589" s="236">
        <v>3653</v>
      </c>
      <c r="X1589" s="233">
        <v>41366</v>
      </c>
      <c r="Y1589" s="238" t="s">
        <v>5976</v>
      </c>
      <c r="AB1589" s="1" t="s">
        <v>2064</v>
      </c>
    </row>
    <row r="1590" spans="1:28">
      <c r="A1590" s="233">
        <v>41358</v>
      </c>
      <c r="B1590" s="136" t="s">
        <v>5974</v>
      </c>
      <c r="C1590" s="1" t="s">
        <v>7</v>
      </c>
      <c r="D1590" s="1" t="s">
        <v>5769</v>
      </c>
      <c r="E1590" s="1" t="s">
        <v>5357</v>
      </c>
      <c r="F1590" s="1">
        <v>50</v>
      </c>
      <c r="G1590" s="1" t="s">
        <v>5684</v>
      </c>
      <c r="H1590" s="234">
        <v>9</v>
      </c>
      <c r="I1590" s="235">
        <f t="shared" si="145"/>
        <v>450</v>
      </c>
      <c r="K1590" s="282">
        <v>0</v>
      </c>
      <c r="N1590" s="235">
        <v>0</v>
      </c>
      <c r="O1590" s="235">
        <f t="shared" si="144"/>
        <v>450</v>
      </c>
      <c r="P1590" s="238" t="s">
        <v>5767</v>
      </c>
      <c r="Q1590" s="1" t="s">
        <v>5768</v>
      </c>
      <c r="R1590" s="239" t="s">
        <v>5318</v>
      </c>
      <c r="S1590" s="238" t="s">
        <v>5319</v>
      </c>
      <c r="T1590" s="238" t="s">
        <v>5317</v>
      </c>
      <c r="U1590" s="238" t="s">
        <v>6198</v>
      </c>
      <c r="V1590" s="238" t="s">
        <v>5975</v>
      </c>
      <c r="W1590" s="236">
        <v>3653</v>
      </c>
      <c r="X1590" s="233">
        <v>41366</v>
      </c>
      <c r="Y1590" s="238" t="s">
        <v>5976</v>
      </c>
      <c r="Z1590" s="255" t="s">
        <v>6033</v>
      </c>
      <c r="AB1590" s="1" t="s">
        <v>2064</v>
      </c>
    </row>
    <row r="1591" spans="1:28">
      <c r="A1591" s="233">
        <v>41358</v>
      </c>
      <c r="B1591" s="136" t="s">
        <v>5974</v>
      </c>
      <c r="C1591" s="1" t="s">
        <v>7</v>
      </c>
      <c r="D1591" s="1" t="s">
        <v>5681</v>
      </c>
      <c r="E1591" s="1">
        <v>3985</v>
      </c>
      <c r="F1591" s="1">
        <v>150</v>
      </c>
      <c r="G1591" s="1" t="s">
        <v>5684</v>
      </c>
      <c r="H1591" s="234">
        <v>8</v>
      </c>
      <c r="I1591" s="235">
        <f t="shared" si="145"/>
        <v>1200</v>
      </c>
      <c r="K1591" s="282">
        <v>0</v>
      </c>
      <c r="N1591" s="235">
        <v>0</v>
      </c>
      <c r="O1591" s="235">
        <f t="shared" si="144"/>
        <v>1200</v>
      </c>
      <c r="P1591" s="238" t="s">
        <v>5767</v>
      </c>
      <c r="Q1591" s="1" t="s">
        <v>5768</v>
      </c>
      <c r="R1591" s="239" t="s">
        <v>5318</v>
      </c>
      <c r="S1591" s="238" t="s">
        <v>5319</v>
      </c>
      <c r="T1591" s="238" t="s">
        <v>5317</v>
      </c>
      <c r="U1591" s="238" t="s">
        <v>6198</v>
      </c>
      <c r="V1591" s="238" t="s">
        <v>5975</v>
      </c>
      <c r="W1591" s="236">
        <v>3653</v>
      </c>
      <c r="X1591" s="233">
        <v>41366</v>
      </c>
      <c r="Y1591" s="238" t="s">
        <v>5976</v>
      </c>
      <c r="Z1591" s="255" t="s">
        <v>6033</v>
      </c>
      <c r="AB1591" s="1" t="s">
        <v>2064</v>
      </c>
    </row>
    <row r="1592" spans="1:28">
      <c r="A1592" s="233">
        <v>41358</v>
      </c>
      <c r="B1592" s="136" t="s">
        <v>5974</v>
      </c>
      <c r="C1592" s="1" t="s">
        <v>167</v>
      </c>
      <c r="D1592" s="1" t="s">
        <v>5682</v>
      </c>
      <c r="E1592" s="1" t="s">
        <v>5677</v>
      </c>
      <c r="F1592" s="1">
        <v>40</v>
      </c>
      <c r="G1592" s="1" t="s">
        <v>5685</v>
      </c>
      <c r="H1592" s="234">
        <v>5</v>
      </c>
      <c r="I1592" s="235">
        <f t="shared" si="145"/>
        <v>200</v>
      </c>
      <c r="K1592" s="250">
        <f>3.8*40</f>
        <v>152</v>
      </c>
      <c r="N1592" s="235">
        <v>0</v>
      </c>
      <c r="O1592" s="235">
        <f t="shared" si="144"/>
        <v>200</v>
      </c>
      <c r="P1592" s="238" t="s">
        <v>5767</v>
      </c>
      <c r="Q1592" s="1" t="s">
        <v>5768</v>
      </c>
      <c r="R1592" s="239" t="s">
        <v>5318</v>
      </c>
      <c r="S1592" s="238" t="s">
        <v>5319</v>
      </c>
      <c r="T1592" s="238" t="s">
        <v>5317</v>
      </c>
      <c r="U1592" s="238" t="s">
        <v>6198</v>
      </c>
      <c r="V1592" s="238" t="s">
        <v>5975</v>
      </c>
      <c r="W1592" s="236">
        <v>3653</v>
      </c>
      <c r="X1592" s="233">
        <v>41366</v>
      </c>
      <c r="Y1592" s="238" t="s">
        <v>5976</v>
      </c>
      <c r="AB1592" s="1" t="s">
        <v>2064</v>
      </c>
    </row>
    <row r="1593" spans="1:28">
      <c r="A1593" s="233">
        <v>41358</v>
      </c>
      <c r="B1593" s="136" t="s">
        <v>5974</v>
      </c>
      <c r="C1593" s="1" t="s">
        <v>162</v>
      </c>
      <c r="D1593" s="1" t="s">
        <v>353</v>
      </c>
      <c r="E1593" s="1" t="s">
        <v>5683</v>
      </c>
      <c r="F1593" s="1">
        <v>10</v>
      </c>
      <c r="G1593" s="1" t="s">
        <v>5672</v>
      </c>
      <c r="H1593" s="234">
        <v>24.5</v>
      </c>
      <c r="I1593" s="235">
        <f t="shared" si="145"/>
        <v>245</v>
      </c>
      <c r="K1593" s="250">
        <f>17.25*10</f>
        <v>172.5</v>
      </c>
      <c r="N1593" s="235">
        <v>0</v>
      </c>
      <c r="O1593" s="235">
        <f t="shared" si="144"/>
        <v>245</v>
      </c>
      <c r="P1593" s="238" t="s">
        <v>5767</v>
      </c>
      <c r="Q1593" s="1" t="s">
        <v>5768</v>
      </c>
      <c r="R1593" s="239" t="s">
        <v>5318</v>
      </c>
      <c r="S1593" s="238" t="s">
        <v>5319</v>
      </c>
      <c r="T1593" s="238" t="s">
        <v>5317</v>
      </c>
      <c r="U1593" s="238" t="s">
        <v>6198</v>
      </c>
      <c r="V1593" s="238" t="s">
        <v>5975</v>
      </c>
      <c r="W1593" s="236">
        <v>3653</v>
      </c>
      <c r="X1593" s="233">
        <v>41366</v>
      </c>
      <c r="Y1593" s="238" t="s">
        <v>5976</v>
      </c>
      <c r="AB1593" s="1" t="s">
        <v>2064</v>
      </c>
    </row>
    <row r="1594" spans="1:28">
      <c r="A1594" s="233">
        <v>41358</v>
      </c>
      <c r="B1594" s="1" t="s">
        <v>4551</v>
      </c>
      <c r="C1594" s="1" t="s">
        <v>162</v>
      </c>
      <c r="D1594" s="5" t="s">
        <v>1717</v>
      </c>
      <c r="E1594" s="1">
        <v>10435</v>
      </c>
      <c r="F1594" s="1">
        <v>150</v>
      </c>
      <c r="G1594" s="1" t="s">
        <v>5612</v>
      </c>
      <c r="H1594" s="234">
        <v>15.8</v>
      </c>
      <c r="I1594" s="235">
        <f t="shared" si="145"/>
        <v>2370</v>
      </c>
      <c r="K1594" s="250">
        <f>14.2*150</f>
        <v>2130</v>
      </c>
      <c r="L1594" s="237">
        <v>41352</v>
      </c>
      <c r="M1594" s="1" t="s">
        <v>5614</v>
      </c>
      <c r="N1594" s="235">
        <f t="shared" si="135"/>
        <v>2370</v>
      </c>
      <c r="O1594" s="235">
        <f t="shared" ref="O1594:O1601" si="146">I1594-N1594</f>
        <v>0</v>
      </c>
      <c r="P1594" s="238" t="s">
        <v>5745</v>
      </c>
      <c r="Q1594" s="1" t="s">
        <v>5785</v>
      </c>
      <c r="R1594" s="239" t="s">
        <v>6284</v>
      </c>
      <c r="S1594" s="238" t="s">
        <v>6285</v>
      </c>
      <c r="T1594" s="238" t="s">
        <v>3174</v>
      </c>
      <c r="U1594" s="238" t="s">
        <v>5786</v>
      </c>
      <c r="V1594" s="238" t="s">
        <v>6157</v>
      </c>
      <c r="W1594" s="236">
        <v>5881</v>
      </c>
      <c r="X1594" s="233">
        <v>41376</v>
      </c>
      <c r="Y1594" s="238" t="s">
        <v>6158</v>
      </c>
      <c r="AB1594" s="1" t="s">
        <v>1561</v>
      </c>
    </row>
    <row r="1595" spans="1:28">
      <c r="A1595" s="233">
        <v>41358</v>
      </c>
      <c r="B1595" s="1" t="s">
        <v>4551</v>
      </c>
      <c r="C1595" s="1" t="s">
        <v>162</v>
      </c>
      <c r="D1595" s="5" t="s">
        <v>182</v>
      </c>
      <c r="E1595" s="1" t="s">
        <v>194</v>
      </c>
      <c r="F1595" s="1">
        <v>600</v>
      </c>
      <c r="G1595" s="1" t="s">
        <v>5613</v>
      </c>
      <c r="H1595" s="234">
        <v>5.0599999999999996</v>
      </c>
      <c r="I1595" s="235">
        <f t="shared" si="145"/>
        <v>3035.9999999999995</v>
      </c>
      <c r="K1595" s="250">
        <f>4.75*600</f>
        <v>2850</v>
      </c>
      <c r="L1595" s="237">
        <v>41352</v>
      </c>
      <c r="M1595" s="1" t="s">
        <v>5614</v>
      </c>
      <c r="N1595" s="235">
        <f t="shared" si="135"/>
        <v>3035.9999999999995</v>
      </c>
      <c r="O1595" s="235">
        <f t="shared" si="146"/>
        <v>0</v>
      </c>
      <c r="P1595" s="238" t="s">
        <v>5745</v>
      </c>
      <c r="Q1595" s="1" t="s">
        <v>5785</v>
      </c>
      <c r="R1595" s="239" t="s">
        <v>6284</v>
      </c>
      <c r="S1595" s="238" t="s">
        <v>6285</v>
      </c>
      <c r="T1595" s="238" t="s">
        <v>3174</v>
      </c>
      <c r="U1595" s="238" t="s">
        <v>5786</v>
      </c>
      <c r="V1595" s="238" t="s">
        <v>6157</v>
      </c>
      <c r="W1595" s="236">
        <v>5881</v>
      </c>
      <c r="X1595" s="233">
        <v>41376</v>
      </c>
      <c r="Y1595" s="238" t="s">
        <v>6158</v>
      </c>
      <c r="AB1595" s="1" t="s">
        <v>1561</v>
      </c>
    </row>
    <row r="1596" spans="1:28">
      <c r="A1596" s="233">
        <v>41358</v>
      </c>
      <c r="B1596" s="1" t="s">
        <v>4551</v>
      </c>
      <c r="C1596" s="1" t="s">
        <v>162</v>
      </c>
      <c r="D1596" s="1" t="s">
        <v>240</v>
      </c>
      <c r="E1596" s="1">
        <v>6200</v>
      </c>
      <c r="F1596" s="1">
        <v>10</v>
      </c>
      <c r="G1596" s="1" t="s">
        <v>5735</v>
      </c>
      <c r="H1596" s="234">
        <v>47.5</v>
      </c>
      <c r="I1596" s="235">
        <f t="shared" si="145"/>
        <v>475</v>
      </c>
      <c r="K1596" s="250">
        <f>44.5*10</f>
        <v>445</v>
      </c>
      <c r="L1596" s="237">
        <v>41355</v>
      </c>
      <c r="M1596" s="1" t="s">
        <v>166</v>
      </c>
      <c r="N1596" s="235">
        <f t="shared" si="135"/>
        <v>475</v>
      </c>
      <c r="O1596" s="235">
        <f t="shared" si="146"/>
        <v>0</v>
      </c>
      <c r="P1596" s="238" t="s">
        <v>5745</v>
      </c>
      <c r="Q1596" s="1" t="s">
        <v>5785</v>
      </c>
      <c r="R1596" s="239" t="s">
        <v>6284</v>
      </c>
      <c r="S1596" s="238" t="s">
        <v>6285</v>
      </c>
      <c r="T1596" s="238" t="s">
        <v>3174</v>
      </c>
      <c r="U1596" s="238" t="s">
        <v>5786</v>
      </c>
      <c r="V1596" s="238" t="s">
        <v>6157</v>
      </c>
      <c r="W1596" s="236">
        <v>5881</v>
      </c>
      <c r="X1596" s="233">
        <v>41376</v>
      </c>
      <c r="Y1596" s="238" t="s">
        <v>6158</v>
      </c>
      <c r="AB1596" s="1" t="s">
        <v>1561</v>
      </c>
    </row>
    <row r="1597" spans="1:28">
      <c r="A1597" s="233">
        <v>41358</v>
      </c>
      <c r="B1597" s="1" t="s">
        <v>2362</v>
      </c>
      <c r="C1597" s="5" t="s">
        <v>162</v>
      </c>
      <c r="D1597" s="1" t="s">
        <v>5069</v>
      </c>
      <c r="E1597" s="1" t="s">
        <v>5649</v>
      </c>
      <c r="F1597" s="1">
        <v>100</v>
      </c>
      <c r="G1597" s="1" t="s">
        <v>172</v>
      </c>
      <c r="H1597" s="234">
        <v>12.24</v>
      </c>
      <c r="I1597" s="235">
        <f t="shared" si="145"/>
        <v>1224</v>
      </c>
      <c r="K1597" s="250">
        <f>11.6*100</f>
        <v>1160</v>
      </c>
      <c r="L1597" s="237">
        <v>41353</v>
      </c>
      <c r="M1597" s="1" t="s">
        <v>5663</v>
      </c>
      <c r="N1597" s="235">
        <f t="shared" si="135"/>
        <v>1224</v>
      </c>
      <c r="O1597" s="235">
        <f t="shared" si="146"/>
        <v>0</v>
      </c>
      <c r="P1597" s="238" t="s">
        <v>5772</v>
      </c>
      <c r="Q1597" s="1" t="s">
        <v>5787</v>
      </c>
      <c r="R1597" s="239" t="s">
        <v>5661</v>
      </c>
      <c r="S1597" s="238" t="s">
        <v>5662</v>
      </c>
      <c r="T1597" s="238" t="s">
        <v>5660</v>
      </c>
      <c r="U1597" s="238" t="s">
        <v>5788</v>
      </c>
      <c r="AB1597" s="1" t="s">
        <v>1561</v>
      </c>
    </row>
    <row r="1598" spans="1:28">
      <c r="A1598" s="233">
        <v>41359</v>
      </c>
      <c r="B1598" s="1" t="s">
        <v>5756</v>
      </c>
      <c r="C1598" s="1" t="s">
        <v>162</v>
      </c>
      <c r="D1598" s="5" t="s">
        <v>51</v>
      </c>
      <c r="E1598" s="1">
        <v>9032</v>
      </c>
      <c r="F1598" s="1">
        <v>3000</v>
      </c>
      <c r="G1598" s="1" t="s">
        <v>5757</v>
      </c>
      <c r="H1598" s="234">
        <v>1.65</v>
      </c>
      <c r="I1598" s="235">
        <f t="shared" si="145"/>
        <v>4950</v>
      </c>
      <c r="K1598" s="250">
        <f>1.4929*3000</f>
        <v>4478.7</v>
      </c>
      <c r="N1598" s="235">
        <v>0</v>
      </c>
      <c r="O1598" s="235">
        <f t="shared" si="146"/>
        <v>4950</v>
      </c>
      <c r="P1598" s="238" t="s">
        <v>5758</v>
      </c>
      <c r="Q1598" s="1" t="s">
        <v>5790</v>
      </c>
      <c r="R1598" s="239" t="s">
        <v>5760</v>
      </c>
      <c r="S1598" s="238" t="s">
        <v>5759</v>
      </c>
      <c r="T1598" s="238" t="s">
        <v>6329</v>
      </c>
      <c r="U1598" s="238" t="s">
        <v>5791</v>
      </c>
      <c r="V1598" s="238" t="s">
        <v>6327</v>
      </c>
      <c r="W1598" s="236">
        <v>16160</v>
      </c>
      <c r="X1598" s="233">
        <v>41381</v>
      </c>
      <c r="Y1598" s="238" t="s">
        <v>6328</v>
      </c>
      <c r="AB1598" s="1" t="s">
        <v>5761</v>
      </c>
    </row>
    <row r="1599" spans="1:28">
      <c r="A1599" s="233">
        <v>41359</v>
      </c>
      <c r="B1599" s="1" t="s">
        <v>3722</v>
      </c>
      <c r="C1599" s="1" t="s">
        <v>162</v>
      </c>
      <c r="D1599" s="1" t="s">
        <v>5652</v>
      </c>
      <c r="E1599" s="1" t="s">
        <v>5650</v>
      </c>
      <c r="F1599" s="1">
        <v>5</v>
      </c>
      <c r="G1599" s="1" t="s">
        <v>5653</v>
      </c>
      <c r="H1599" s="234">
        <v>312</v>
      </c>
      <c r="I1599" s="235">
        <f t="shared" ref="I1599:I1615" si="147">F1599*H1599</f>
        <v>1560</v>
      </c>
      <c r="K1599" s="250">
        <f>275.4*5</f>
        <v>1377</v>
      </c>
      <c r="L1599" s="237">
        <v>41355</v>
      </c>
      <c r="M1599" s="1" t="s">
        <v>166</v>
      </c>
      <c r="N1599" s="235">
        <f>I1599</f>
        <v>1560</v>
      </c>
      <c r="O1599" s="235">
        <f t="shared" si="146"/>
        <v>0</v>
      </c>
      <c r="P1599" s="238" t="s">
        <v>5791</v>
      </c>
      <c r="Q1599" s="1" t="s">
        <v>1562</v>
      </c>
      <c r="R1599" s="239" t="s">
        <v>3724</v>
      </c>
      <c r="S1599" s="238" t="s">
        <v>3725</v>
      </c>
      <c r="T1599" s="238" t="s">
        <v>3726</v>
      </c>
      <c r="U1599" s="238" t="s">
        <v>5640</v>
      </c>
      <c r="V1599" s="238" t="s">
        <v>6161</v>
      </c>
      <c r="W1599" s="236">
        <v>3060</v>
      </c>
      <c r="X1599" s="233">
        <v>41376</v>
      </c>
      <c r="AB1599" s="1" t="s">
        <v>1561</v>
      </c>
    </row>
    <row r="1600" spans="1:28">
      <c r="A1600" s="233">
        <v>41359</v>
      </c>
      <c r="B1600" s="1" t="s">
        <v>3722</v>
      </c>
      <c r="C1600" s="1" t="s">
        <v>162</v>
      </c>
      <c r="D1600" s="5" t="s">
        <v>5655</v>
      </c>
      <c r="E1600" s="1" t="s">
        <v>5651</v>
      </c>
      <c r="F1600" s="1">
        <v>2500</v>
      </c>
      <c r="G1600" s="1" t="s">
        <v>5654</v>
      </c>
      <c r="H1600" s="234">
        <v>0.6</v>
      </c>
      <c r="I1600" s="235">
        <f t="shared" si="147"/>
        <v>1500</v>
      </c>
      <c r="K1600" s="250">
        <f>0.52*2500</f>
        <v>1300</v>
      </c>
      <c r="L1600" s="237">
        <v>41355</v>
      </c>
      <c r="M1600" s="1" t="s">
        <v>166</v>
      </c>
      <c r="N1600" s="235">
        <f>I1600</f>
        <v>1500</v>
      </c>
      <c r="O1600" s="235">
        <f t="shared" si="146"/>
        <v>0</v>
      </c>
      <c r="P1600" s="238" t="s">
        <v>5791</v>
      </c>
      <c r="Q1600" s="1" t="s">
        <v>1562</v>
      </c>
      <c r="R1600" s="239" t="s">
        <v>3724</v>
      </c>
      <c r="S1600" s="238" t="s">
        <v>3725</v>
      </c>
      <c r="T1600" s="238" t="s">
        <v>3726</v>
      </c>
      <c r="U1600" s="238" t="s">
        <v>5640</v>
      </c>
      <c r="V1600" s="238" t="s">
        <v>6161</v>
      </c>
      <c r="W1600" s="236">
        <v>3060</v>
      </c>
      <c r="X1600" s="233">
        <v>41376</v>
      </c>
      <c r="AB1600" s="1" t="s">
        <v>1561</v>
      </c>
    </row>
    <row r="1601" spans="1:28">
      <c r="A1601" s="233">
        <v>41359</v>
      </c>
      <c r="B1601" s="1" t="s">
        <v>4338</v>
      </c>
      <c r="C1601" s="1" t="s">
        <v>162</v>
      </c>
      <c r="D1601" s="5" t="s">
        <v>346</v>
      </c>
      <c r="E1601" s="1">
        <v>3700</v>
      </c>
      <c r="F1601" s="1">
        <v>20</v>
      </c>
      <c r="G1601" s="1" t="s">
        <v>5795</v>
      </c>
      <c r="H1601" s="234">
        <v>3.9</v>
      </c>
      <c r="I1601" s="235">
        <f t="shared" si="147"/>
        <v>78</v>
      </c>
      <c r="K1601" s="250">
        <f>2.865*20</f>
        <v>57.300000000000004</v>
      </c>
      <c r="L1601" s="237">
        <v>41382</v>
      </c>
      <c r="M1601" s="1" t="s">
        <v>165</v>
      </c>
      <c r="N1601" s="235">
        <f>I1601</f>
        <v>78</v>
      </c>
      <c r="O1601" s="235">
        <f t="shared" si="146"/>
        <v>0</v>
      </c>
      <c r="P1601" s="238" t="s">
        <v>5799</v>
      </c>
      <c r="Q1601" s="1" t="s">
        <v>5381</v>
      </c>
      <c r="R1601" s="239" t="s">
        <v>4341</v>
      </c>
      <c r="S1601" s="238" t="s">
        <v>4342</v>
      </c>
      <c r="T1601" s="238" t="s">
        <v>2237</v>
      </c>
      <c r="U1601" s="238" t="s">
        <v>5814</v>
      </c>
      <c r="V1601" s="238" t="s">
        <v>6900</v>
      </c>
      <c r="W1601" s="236">
        <v>8938.52</v>
      </c>
      <c r="X1601" s="233">
        <v>41410</v>
      </c>
      <c r="Y1601" s="238" t="s">
        <v>6893</v>
      </c>
      <c r="AB1601" s="1" t="s">
        <v>1561</v>
      </c>
    </row>
    <row r="1602" spans="1:28">
      <c r="A1602" s="233">
        <v>41359</v>
      </c>
      <c r="B1602" s="228" t="s">
        <v>1488</v>
      </c>
      <c r="C1602" s="1" t="s">
        <v>7</v>
      </c>
      <c r="D1602" s="95" t="s">
        <v>5008</v>
      </c>
      <c r="E1602" s="1" t="s">
        <v>855</v>
      </c>
      <c r="F1602" s="1">
        <v>288</v>
      </c>
      <c r="G1602" s="1" t="s">
        <v>5793</v>
      </c>
      <c r="H1602" s="234">
        <v>11</v>
      </c>
      <c r="I1602" s="235">
        <f t="shared" si="147"/>
        <v>3168</v>
      </c>
      <c r="K1602" s="250">
        <f>10*288</f>
        <v>2880</v>
      </c>
      <c r="L1602" s="237">
        <v>41359</v>
      </c>
      <c r="M1602" s="1" t="s">
        <v>166</v>
      </c>
      <c r="N1602" s="235">
        <f>I1602</f>
        <v>3168</v>
      </c>
      <c r="O1602" s="235">
        <f t="shared" ref="O1602:O1623" si="148">I1602-N1602</f>
        <v>0</v>
      </c>
      <c r="P1602" s="238" t="s">
        <v>5801</v>
      </c>
      <c r="Q1602" s="1" t="s">
        <v>4340</v>
      </c>
      <c r="R1602" s="239" t="s">
        <v>4326</v>
      </c>
      <c r="S1602" s="238" t="s">
        <v>4327</v>
      </c>
      <c r="T1602" s="238" t="s">
        <v>1471</v>
      </c>
      <c r="U1602" s="238" t="s">
        <v>5813</v>
      </c>
      <c r="V1602" s="238" t="s">
        <v>6164</v>
      </c>
      <c r="W1602" s="236">
        <v>16862.8</v>
      </c>
      <c r="X1602" s="233">
        <v>41376</v>
      </c>
      <c r="Y1602" s="238" t="s">
        <v>6165</v>
      </c>
      <c r="AB1602" s="1" t="s">
        <v>1561</v>
      </c>
    </row>
    <row r="1603" spans="1:28">
      <c r="A1603" s="233">
        <v>41359</v>
      </c>
      <c r="B1603" s="228" t="s">
        <v>1488</v>
      </c>
      <c r="C1603" s="1" t="s">
        <v>162</v>
      </c>
      <c r="D1603" s="1" t="s">
        <v>1213</v>
      </c>
      <c r="E1603" s="1" t="s">
        <v>178</v>
      </c>
      <c r="F1603" s="1">
        <v>100</v>
      </c>
      <c r="G1603" s="1" t="s">
        <v>5800</v>
      </c>
      <c r="H1603" s="234">
        <v>13.4</v>
      </c>
      <c r="I1603" s="235">
        <f t="shared" si="147"/>
        <v>1340</v>
      </c>
      <c r="K1603" s="250">
        <f>12.6*100</f>
        <v>1260</v>
      </c>
      <c r="L1603" s="237">
        <v>41359</v>
      </c>
      <c r="M1603" s="1" t="s">
        <v>166</v>
      </c>
      <c r="N1603" s="235">
        <f>I1603</f>
        <v>1340</v>
      </c>
      <c r="O1603" s="235">
        <f t="shared" si="148"/>
        <v>0</v>
      </c>
      <c r="P1603" s="238" t="s">
        <v>5801</v>
      </c>
      <c r="Q1603" s="1" t="s">
        <v>4340</v>
      </c>
      <c r="R1603" s="239" t="s">
        <v>4326</v>
      </c>
      <c r="S1603" s="238" t="s">
        <v>4327</v>
      </c>
      <c r="T1603" s="238" t="s">
        <v>1471</v>
      </c>
      <c r="U1603" s="238" t="s">
        <v>5813</v>
      </c>
      <c r="V1603" s="238" t="s">
        <v>6164</v>
      </c>
      <c r="W1603" s="236">
        <v>16862.8</v>
      </c>
      <c r="X1603" s="233">
        <v>41376</v>
      </c>
      <c r="Y1603" s="238" t="s">
        <v>6165</v>
      </c>
      <c r="AB1603" s="1" t="s">
        <v>1561</v>
      </c>
    </row>
    <row r="1604" spans="1:28">
      <c r="A1604" s="233">
        <v>41360</v>
      </c>
      <c r="B1604" s="1" t="s">
        <v>2311</v>
      </c>
      <c r="C1604" s="1" t="s">
        <v>162</v>
      </c>
      <c r="D1604" s="1" t="s">
        <v>1210</v>
      </c>
      <c r="E1604" s="1">
        <v>3200</v>
      </c>
      <c r="F1604" s="1">
        <v>27</v>
      </c>
      <c r="G1604" s="1" t="s">
        <v>5815</v>
      </c>
      <c r="H1604" s="234">
        <v>26.81</v>
      </c>
      <c r="I1604" s="235">
        <f t="shared" si="147"/>
        <v>723.87</v>
      </c>
      <c r="K1604" s="250">
        <f>23.94*27</f>
        <v>646.38</v>
      </c>
      <c r="L1604" s="237">
        <v>41403</v>
      </c>
      <c r="M1604" s="1" t="s">
        <v>166</v>
      </c>
      <c r="N1604" s="235">
        <f t="shared" ref="N1604:N1607" si="149">I1604</f>
        <v>723.87</v>
      </c>
      <c r="O1604" s="235">
        <f t="shared" si="148"/>
        <v>0</v>
      </c>
      <c r="P1604" s="238" t="s">
        <v>5822</v>
      </c>
      <c r="Q1604" s="5" t="s">
        <v>1562</v>
      </c>
      <c r="R1604" s="239" t="s">
        <v>167</v>
      </c>
      <c r="S1604" s="238" t="s">
        <v>167</v>
      </c>
      <c r="T1604" s="238" t="s">
        <v>167</v>
      </c>
      <c r="U1604" s="238" t="s">
        <v>167</v>
      </c>
      <c r="AB1604" s="5" t="s">
        <v>1561</v>
      </c>
    </row>
    <row r="1605" spans="1:28">
      <c r="A1605" s="233">
        <v>41360</v>
      </c>
      <c r="B1605" s="1" t="s">
        <v>2311</v>
      </c>
      <c r="C1605" s="1" t="s">
        <v>162</v>
      </c>
      <c r="D1605" s="1" t="s">
        <v>353</v>
      </c>
      <c r="E1605" s="1" t="s">
        <v>5818</v>
      </c>
      <c r="F1605" s="1">
        <v>27</v>
      </c>
      <c r="G1605" s="1" t="s">
        <v>5815</v>
      </c>
      <c r="H1605" s="234">
        <v>11.93</v>
      </c>
      <c r="I1605" s="235">
        <f t="shared" si="147"/>
        <v>322.11</v>
      </c>
      <c r="K1605" s="250">
        <f>10.94*27</f>
        <v>295.38</v>
      </c>
      <c r="L1605" s="237">
        <v>41403</v>
      </c>
      <c r="M1605" s="1" t="s">
        <v>166</v>
      </c>
      <c r="N1605" s="235">
        <f t="shared" si="149"/>
        <v>322.11</v>
      </c>
      <c r="O1605" s="235">
        <f t="shared" si="148"/>
        <v>0</v>
      </c>
      <c r="P1605" s="238" t="s">
        <v>5822</v>
      </c>
      <c r="Q1605" s="5" t="s">
        <v>1562</v>
      </c>
      <c r="R1605" s="239" t="s">
        <v>167</v>
      </c>
      <c r="S1605" s="238" t="s">
        <v>167</v>
      </c>
      <c r="T1605" s="238" t="s">
        <v>167</v>
      </c>
      <c r="U1605" s="238" t="s">
        <v>167</v>
      </c>
      <c r="AB1605" s="5" t="s">
        <v>1561</v>
      </c>
    </row>
    <row r="1606" spans="1:28">
      <c r="A1606" s="233">
        <v>41360</v>
      </c>
      <c r="B1606" s="1" t="s">
        <v>2311</v>
      </c>
      <c r="C1606" s="1" t="s">
        <v>162</v>
      </c>
      <c r="D1606" s="1" t="s">
        <v>268</v>
      </c>
      <c r="E1606" s="1" t="s">
        <v>5819</v>
      </c>
      <c r="F1606" s="1">
        <v>27</v>
      </c>
      <c r="G1606" s="1" t="s">
        <v>5821</v>
      </c>
      <c r="H1606" s="234">
        <v>1.38</v>
      </c>
      <c r="I1606" s="235">
        <f t="shared" si="147"/>
        <v>37.26</v>
      </c>
      <c r="K1606" s="250">
        <f>1.17*27</f>
        <v>31.589999999999996</v>
      </c>
      <c r="L1606" s="237">
        <v>41403</v>
      </c>
      <c r="M1606" s="1" t="s">
        <v>166</v>
      </c>
      <c r="N1606" s="235">
        <f t="shared" si="149"/>
        <v>37.26</v>
      </c>
      <c r="O1606" s="235">
        <f t="shared" si="148"/>
        <v>0</v>
      </c>
      <c r="P1606" s="238" t="s">
        <v>5822</v>
      </c>
      <c r="Q1606" s="5" t="s">
        <v>1562</v>
      </c>
      <c r="R1606" s="239" t="s">
        <v>167</v>
      </c>
      <c r="S1606" s="238" t="s">
        <v>167</v>
      </c>
      <c r="T1606" s="238" t="s">
        <v>167</v>
      </c>
      <c r="U1606" s="238" t="s">
        <v>167</v>
      </c>
      <c r="AB1606" s="5" t="s">
        <v>1561</v>
      </c>
    </row>
    <row r="1607" spans="1:28">
      <c r="A1607" s="233">
        <v>41360</v>
      </c>
      <c r="B1607" s="1" t="s">
        <v>2311</v>
      </c>
      <c r="C1607" s="1" t="s">
        <v>162</v>
      </c>
      <c r="D1607" s="1" t="s">
        <v>1869</v>
      </c>
      <c r="E1607" s="1" t="s">
        <v>5820</v>
      </c>
      <c r="F1607" s="1">
        <v>27</v>
      </c>
      <c r="G1607" s="1" t="s">
        <v>5815</v>
      </c>
      <c r="H1607" s="234">
        <v>1.87</v>
      </c>
      <c r="I1607" s="235">
        <f t="shared" si="147"/>
        <v>50.49</v>
      </c>
      <c r="K1607" s="250">
        <f>1.58*27</f>
        <v>42.660000000000004</v>
      </c>
      <c r="L1607" s="237">
        <v>41403</v>
      </c>
      <c r="M1607" s="1" t="s">
        <v>166</v>
      </c>
      <c r="N1607" s="235">
        <f t="shared" si="149"/>
        <v>50.49</v>
      </c>
      <c r="O1607" s="235">
        <f t="shared" si="148"/>
        <v>0</v>
      </c>
      <c r="P1607" s="238" t="s">
        <v>5822</v>
      </c>
      <c r="Q1607" s="5" t="s">
        <v>1562</v>
      </c>
      <c r="R1607" s="239" t="s">
        <v>167</v>
      </c>
      <c r="S1607" s="238" t="s">
        <v>167</v>
      </c>
      <c r="T1607" s="238" t="s">
        <v>167</v>
      </c>
      <c r="U1607" s="238" t="s">
        <v>167</v>
      </c>
      <c r="AB1607" s="5" t="s">
        <v>1561</v>
      </c>
    </row>
    <row r="1608" spans="1:28">
      <c r="A1608" s="233">
        <v>41361</v>
      </c>
      <c r="B1608" s="1" t="s">
        <v>6240</v>
      </c>
      <c r="C1608" s="1" t="s">
        <v>162</v>
      </c>
      <c r="D1608" s="1" t="s">
        <v>5825</v>
      </c>
      <c r="E1608" s="1" t="s">
        <v>5824</v>
      </c>
      <c r="F1608" s="1">
        <v>250</v>
      </c>
      <c r="G1608" s="1" t="s">
        <v>5826</v>
      </c>
      <c r="H1608" s="234">
        <v>110</v>
      </c>
      <c r="I1608" s="235">
        <f t="shared" si="147"/>
        <v>27500</v>
      </c>
      <c r="K1608" s="250">
        <f>107.64*250</f>
        <v>26910</v>
      </c>
      <c r="L1608" s="237">
        <v>41380</v>
      </c>
      <c r="M1608" s="1" t="s">
        <v>6262</v>
      </c>
      <c r="N1608" s="235">
        <f>I1608</f>
        <v>27500</v>
      </c>
      <c r="O1608" s="235">
        <f t="shared" si="148"/>
        <v>0</v>
      </c>
      <c r="P1608" s="238" t="s">
        <v>5838</v>
      </c>
      <c r="Q1608" s="5" t="s">
        <v>1562</v>
      </c>
      <c r="R1608" s="239" t="s">
        <v>167</v>
      </c>
      <c r="S1608" s="238" t="s">
        <v>167</v>
      </c>
      <c r="T1608" s="238" t="s">
        <v>5744</v>
      </c>
      <c r="U1608" s="238" t="s">
        <v>6230</v>
      </c>
      <c r="V1608" s="238" t="s">
        <v>6231</v>
      </c>
      <c r="W1608" s="236">
        <v>37500</v>
      </c>
      <c r="X1608" s="233">
        <v>41379</v>
      </c>
      <c r="Y1608" s="238" t="s">
        <v>6230</v>
      </c>
      <c r="AB1608" s="5" t="s">
        <v>1561</v>
      </c>
    </row>
    <row r="1609" spans="1:28">
      <c r="A1609" s="233">
        <v>41361</v>
      </c>
      <c r="B1609" s="136" t="s">
        <v>4062</v>
      </c>
      <c r="C1609" s="1" t="s">
        <v>162</v>
      </c>
      <c r="D1609" s="5" t="s">
        <v>2014</v>
      </c>
      <c r="E1609" s="1">
        <v>7502</v>
      </c>
      <c r="F1609" s="1">
        <v>45</v>
      </c>
      <c r="G1609" s="1" t="s">
        <v>5815</v>
      </c>
      <c r="H1609" s="234">
        <v>182</v>
      </c>
      <c r="I1609" s="235">
        <f t="shared" si="147"/>
        <v>8190</v>
      </c>
      <c r="K1609" s="250">
        <f>120*40+110*5</f>
        <v>5350</v>
      </c>
      <c r="L1609" s="237">
        <v>41389</v>
      </c>
      <c r="M1609" s="1" t="s">
        <v>166</v>
      </c>
      <c r="N1609" s="235">
        <f t="shared" ref="N1609:N1615" si="150">I1609</f>
        <v>8190</v>
      </c>
      <c r="O1609" s="235">
        <f t="shared" si="148"/>
        <v>0</v>
      </c>
      <c r="P1609" s="238" t="s">
        <v>5834</v>
      </c>
      <c r="Q1609" s="1" t="s">
        <v>5845</v>
      </c>
      <c r="R1609" s="239" t="s">
        <v>4586</v>
      </c>
      <c r="S1609" s="238" t="s">
        <v>4587</v>
      </c>
      <c r="T1609" s="238" t="s">
        <v>4195</v>
      </c>
      <c r="U1609" s="238" t="s">
        <v>5846</v>
      </c>
      <c r="V1609" s="238" t="s">
        <v>5970</v>
      </c>
      <c r="W1609" s="236">
        <v>13860</v>
      </c>
      <c r="X1609" s="233">
        <v>41366</v>
      </c>
      <c r="Y1609" s="238" t="s">
        <v>5972</v>
      </c>
      <c r="AB1609" s="1" t="s">
        <v>2064</v>
      </c>
    </row>
    <row r="1610" spans="1:28">
      <c r="A1610" s="233">
        <v>41361</v>
      </c>
      <c r="B1610" s="136" t="s">
        <v>4062</v>
      </c>
      <c r="C1610" s="1" t="s">
        <v>162</v>
      </c>
      <c r="D1610" s="5" t="s">
        <v>4582</v>
      </c>
      <c r="E1610" s="1" t="s">
        <v>1847</v>
      </c>
      <c r="F1610" s="1">
        <v>100</v>
      </c>
      <c r="G1610" s="1" t="s">
        <v>5815</v>
      </c>
      <c r="H1610" s="234">
        <v>40.6</v>
      </c>
      <c r="I1610" s="235">
        <f t="shared" si="147"/>
        <v>4060</v>
      </c>
      <c r="K1610" s="250">
        <f>24.2*100</f>
        <v>2420</v>
      </c>
      <c r="L1610" s="237">
        <v>41389</v>
      </c>
      <c r="M1610" s="1" t="s">
        <v>166</v>
      </c>
      <c r="N1610" s="235">
        <f t="shared" si="150"/>
        <v>4060</v>
      </c>
      <c r="O1610" s="235">
        <f t="shared" si="148"/>
        <v>0</v>
      </c>
      <c r="P1610" s="238" t="s">
        <v>5834</v>
      </c>
      <c r="Q1610" s="1" t="s">
        <v>5845</v>
      </c>
      <c r="R1610" s="239" t="s">
        <v>4586</v>
      </c>
      <c r="S1610" s="238" t="s">
        <v>4587</v>
      </c>
      <c r="T1610" s="238" t="s">
        <v>4195</v>
      </c>
      <c r="U1610" s="238" t="s">
        <v>5846</v>
      </c>
      <c r="V1610" s="238" t="s">
        <v>5970</v>
      </c>
      <c r="W1610" s="236">
        <v>13860</v>
      </c>
      <c r="X1610" s="233">
        <v>41366</v>
      </c>
      <c r="Y1610" s="238" t="s">
        <v>5972</v>
      </c>
      <c r="AB1610" s="1" t="s">
        <v>2064</v>
      </c>
    </row>
    <row r="1611" spans="1:28">
      <c r="A1611" s="233">
        <v>41361</v>
      </c>
      <c r="B1611" s="136" t="s">
        <v>4062</v>
      </c>
      <c r="C1611" s="1" t="s">
        <v>162</v>
      </c>
      <c r="D1611" s="1" t="s">
        <v>1210</v>
      </c>
      <c r="E1611" s="1">
        <v>3200</v>
      </c>
      <c r="F1611" s="1">
        <v>20</v>
      </c>
      <c r="G1611" s="1" t="s">
        <v>5815</v>
      </c>
      <c r="H1611" s="234">
        <v>35</v>
      </c>
      <c r="I1611" s="235">
        <f t="shared" si="147"/>
        <v>700</v>
      </c>
      <c r="K1611" s="250">
        <f>23.94*20</f>
        <v>478.8</v>
      </c>
      <c r="L1611" s="237">
        <v>41389</v>
      </c>
      <c r="M1611" s="1" t="s">
        <v>166</v>
      </c>
      <c r="N1611" s="235">
        <f t="shared" si="150"/>
        <v>700</v>
      </c>
      <c r="O1611" s="235">
        <f t="shared" si="148"/>
        <v>0</v>
      </c>
      <c r="P1611" s="238" t="s">
        <v>5834</v>
      </c>
      <c r="Q1611" s="1" t="s">
        <v>5845</v>
      </c>
      <c r="R1611" s="239" t="s">
        <v>4586</v>
      </c>
      <c r="S1611" s="238" t="s">
        <v>4587</v>
      </c>
      <c r="T1611" s="238" t="s">
        <v>4195</v>
      </c>
      <c r="U1611" s="238" t="s">
        <v>5846</v>
      </c>
      <c r="V1611" s="238" t="s">
        <v>5970</v>
      </c>
      <c r="W1611" s="236">
        <v>13860</v>
      </c>
      <c r="X1611" s="233">
        <v>41366</v>
      </c>
      <c r="Y1611" s="238" t="s">
        <v>5972</v>
      </c>
      <c r="AB1611" s="1" t="s">
        <v>2064</v>
      </c>
    </row>
    <row r="1612" spans="1:28">
      <c r="A1612" s="233">
        <v>41361</v>
      </c>
      <c r="B1612" s="5" t="s">
        <v>2105</v>
      </c>
      <c r="C1612" s="1" t="s">
        <v>162</v>
      </c>
      <c r="D1612" s="1" t="s">
        <v>1882</v>
      </c>
      <c r="E1612" s="1" t="s">
        <v>22</v>
      </c>
      <c r="F1612" s="1">
        <v>200</v>
      </c>
      <c r="G1612" s="1" t="s">
        <v>170</v>
      </c>
      <c r="H1612" s="234">
        <v>14.32</v>
      </c>
      <c r="I1612" s="235">
        <f t="shared" si="147"/>
        <v>2864</v>
      </c>
      <c r="K1612" s="250">
        <f>10.94*200</f>
        <v>2188</v>
      </c>
      <c r="L1612" s="237">
        <v>41391</v>
      </c>
      <c r="M1612" s="1" t="s">
        <v>165</v>
      </c>
      <c r="N1612" s="235">
        <f t="shared" si="150"/>
        <v>2864</v>
      </c>
      <c r="O1612" s="235">
        <f t="shared" si="148"/>
        <v>0</v>
      </c>
      <c r="P1612" s="238" t="s">
        <v>5832</v>
      </c>
      <c r="Q1612" s="1" t="s">
        <v>5843</v>
      </c>
      <c r="R1612" s="247" t="s">
        <v>2470</v>
      </c>
      <c r="S1612" s="246" t="s">
        <v>2103</v>
      </c>
      <c r="T1612" s="246" t="s">
        <v>3694</v>
      </c>
      <c r="U1612" s="238" t="s">
        <v>5847</v>
      </c>
      <c r="V1612" s="238" t="s">
        <v>175</v>
      </c>
      <c r="AB1612" s="1" t="s">
        <v>1561</v>
      </c>
    </row>
    <row r="1613" spans="1:28">
      <c r="A1613" s="233">
        <v>41361</v>
      </c>
      <c r="B1613" s="5" t="s">
        <v>2105</v>
      </c>
      <c r="C1613" s="1" t="s">
        <v>162</v>
      </c>
      <c r="D1613" s="5" t="s">
        <v>268</v>
      </c>
      <c r="E1613" s="1" t="s">
        <v>177</v>
      </c>
      <c r="F1613" s="5">
        <v>200</v>
      </c>
      <c r="G1613" s="1" t="s">
        <v>171</v>
      </c>
      <c r="H1613" s="234">
        <v>1.53</v>
      </c>
      <c r="I1613" s="235">
        <f t="shared" si="147"/>
        <v>306</v>
      </c>
      <c r="K1613" s="250">
        <f>1.17*200</f>
        <v>234</v>
      </c>
      <c r="L1613" s="237">
        <v>41391</v>
      </c>
      <c r="M1613" s="1" t="s">
        <v>165</v>
      </c>
      <c r="N1613" s="235">
        <f t="shared" si="150"/>
        <v>306</v>
      </c>
      <c r="O1613" s="235">
        <f t="shared" si="148"/>
        <v>0</v>
      </c>
      <c r="P1613" s="238" t="s">
        <v>5832</v>
      </c>
      <c r="Q1613" s="1" t="s">
        <v>5843</v>
      </c>
      <c r="R1613" s="247" t="s">
        <v>2470</v>
      </c>
      <c r="S1613" s="246" t="s">
        <v>2103</v>
      </c>
      <c r="T1613" s="246" t="s">
        <v>3694</v>
      </c>
      <c r="U1613" s="238" t="s">
        <v>5847</v>
      </c>
      <c r="V1613" s="238" t="s">
        <v>175</v>
      </c>
      <c r="AB1613" s="1" t="s">
        <v>1561</v>
      </c>
    </row>
    <row r="1614" spans="1:28">
      <c r="A1614" s="233">
        <v>41361</v>
      </c>
      <c r="B1614" s="5" t="s">
        <v>2105</v>
      </c>
      <c r="C1614" s="1" t="s">
        <v>162</v>
      </c>
      <c r="D1614" s="1" t="s">
        <v>232</v>
      </c>
      <c r="E1614" s="5" t="s">
        <v>194</v>
      </c>
      <c r="F1614" s="1">
        <v>200</v>
      </c>
      <c r="G1614" s="1" t="s">
        <v>171</v>
      </c>
      <c r="H1614" s="234">
        <v>5.6</v>
      </c>
      <c r="I1614" s="235">
        <f t="shared" si="147"/>
        <v>1120</v>
      </c>
      <c r="K1614" s="250">
        <f>4.75*200</f>
        <v>950</v>
      </c>
      <c r="L1614" s="237">
        <v>41391</v>
      </c>
      <c r="M1614" s="1" t="s">
        <v>165</v>
      </c>
      <c r="N1614" s="235">
        <f t="shared" si="150"/>
        <v>1120</v>
      </c>
      <c r="O1614" s="235">
        <f t="shared" si="148"/>
        <v>0</v>
      </c>
      <c r="P1614" s="238" t="s">
        <v>5832</v>
      </c>
      <c r="Q1614" s="1" t="s">
        <v>5843</v>
      </c>
      <c r="R1614" s="247" t="s">
        <v>2470</v>
      </c>
      <c r="S1614" s="246" t="s">
        <v>2103</v>
      </c>
      <c r="T1614" s="246" t="s">
        <v>3694</v>
      </c>
      <c r="U1614" s="238" t="s">
        <v>5847</v>
      </c>
      <c r="V1614" s="238" t="s">
        <v>175</v>
      </c>
      <c r="AB1614" s="1" t="s">
        <v>1561</v>
      </c>
    </row>
    <row r="1615" spans="1:28">
      <c r="A1615" s="233">
        <v>41361</v>
      </c>
      <c r="B1615" s="5" t="s">
        <v>2105</v>
      </c>
      <c r="C1615" s="1" t="s">
        <v>162</v>
      </c>
      <c r="D1615" s="391" t="s">
        <v>5047</v>
      </c>
      <c r="E1615" s="1">
        <v>8210</v>
      </c>
      <c r="F1615" s="1">
        <v>120</v>
      </c>
      <c r="G1615" s="1" t="s">
        <v>170</v>
      </c>
      <c r="H1615" s="234">
        <v>4.6500000000000004</v>
      </c>
      <c r="I1615" s="235">
        <f t="shared" si="147"/>
        <v>558</v>
      </c>
      <c r="K1615" s="250">
        <f>3.78*120</f>
        <v>453.59999999999997</v>
      </c>
      <c r="L1615" s="237">
        <v>41391</v>
      </c>
      <c r="M1615" s="1" t="s">
        <v>165</v>
      </c>
      <c r="N1615" s="235">
        <f t="shared" si="150"/>
        <v>558</v>
      </c>
      <c r="O1615" s="235">
        <f t="shared" si="148"/>
        <v>0</v>
      </c>
      <c r="P1615" s="238" t="s">
        <v>5832</v>
      </c>
      <c r="Q1615" s="1" t="s">
        <v>5843</v>
      </c>
      <c r="R1615" s="247" t="s">
        <v>2470</v>
      </c>
      <c r="S1615" s="246" t="s">
        <v>2103</v>
      </c>
      <c r="T1615" s="246" t="s">
        <v>3694</v>
      </c>
      <c r="U1615" s="238" t="s">
        <v>5847</v>
      </c>
      <c r="V1615" s="238" t="s">
        <v>175</v>
      </c>
      <c r="AB1615" s="1" t="s">
        <v>1561</v>
      </c>
    </row>
    <row r="1616" spans="1:28">
      <c r="A1616" s="233">
        <v>41361</v>
      </c>
      <c r="B1616" s="1" t="s">
        <v>5280</v>
      </c>
      <c r="C1616" s="5" t="s">
        <v>162</v>
      </c>
      <c r="D1616" s="5" t="s">
        <v>2012</v>
      </c>
      <c r="E1616" s="1" t="s">
        <v>5835</v>
      </c>
      <c r="F1616" s="1">
        <v>50</v>
      </c>
      <c r="G1616" s="1" t="s">
        <v>5836</v>
      </c>
      <c r="H1616" s="234">
        <v>1.7</v>
      </c>
      <c r="I1616" s="235">
        <f>H1616*F1616</f>
        <v>85</v>
      </c>
      <c r="K1616" s="250">
        <f>1.4*50</f>
        <v>70</v>
      </c>
      <c r="N1616" s="235">
        <v>0</v>
      </c>
      <c r="O1616" s="235">
        <f t="shared" si="148"/>
        <v>85</v>
      </c>
      <c r="P1616" s="238" t="s">
        <v>5837</v>
      </c>
      <c r="Q1616" s="1" t="s">
        <v>5843</v>
      </c>
      <c r="R1616" s="239" t="s">
        <v>5285</v>
      </c>
      <c r="S1616" s="238" t="s">
        <v>5286</v>
      </c>
      <c r="T1616" s="238" t="s">
        <v>5287</v>
      </c>
      <c r="U1616" s="238" t="s">
        <v>5844</v>
      </c>
      <c r="V1616" s="238" t="s">
        <v>175</v>
      </c>
      <c r="W1616" s="236" t="s">
        <v>167</v>
      </c>
      <c r="X1616" s="233" t="s">
        <v>167</v>
      </c>
      <c r="Y1616" s="238" t="s">
        <v>167</v>
      </c>
      <c r="AB1616" s="1" t="s">
        <v>1561</v>
      </c>
    </row>
    <row r="1617" spans="1:28">
      <c r="A1617" s="233">
        <v>41361</v>
      </c>
      <c r="B1617" s="1" t="s">
        <v>1569</v>
      </c>
      <c r="C1617" s="1" t="s">
        <v>7</v>
      </c>
      <c r="D1617" s="5" t="s">
        <v>1663</v>
      </c>
      <c r="E1617" s="1" t="s">
        <v>1659</v>
      </c>
      <c r="F1617" s="1">
        <v>8</v>
      </c>
      <c r="G1617" s="1" t="s">
        <v>5808</v>
      </c>
      <c r="H1617" s="234">
        <v>72</v>
      </c>
      <c r="I1617" s="235">
        <f>H1617*F1617</f>
        <v>576</v>
      </c>
      <c r="K1617" s="250">
        <f>69.5*8</f>
        <v>556</v>
      </c>
      <c r="L1617" s="237">
        <v>41411</v>
      </c>
      <c r="M1617" s="1" t="s">
        <v>166</v>
      </c>
      <c r="N1617" s="235">
        <f t="shared" ref="N1617:N1619" si="151">I1617</f>
        <v>576</v>
      </c>
      <c r="O1617" s="235">
        <f t="shared" si="148"/>
        <v>0</v>
      </c>
      <c r="P1617" s="238" t="s">
        <v>5848</v>
      </c>
      <c r="Q1617" s="1" t="s">
        <v>1571</v>
      </c>
      <c r="R1617" s="239" t="s">
        <v>1570</v>
      </c>
      <c r="S1617" s="238">
        <v>13368068212</v>
      </c>
      <c r="T1617" s="238" t="s">
        <v>167</v>
      </c>
      <c r="U1617" s="238" t="s">
        <v>167</v>
      </c>
      <c r="V1617" s="238" t="s">
        <v>6540</v>
      </c>
      <c r="W1617" s="236">
        <v>33461.35</v>
      </c>
      <c r="X1617" s="233">
        <v>41390</v>
      </c>
      <c r="Y1617" s="238" t="s">
        <v>3866</v>
      </c>
      <c r="AB1617" s="5" t="s">
        <v>1561</v>
      </c>
    </row>
    <row r="1618" spans="1:28">
      <c r="A1618" s="233">
        <v>41361</v>
      </c>
      <c r="B1618" s="1" t="s">
        <v>1569</v>
      </c>
      <c r="C1618" s="1" t="s">
        <v>162</v>
      </c>
      <c r="D1618" s="5" t="s">
        <v>1717</v>
      </c>
      <c r="E1618" s="1">
        <v>10435</v>
      </c>
      <c r="F1618" s="1">
        <v>1</v>
      </c>
      <c r="G1618" s="1" t="s">
        <v>5810</v>
      </c>
      <c r="H1618" s="234">
        <v>14.88</v>
      </c>
      <c r="I1618" s="235">
        <f>H1618*F1618</f>
        <v>14.88</v>
      </c>
      <c r="K1618" s="282">
        <f>14.8*1</f>
        <v>14.8</v>
      </c>
      <c r="L1618" s="237">
        <v>41411</v>
      </c>
      <c r="M1618" s="1" t="s">
        <v>166</v>
      </c>
      <c r="N1618" s="235">
        <f t="shared" si="151"/>
        <v>14.88</v>
      </c>
      <c r="O1618" s="235">
        <f t="shared" si="148"/>
        <v>0</v>
      </c>
      <c r="P1618" s="238" t="s">
        <v>5848</v>
      </c>
      <c r="Q1618" s="1" t="s">
        <v>1571</v>
      </c>
      <c r="R1618" s="239" t="s">
        <v>1570</v>
      </c>
      <c r="S1618" s="238">
        <v>13368068212</v>
      </c>
      <c r="T1618" s="238" t="s">
        <v>167</v>
      </c>
      <c r="U1618" s="238" t="s">
        <v>167</v>
      </c>
      <c r="V1618" s="238" t="s">
        <v>6540</v>
      </c>
      <c r="W1618" s="236">
        <v>33461.35</v>
      </c>
      <c r="X1618" s="233">
        <v>41390</v>
      </c>
      <c r="Y1618" s="238" t="s">
        <v>3866</v>
      </c>
      <c r="Z1618" s="255" t="s">
        <v>184</v>
      </c>
      <c r="AB1618" s="5" t="s">
        <v>1561</v>
      </c>
    </row>
    <row r="1619" spans="1:28">
      <c r="A1619" s="233">
        <v>41361</v>
      </c>
      <c r="B1619" s="1" t="s">
        <v>1569</v>
      </c>
      <c r="C1619" s="1" t="s">
        <v>162</v>
      </c>
      <c r="D1619" s="1" t="s">
        <v>307</v>
      </c>
      <c r="E1619" s="1">
        <v>1110</v>
      </c>
      <c r="F1619" s="1">
        <v>2000</v>
      </c>
      <c r="G1619" s="1" t="s">
        <v>172</v>
      </c>
      <c r="H1619" s="234">
        <v>0.8</v>
      </c>
      <c r="I1619" s="235">
        <f t="shared" ref="I1619:I1640" si="152">F1619*H1619</f>
        <v>1600</v>
      </c>
      <c r="K1619" s="250">
        <f>0.71*2000</f>
        <v>1420</v>
      </c>
      <c r="L1619" s="237">
        <v>41411</v>
      </c>
      <c r="M1619" s="1" t="s">
        <v>166</v>
      </c>
      <c r="N1619" s="235">
        <f t="shared" si="151"/>
        <v>1600</v>
      </c>
      <c r="O1619" s="235">
        <f t="shared" si="148"/>
        <v>0</v>
      </c>
      <c r="P1619" s="238" t="s">
        <v>5848</v>
      </c>
      <c r="Q1619" s="1" t="s">
        <v>1571</v>
      </c>
      <c r="R1619" s="239" t="s">
        <v>1570</v>
      </c>
      <c r="S1619" s="238">
        <v>13368068212</v>
      </c>
      <c r="T1619" s="238" t="s">
        <v>167</v>
      </c>
      <c r="U1619" s="238" t="s">
        <v>167</v>
      </c>
      <c r="V1619" s="238" t="s">
        <v>6540</v>
      </c>
      <c r="W1619" s="236">
        <v>33461.35</v>
      </c>
      <c r="X1619" s="233">
        <v>41390</v>
      </c>
      <c r="Y1619" s="238" t="s">
        <v>3866</v>
      </c>
      <c r="AB1619" s="5" t="s">
        <v>1561</v>
      </c>
    </row>
    <row r="1620" spans="1:28">
      <c r="A1620" s="233">
        <v>41361</v>
      </c>
      <c r="B1620" s="1" t="s">
        <v>5860</v>
      </c>
      <c r="C1620" s="1" t="s">
        <v>162</v>
      </c>
      <c r="D1620" s="1" t="s">
        <v>2010</v>
      </c>
      <c r="E1620" s="1">
        <v>10434</v>
      </c>
      <c r="F1620" s="1">
        <v>50</v>
      </c>
      <c r="G1620" s="1" t="s">
        <v>172</v>
      </c>
      <c r="H1620" s="234">
        <v>21</v>
      </c>
      <c r="I1620" s="235">
        <f t="shared" si="152"/>
        <v>1050</v>
      </c>
      <c r="K1620" s="250">
        <f>14.8*50</f>
        <v>740</v>
      </c>
      <c r="L1620" s="237">
        <v>41381</v>
      </c>
      <c r="M1620" s="1" t="s">
        <v>6320</v>
      </c>
      <c r="N1620" s="235">
        <f t="shared" ref="N1620:N1636" si="153">I1620</f>
        <v>1050</v>
      </c>
      <c r="O1620" s="235">
        <f t="shared" si="148"/>
        <v>0</v>
      </c>
      <c r="P1620" s="238" t="s">
        <v>5852</v>
      </c>
      <c r="Q1620" s="1" t="s">
        <v>1571</v>
      </c>
      <c r="R1620" s="239" t="s">
        <v>5861</v>
      </c>
      <c r="S1620" s="238" t="s">
        <v>5862</v>
      </c>
      <c r="T1620" s="238" t="s">
        <v>5863</v>
      </c>
      <c r="U1620" s="238" t="s">
        <v>167</v>
      </c>
      <c r="V1620" s="238" t="s">
        <v>6007</v>
      </c>
      <c r="W1620" s="236">
        <v>4555</v>
      </c>
      <c r="X1620" s="233">
        <v>41367</v>
      </c>
      <c r="Y1620" s="238" t="s">
        <v>6008</v>
      </c>
      <c r="AB1620" s="1" t="s">
        <v>5853</v>
      </c>
    </row>
    <row r="1621" spans="1:28">
      <c r="A1621" s="233">
        <v>41361</v>
      </c>
      <c r="B1621" s="1" t="s">
        <v>5860</v>
      </c>
      <c r="C1621" s="1" t="s">
        <v>162</v>
      </c>
      <c r="D1621" s="5" t="s">
        <v>182</v>
      </c>
      <c r="E1621" s="1" t="s">
        <v>2049</v>
      </c>
      <c r="F1621" s="1">
        <v>500</v>
      </c>
      <c r="G1621" s="1" t="s">
        <v>5850</v>
      </c>
      <c r="H1621" s="234">
        <v>2.2000000000000002</v>
      </c>
      <c r="I1621" s="235">
        <f t="shared" si="152"/>
        <v>1100</v>
      </c>
      <c r="K1621" s="250">
        <f>1.24*500</f>
        <v>620</v>
      </c>
      <c r="L1621" s="237">
        <v>41381</v>
      </c>
      <c r="M1621" s="1" t="s">
        <v>6320</v>
      </c>
      <c r="N1621" s="235">
        <f t="shared" si="153"/>
        <v>1100</v>
      </c>
      <c r="O1621" s="235">
        <f t="shared" si="148"/>
        <v>0</v>
      </c>
      <c r="P1621" s="238" t="s">
        <v>5852</v>
      </c>
      <c r="Q1621" s="1" t="s">
        <v>1571</v>
      </c>
      <c r="R1621" s="239" t="s">
        <v>5861</v>
      </c>
      <c r="S1621" s="238" t="s">
        <v>5862</v>
      </c>
      <c r="T1621" s="238" t="s">
        <v>5863</v>
      </c>
      <c r="U1621" s="238" t="s">
        <v>167</v>
      </c>
      <c r="V1621" s="238" t="s">
        <v>6007</v>
      </c>
      <c r="W1621" s="236">
        <v>4555</v>
      </c>
      <c r="X1621" s="233">
        <v>41367</v>
      </c>
      <c r="Y1621" s="238" t="s">
        <v>6008</v>
      </c>
      <c r="AB1621" s="1" t="s">
        <v>5853</v>
      </c>
    </row>
    <row r="1622" spans="1:28">
      <c r="A1622" s="233">
        <v>41361</v>
      </c>
      <c r="B1622" s="1" t="s">
        <v>5860</v>
      </c>
      <c r="C1622" s="1" t="s">
        <v>162</v>
      </c>
      <c r="D1622" s="1" t="s">
        <v>5764</v>
      </c>
      <c r="E1622" s="1" t="s">
        <v>5851</v>
      </c>
      <c r="F1622" s="1">
        <v>50</v>
      </c>
      <c r="G1622" s="1" t="s">
        <v>192</v>
      </c>
      <c r="H1622" s="234">
        <v>45</v>
      </c>
      <c r="I1622" s="235">
        <f t="shared" si="152"/>
        <v>2250</v>
      </c>
      <c r="K1622" s="250">
        <f>33.111*50</f>
        <v>1655.55</v>
      </c>
      <c r="L1622" s="237">
        <v>41381</v>
      </c>
      <c r="M1622" s="1" t="s">
        <v>6320</v>
      </c>
      <c r="N1622" s="235">
        <f t="shared" si="153"/>
        <v>2250</v>
      </c>
      <c r="O1622" s="235">
        <f t="shared" si="148"/>
        <v>0</v>
      </c>
      <c r="P1622" s="238" t="s">
        <v>5852</v>
      </c>
      <c r="Q1622" s="1" t="s">
        <v>1571</v>
      </c>
      <c r="R1622" s="239" t="s">
        <v>5861</v>
      </c>
      <c r="S1622" s="238" t="s">
        <v>5862</v>
      </c>
      <c r="T1622" s="238" t="s">
        <v>5863</v>
      </c>
      <c r="U1622" s="238" t="s">
        <v>167</v>
      </c>
      <c r="V1622" s="238" t="s">
        <v>6007</v>
      </c>
      <c r="W1622" s="236">
        <v>4555</v>
      </c>
      <c r="X1622" s="233">
        <v>41367</v>
      </c>
      <c r="Y1622" s="238" t="s">
        <v>6008</v>
      </c>
      <c r="AB1622" s="1" t="s">
        <v>5853</v>
      </c>
    </row>
    <row r="1623" spans="1:28">
      <c r="A1623" s="233">
        <v>41361</v>
      </c>
      <c r="B1623" s="1" t="s">
        <v>5860</v>
      </c>
      <c r="C1623" s="1" t="s">
        <v>162</v>
      </c>
      <c r="D1623" s="1" t="s">
        <v>681</v>
      </c>
      <c r="E1623" s="1" t="s">
        <v>5849</v>
      </c>
      <c r="F1623" s="1">
        <v>31</v>
      </c>
      <c r="G1623" s="1" t="s">
        <v>5839</v>
      </c>
      <c r="H1623" s="234">
        <v>5</v>
      </c>
      <c r="I1623" s="235">
        <f t="shared" si="152"/>
        <v>155</v>
      </c>
      <c r="K1623" s="250">
        <f>3.31*31</f>
        <v>102.61</v>
      </c>
      <c r="L1623" s="237">
        <v>41381</v>
      </c>
      <c r="M1623" s="1" t="s">
        <v>6320</v>
      </c>
      <c r="N1623" s="235">
        <f t="shared" si="153"/>
        <v>155</v>
      </c>
      <c r="O1623" s="235">
        <f t="shared" si="148"/>
        <v>0</v>
      </c>
      <c r="P1623" s="238" t="s">
        <v>5852</v>
      </c>
      <c r="Q1623" s="1" t="s">
        <v>1571</v>
      </c>
      <c r="R1623" s="239" t="s">
        <v>5861</v>
      </c>
      <c r="S1623" s="238" t="s">
        <v>5862</v>
      </c>
      <c r="T1623" s="238" t="s">
        <v>5863</v>
      </c>
      <c r="U1623" s="238" t="s">
        <v>167</v>
      </c>
      <c r="V1623" s="238" t="s">
        <v>6007</v>
      </c>
      <c r="W1623" s="236">
        <v>4555</v>
      </c>
      <c r="X1623" s="233">
        <v>41367</v>
      </c>
      <c r="Y1623" s="238" t="s">
        <v>6008</v>
      </c>
      <c r="AB1623" s="1" t="s">
        <v>5853</v>
      </c>
    </row>
    <row r="1624" spans="1:28">
      <c r="A1624" s="233">
        <v>41362</v>
      </c>
      <c r="B1624" s="1" t="s">
        <v>3770</v>
      </c>
      <c r="C1624" s="1" t="s">
        <v>5643</v>
      </c>
      <c r="D1624" s="1" t="s">
        <v>5646</v>
      </c>
      <c r="E1624" s="1" t="s">
        <v>5645</v>
      </c>
      <c r="F1624" s="1">
        <v>2</v>
      </c>
      <c r="G1624" s="1" t="s">
        <v>5648</v>
      </c>
      <c r="H1624" s="234">
        <v>310</v>
      </c>
      <c r="I1624" s="235">
        <f t="shared" si="152"/>
        <v>620</v>
      </c>
      <c r="K1624" s="250">
        <f>290*2</f>
        <v>580</v>
      </c>
      <c r="L1624" s="237">
        <v>41366</v>
      </c>
      <c r="M1624" s="1" t="s">
        <v>6002</v>
      </c>
      <c r="N1624" s="235">
        <f t="shared" si="153"/>
        <v>620</v>
      </c>
      <c r="O1624" s="235">
        <f t="shared" ref="O1624:O1641" si="154">I1624-N1624</f>
        <v>0</v>
      </c>
      <c r="P1624" s="238" t="s">
        <v>5884</v>
      </c>
      <c r="Q1624" s="1" t="s">
        <v>1562</v>
      </c>
      <c r="R1624" s="1" t="s">
        <v>3772</v>
      </c>
      <c r="S1624" s="238" t="s">
        <v>3773</v>
      </c>
      <c r="T1624" s="238" t="s">
        <v>4404</v>
      </c>
      <c r="U1624" s="238" t="s">
        <v>167</v>
      </c>
      <c r="AB1624" s="1" t="s">
        <v>1561</v>
      </c>
    </row>
    <row r="1625" spans="1:28">
      <c r="A1625" s="233">
        <v>41362</v>
      </c>
      <c r="B1625" s="1" t="s">
        <v>3770</v>
      </c>
      <c r="C1625" s="1" t="s">
        <v>5643</v>
      </c>
      <c r="D1625" s="1" t="s">
        <v>5647</v>
      </c>
      <c r="E1625" s="1" t="s">
        <v>5644</v>
      </c>
      <c r="F1625" s="1">
        <v>1</v>
      </c>
      <c r="G1625" s="1" t="s">
        <v>5648</v>
      </c>
      <c r="H1625" s="234">
        <v>310</v>
      </c>
      <c r="I1625" s="235">
        <f t="shared" si="152"/>
        <v>310</v>
      </c>
      <c r="K1625" s="250">
        <f>290*1</f>
        <v>290</v>
      </c>
      <c r="L1625" s="237">
        <v>41366</v>
      </c>
      <c r="M1625" s="1" t="s">
        <v>6002</v>
      </c>
      <c r="N1625" s="235">
        <f t="shared" si="153"/>
        <v>310</v>
      </c>
      <c r="O1625" s="235">
        <f t="shared" si="154"/>
        <v>0</v>
      </c>
      <c r="P1625" s="238" t="s">
        <v>5884</v>
      </c>
      <c r="Q1625" s="1" t="s">
        <v>1562</v>
      </c>
      <c r="R1625" s="1" t="s">
        <v>3772</v>
      </c>
      <c r="S1625" s="238" t="s">
        <v>3773</v>
      </c>
      <c r="T1625" s="238" t="s">
        <v>4404</v>
      </c>
      <c r="U1625" s="238" t="s">
        <v>167</v>
      </c>
      <c r="AB1625" s="1" t="s">
        <v>1561</v>
      </c>
    </row>
    <row r="1626" spans="1:28">
      <c r="A1626" s="233">
        <v>41362</v>
      </c>
      <c r="B1626" s="1" t="s">
        <v>5886</v>
      </c>
      <c r="C1626" s="383" t="s">
        <v>5667</v>
      </c>
      <c r="D1626" s="342" t="s">
        <v>5669</v>
      </c>
      <c r="E1626" s="342" t="s">
        <v>5668</v>
      </c>
      <c r="F1626" s="342">
        <v>1</v>
      </c>
      <c r="G1626" s="1" t="s">
        <v>5885</v>
      </c>
      <c r="H1626" s="234">
        <v>25</v>
      </c>
      <c r="I1626" s="235">
        <f t="shared" si="152"/>
        <v>25</v>
      </c>
      <c r="K1626" s="250">
        <f>22.68*1</f>
        <v>22.68</v>
      </c>
      <c r="L1626" s="237">
        <v>41362</v>
      </c>
      <c r="M1626" s="1" t="s">
        <v>5887</v>
      </c>
      <c r="N1626" s="235">
        <f t="shared" si="153"/>
        <v>25</v>
      </c>
      <c r="O1626" s="235">
        <f t="shared" si="154"/>
        <v>0</v>
      </c>
      <c r="P1626" s="238" t="s">
        <v>5856</v>
      </c>
      <c r="Q1626" s="1" t="s">
        <v>1571</v>
      </c>
      <c r="R1626" s="1" t="s">
        <v>5856</v>
      </c>
      <c r="S1626" s="238" t="s">
        <v>5856</v>
      </c>
      <c r="T1626" s="238" t="s">
        <v>5856</v>
      </c>
      <c r="U1626" s="238" t="s">
        <v>5856</v>
      </c>
      <c r="V1626" s="238" t="s">
        <v>5856</v>
      </c>
      <c r="W1626" s="236" t="s">
        <v>5856</v>
      </c>
      <c r="X1626" s="233" t="s">
        <v>5856</v>
      </c>
      <c r="Y1626" s="238" t="s">
        <v>5856</v>
      </c>
      <c r="Z1626" s="255" t="s">
        <v>5856</v>
      </c>
      <c r="AB1626" s="1" t="s">
        <v>1561</v>
      </c>
    </row>
    <row r="1627" spans="1:28">
      <c r="A1627" s="233">
        <v>41362</v>
      </c>
      <c r="B1627" s="1" t="s">
        <v>5886</v>
      </c>
      <c r="C1627" s="383" t="s">
        <v>5667</v>
      </c>
      <c r="D1627" s="342" t="s">
        <v>5670</v>
      </c>
      <c r="E1627" s="342" t="s">
        <v>5668</v>
      </c>
      <c r="F1627" s="342">
        <v>2</v>
      </c>
      <c r="G1627" s="1" t="s">
        <v>5885</v>
      </c>
      <c r="H1627" s="234">
        <v>25</v>
      </c>
      <c r="I1627" s="235">
        <f t="shared" si="152"/>
        <v>50</v>
      </c>
      <c r="K1627" s="250">
        <f>22.68*2</f>
        <v>45.36</v>
      </c>
      <c r="L1627" s="237">
        <v>41362</v>
      </c>
      <c r="M1627" s="1" t="s">
        <v>5887</v>
      </c>
      <c r="N1627" s="235">
        <f t="shared" si="153"/>
        <v>50</v>
      </c>
      <c r="O1627" s="235">
        <f t="shared" si="154"/>
        <v>0</v>
      </c>
      <c r="P1627" s="238" t="s">
        <v>5856</v>
      </c>
      <c r="Q1627" s="1" t="s">
        <v>1571</v>
      </c>
      <c r="R1627" s="1" t="s">
        <v>5856</v>
      </c>
      <c r="S1627" s="238" t="s">
        <v>5856</v>
      </c>
      <c r="T1627" s="238" t="s">
        <v>5856</v>
      </c>
      <c r="U1627" s="238" t="s">
        <v>5856</v>
      </c>
      <c r="V1627" s="238" t="s">
        <v>5856</v>
      </c>
      <c r="W1627" s="236" t="s">
        <v>5856</v>
      </c>
      <c r="X1627" s="233" t="s">
        <v>5856</v>
      </c>
      <c r="Y1627" s="238" t="s">
        <v>5856</v>
      </c>
      <c r="Z1627" s="255" t="s">
        <v>5856</v>
      </c>
      <c r="AB1627" s="1" t="s">
        <v>1561</v>
      </c>
    </row>
    <row r="1628" spans="1:28">
      <c r="A1628" s="233">
        <v>41362</v>
      </c>
      <c r="B1628" s="1" t="s">
        <v>5886</v>
      </c>
      <c r="C1628" s="383" t="s">
        <v>162</v>
      </c>
      <c r="D1628" s="342" t="s">
        <v>5802</v>
      </c>
      <c r="E1628" s="342" t="s">
        <v>167</v>
      </c>
      <c r="F1628" s="342">
        <v>3</v>
      </c>
      <c r="G1628" s="342" t="s">
        <v>174</v>
      </c>
      <c r="H1628" s="234">
        <v>75</v>
      </c>
      <c r="I1628" s="235">
        <f t="shared" si="152"/>
        <v>225</v>
      </c>
      <c r="K1628" s="250">
        <f>60*3</f>
        <v>180</v>
      </c>
      <c r="L1628" s="237">
        <v>41362</v>
      </c>
      <c r="M1628" s="1" t="s">
        <v>5887</v>
      </c>
      <c r="N1628" s="235">
        <f t="shared" si="153"/>
        <v>225</v>
      </c>
      <c r="O1628" s="235">
        <f t="shared" si="154"/>
        <v>0</v>
      </c>
      <c r="P1628" s="238" t="s">
        <v>5856</v>
      </c>
      <c r="Q1628" s="1" t="s">
        <v>1571</v>
      </c>
      <c r="R1628" s="1" t="s">
        <v>5856</v>
      </c>
      <c r="S1628" s="238" t="s">
        <v>5856</v>
      </c>
      <c r="T1628" s="238" t="s">
        <v>5856</v>
      </c>
      <c r="U1628" s="238" t="s">
        <v>5856</v>
      </c>
      <c r="V1628" s="238" t="s">
        <v>5856</v>
      </c>
      <c r="W1628" s="236" t="s">
        <v>5856</v>
      </c>
      <c r="X1628" s="233" t="s">
        <v>5856</v>
      </c>
      <c r="Y1628" s="238" t="s">
        <v>5856</v>
      </c>
      <c r="Z1628" s="255" t="s">
        <v>5856</v>
      </c>
      <c r="AB1628" s="1" t="s">
        <v>1561</v>
      </c>
    </row>
    <row r="1629" spans="1:28">
      <c r="A1629" s="233">
        <v>41362</v>
      </c>
      <c r="B1629" s="1" t="s">
        <v>5082</v>
      </c>
      <c r="C1629" s="1" t="s">
        <v>7</v>
      </c>
      <c r="D1629" s="1" t="s">
        <v>5891</v>
      </c>
      <c r="E1629" s="1" t="s">
        <v>5888</v>
      </c>
      <c r="F1629" s="1">
        <v>10</v>
      </c>
      <c r="G1629" s="1" t="s">
        <v>827</v>
      </c>
      <c r="H1629" s="234">
        <v>7.2</v>
      </c>
      <c r="I1629" s="235">
        <f t="shared" si="152"/>
        <v>72</v>
      </c>
      <c r="K1629" s="282">
        <v>0</v>
      </c>
      <c r="L1629" s="237">
        <v>41362</v>
      </c>
      <c r="M1629" s="1" t="s">
        <v>698</v>
      </c>
      <c r="N1629" s="235">
        <f t="shared" si="153"/>
        <v>72</v>
      </c>
      <c r="O1629" s="235">
        <f t="shared" si="154"/>
        <v>0</v>
      </c>
      <c r="P1629" s="238" t="s">
        <v>5890</v>
      </c>
      <c r="Q1629" s="1" t="s">
        <v>1562</v>
      </c>
      <c r="R1629" s="239" t="s">
        <v>2582</v>
      </c>
      <c r="S1629" s="238" t="s">
        <v>5088</v>
      </c>
      <c r="T1629" s="238" t="s">
        <v>167</v>
      </c>
      <c r="U1629" s="238" t="s">
        <v>167</v>
      </c>
      <c r="V1629" s="238" t="s">
        <v>175</v>
      </c>
      <c r="W1629" s="236" t="s">
        <v>167</v>
      </c>
      <c r="X1629" s="233" t="s">
        <v>167</v>
      </c>
      <c r="Y1629" s="238" t="s">
        <v>167</v>
      </c>
      <c r="Z1629" s="255" t="s">
        <v>6033</v>
      </c>
      <c r="AB1629" s="1" t="s">
        <v>2064</v>
      </c>
    </row>
    <row r="1630" spans="1:28">
      <c r="A1630" s="233">
        <v>41362</v>
      </c>
      <c r="B1630" s="1" t="s">
        <v>5082</v>
      </c>
      <c r="C1630" s="1" t="s">
        <v>162</v>
      </c>
      <c r="D1630" s="1" t="s">
        <v>1219</v>
      </c>
      <c r="E1630" s="1" t="s">
        <v>5889</v>
      </c>
      <c r="F1630" s="1">
        <v>6</v>
      </c>
      <c r="G1630" s="1" t="s">
        <v>5867</v>
      </c>
      <c r="H1630" s="234">
        <v>15</v>
      </c>
      <c r="I1630" s="235">
        <f t="shared" si="152"/>
        <v>90</v>
      </c>
      <c r="K1630" s="250">
        <f>3.6*6</f>
        <v>21.6</v>
      </c>
      <c r="L1630" s="237">
        <v>41362</v>
      </c>
      <c r="M1630" s="1" t="s">
        <v>698</v>
      </c>
      <c r="N1630" s="235">
        <f t="shared" si="153"/>
        <v>90</v>
      </c>
      <c r="O1630" s="235">
        <f t="shared" si="154"/>
        <v>0</v>
      </c>
      <c r="P1630" s="238" t="s">
        <v>5890</v>
      </c>
      <c r="Q1630" s="1" t="s">
        <v>1562</v>
      </c>
      <c r="R1630" s="239" t="s">
        <v>2582</v>
      </c>
      <c r="S1630" s="238" t="s">
        <v>5088</v>
      </c>
      <c r="T1630" s="238" t="s">
        <v>167</v>
      </c>
      <c r="U1630" s="238" t="s">
        <v>167</v>
      </c>
      <c r="V1630" s="238" t="s">
        <v>175</v>
      </c>
      <c r="W1630" s="236" t="s">
        <v>167</v>
      </c>
      <c r="X1630" s="233" t="s">
        <v>167</v>
      </c>
      <c r="Y1630" s="238" t="s">
        <v>167</v>
      </c>
      <c r="AB1630" s="1" t="s">
        <v>2064</v>
      </c>
    </row>
    <row r="1631" spans="1:28">
      <c r="A1631" s="233">
        <v>41362</v>
      </c>
      <c r="B1631" s="1" t="s">
        <v>699</v>
      </c>
      <c r="C1631" s="1" t="s">
        <v>162</v>
      </c>
      <c r="D1631" s="342" t="s">
        <v>1945</v>
      </c>
      <c r="E1631" s="342">
        <v>52000183617</v>
      </c>
      <c r="F1631" s="1">
        <v>50</v>
      </c>
      <c r="G1631" s="1" t="s">
        <v>5850</v>
      </c>
      <c r="H1631" s="234">
        <v>18</v>
      </c>
      <c r="I1631" s="235">
        <f t="shared" si="152"/>
        <v>900</v>
      </c>
      <c r="K1631" s="250">
        <f>17.57*50</f>
        <v>878.5</v>
      </c>
      <c r="L1631" s="237">
        <v>41385</v>
      </c>
      <c r="M1631" s="1" t="s">
        <v>166</v>
      </c>
      <c r="N1631" s="235">
        <f t="shared" si="153"/>
        <v>900</v>
      </c>
      <c r="O1631" s="235">
        <f t="shared" si="154"/>
        <v>0</v>
      </c>
      <c r="P1631" s="238" t="s">
        <v>5856</v>
      </c>
      <c r="Q1631" s="1" t="s">
        <v>2272</v>
      </c>
      <c r="R1631" s="239" t="s">
        <v>5854</v>
      </c>
      <c r="S1631" s="238" t="s">
        <v>5855</v>
      </c>
      <c r="T1631" s="238" t="s">
        <v>1690</v>
      </c>
      <c r="U1631" s="238" t="s">
        <v>5901</v>
      </c>
      <c r="AB1631" s="1" t="s">
        <v>1561</v>
      </c>
    </row>
    <row r="1632" spans="1:28">
      <c r="A1632" s="233">
        <v>41362</v>
      </c>
      <c r="B1632" s="5" t="s">
        <v>5738</v>
      </c>
      <c r="C1632" s="1" t="s">
        <v>162</v>
      </c>
      <c r="D1632" s="1" t="s">
        <v>5730</v>
      </c>
      <c r="E1632" s="342" t="s">
        <v>5872</v>
      </c>
      <c r="F1632" s="1">
        <v>1</v>
      </c>
      <c r="G1632" s="1" t="s">
        <v>5735</v>
      </c>
      <c r="H1632" s="234">
        <v>938.4</v>
      </c>
      <c r="I1632" s="235">
        <f t="shared" si="152"/>
        <v>938.4</v>
      </c>
      <c r="K1632" s="250">
        <f>772.32*1</f>
        <v>772.32</v>
      </c>
      <c r="L1632" s="237">
        <v>41361</v>
      </c>
      <c r="M1632" s="1" t="s">
        <v>166</v>
      </c>
      <c r="N1632" s="235">
        <f t="shared" si="153"/>
        <v>938.4</v>
      </c>
      <c r="O1632" s="235">
        <f t="shared" si="154"/>
        <v>0</v>
      </c>
      <c r="P1632" s="238" t="s">
        <v>6501</v>
      </c>
      <c r="Q1632" s="1" t="s">
        <v>6487</v>
      </c>
      <c r="R1632" s="239" t="s">
        <v>6503</v>
      </c>
      <c r="S1632" s="238" t="s">
        <v>6504</v>
      </c>
      <c r="T1632" s="238" t="s">
        <v>5744</v>
      </c>
      <c r="U1632" s="238" t="s">
        <v>6230</v>
      </c>
      <c r="V1632" s="238" t="s">
        <v>6892</v>
      </c>
      <c r="W1632" s="236">
        <v>25896.1</v>
      </c>
      <c r="X1632" s="233">
        <v>41410</v>
      </c>
      <c r="Y1632" s="238" t="s">
        <v>6893</v>
      </c>
      <c r="AB1632" s="1" t="s">
        <v>1561</v>
      </c>
    </row>
    <row r="1633" spans="1:28">
      <c r="A1633" s="233">
        <v>41362</v>
      </c>
      <c r="B1633" s="5" t="s">
        <v>5738</v>
      </c>
      <c r="C1633" s="1" t="s">
        <v>162</v>
      </c>
      <c r="D1633" s="1" t="s">
        <v>5731</v>
      </c>
      <c r="E1633" s="342" t="s">
        <v>5871</v>
      </c>
      <c r="F1633" s="1">
        <v>1</v>
      </c>
      <c r="G1633" s="1" t="s">
        <v>5736</v>
      </c>
      <c r="H1633" s="234">
        <v>446.25</v>
      </c>
      <c r="I1633" s="235">
        <f t="shared" si="152"/>
        <v>446.25</v>
      </c>
      <c r="K1633" s="250">
        <f>367.73*1</f>
        <v>367.73</v>
      </c>
      <c r="L1633" s="237">
        <v>41361</v>
      </c>
      <c r="M1633" s="1" t="s">
        <v>166</v>
      </c>
      <c r="N1633" s="235">
        <f t="shared" si="153"/>
        <v>446.25</v>
      </c>
      <c r="O1633" s="235">
        <f t="shared" si="154"/>
        <v>0</v>
      </c>
      <c r="P1633" s="238" t="s">
        <v>6501</v>
      </c>
      <c r="Q1633" s="1" t="s">
        <v>6487</v>
      </c>
      <c r="R1633" s="239" t="s">
        <v>6503</v>
      </c>
      <c r="S1633" s="238" t="s">
        <v>6504</v>
      </c>
      <c r="T1633" s="238" t="s">
        <v>5744</v>
      </c>
      <c r="U1633" s="238" t="s">
        <v>6230</v>
      </c>
      <c r="V1633" s="238" t="s">
        <v>6892</v>
      </c>
      <c r="W1633" s="236">
        <v>25896.1</v>
      </c>
      <c r="X1633" s="233">
        <v>41410</v>
      </c>
      <c r="Y1633" s="238" t="s">
        <v>6893</v>
      </c>
      <c r="AB1633" s="1" t="s">
        <v>1561</v>
      </c>
    </row>
    <row r="1634" spans="1:28">
      <c r="A1634" s="233">
        <v>41362</v>
      </c>
      <c r="B1634" s="5" t="s">
        <v>5738</v>
      </c>
      <c r="C1634" s="1" t="s">
        <v>162</v>
      </c>
      <c r="D1634" s="1" t="s">
        <v>5732</v>
      </c>
      <c r="E1634" s="342" t="s">
        <v>5870</v>
      </c>
      <c r="F1634" s="1">
        <v>1</v>
      </c>
      <c r="G1634" s="1" t="s">
        <v>5735</v>
      </c>
      <c r="H1634" s="234">
        <v>3173.05</v>
      </c>
      <c r="I1634" s="235">
        <f t="shared" si="152"/>
        <v>3173.05</v>
      </c>
      <c r="K1634" s="250">
        <f>1310.4*1</f>
        <v>1310.4000000000001</v>
      </c>
      <c r="L1634" s="237">
        <v>41361</v>
      </c>
      <c r="M1634" s="1" t="s">
        <v>166</v>
      </c>
      <c r="N1634" s="235">
        <f t="shared" si="153"/>
        <v>3173.05</v>
      </c>
      <c r="O1634" s="235">
        <f t="shared" si="154"/>
        <v>0</v>
      </c>
      <c r="P1634" s="238" t="s">
        <v>6501</v>
      </c>
      <c r="Q1634" s="1" t="s">
        <v>6487</v>
      </c>
      <c r="R1634" s="239" t="s">
        <v>6503</v>
      </c>
      <c r="S1634" s="238" t="s">
        <v>6504</v>
      </c>
      <c r="T1634" s="238" t="s">
        <v>5744</v>
      </c>
      <c r="U1634" s="238" t="s">
        <v>6230</v>
      </c>
      <c r="V1634" s="238" t="s">
        <v>6892</v>
      </c>
      <c r="W1634" s="236">
        <v>25896.1</v>
      </c>
      <c r="X1634" s="233">
        <v>41410</v>
      </c>
      <c r="Y1634" s="238" t="s">
        <v>6893</v>
      </c>
      <c r="AB1634" s="1" t="s">
        <v>1561</v>
      </c>
    </row>
    <row r="1635" spans="1:28">
      <c r="A1635" s="233">
        <v>41362</v>
      </c>
      <c r="B1635" s="5" t="s">
        <v>5738</v>
      </c>
      <c r="C1635" s="1" t="s">
        <v>162</v>
      </c>
      <c r="D1635" s="1" t="s">
        <v>5733</v>
      </c>
      <c r="E1635" s="342" t="s">
        <v>5869</v>
      </c>
      <c r="F1635" s="1">
        <v>1</v>
      </c>
      <c r="G1635" s="1" t="s">
        <v>5736</v>
      </c>
      <c r="H1635" s="234">
        <v>1491.75</v>
      </c>
      <c r="I1635" s="235">
        <f t="shared" si="152"/>
        <v>1491.75</v>
      </c>
      <c r="K1635" s="250">
        <f>1228.5*1</f>
        <v>1228.5</v>
      </c>
      <c r="L1635" s="237">
        <v>41361</v>
      </c>
      <c r="M1635" s="1" t="s">
        <v>166</v>
      </c>
      <c r="N1635" s="235">
        <f t="shared" si="153"/>
        <v>1491.75</v>
      </c>
      <c r="O1635" s="235">
        <f t="shared" si="154"/>
        <v>0</v>
      </c>
      <c r="P1635" s="238" t="s">
        <v>6501</v>
      </c>
      <c r="Q1635" s="1" t="s">
        <v>6487</v>
      </c>
      <c r="R1635" s="239" t="s">
        <v>6503</v>
      </c>
      <c r="S1635" s="238" t="s">
        <v>6504</v>
      </c>
      <c r="T1635" s="238" t="s">
        <v>5744</v>
      </c>
      <c r="U1635" s="238" t="s">
        <v>6230</v>
      </c>
      <c r="V1635" s="238" t="s">
        <v>6892</v>
      </c>
      <c r="W1635" s="236">
        <v>25896.1</v>
      </c>
      <c r="X1635" s="233">
        <v>41410</v>
      </c>
      <c r="Y1635" s="238" t="s">
        <v>6893</v>
      </c>
      <c r="AB1635" s="1" t="s">
        <v>1561</v>
      </c>
    </row>
    <row r="1636" spans="1:28">
      <c r="A1636" s="233">
        <v>41362</v>
      </c>
      <c r="B1636" s="5" t="s">
        <v>5738</v>
      </c>
      <c r="C1636" s="1" t="s">
        <v>162</v>
      </c>
      <c r="D1636" s="1" t="s">
        <v>5734</v>
      </c>
      <c r="E1636" s="342" t="s">
        <v>5866</v>
      </c>
      <c r="F1636" s="1">
        <v>1</v>
      </c>
      <c r="G1636" s="1" t="s">
        <v>5737</v>
      </c>
      <c r="H1636" s="234">
        <v>7747.75</v>
      </c>
      <c r="I1636" s="235">
        <f t="shared" si="152"/>
        <v>7747.75</v>
      </c>
      <c r="K1636" s="250">
        <f>6380.01</f>
        <v>6380.01</v>
      </c>
      <c r="L1636" s="237">
        <v>41361</v>
      </c>
      <c r="M1636" s="1" t="s">
        <v>166</v>
      </c>
      <c r="N1636" s="235">
        <f t="shared" si="153"/>
        <v>7747.75</v>
      </c>
      <c r="O1636" s="235">
        <f t="shared" si="154"/>
        <v>0</v>
      </c>
      <c r="P1636" s="238" t="s">
        <v>6501</v>
      </c>
      <c r="Q1636" s="1" t="s">
        <v>6487</v>
      </c>
      <c r="R1636" s="239" t="s">
        <v>6503</v>
      </c>
      <c r="S1636" s="238" t="s">
        <v>6504</v>
      </c>
      <c r="T1636" s="238" t="s">
        <v>5744</v>
      </c>
      <c r="U1636" s="238" t="s">
        <v>6230</v>
      </c>
      <c r="V1636" s="238" t="s">
        <v>6892</v>
      </c>
      <c r="W1636" s="236">
        <v>25896.1</v>
      </c>
      <c r="X1636" s="233">
        <v>41410</v>
      </c>
      <c r="Y1636" s="238" t="s">
        <v>6893</v>
      </c>
      <c r="AB1636" s="1" t="s">
        <v>1561</v>
      </c>
    </row>
    <row r="1637" spans="1:28">
      <c r="A1637" s="233">
        <v>41362</v>
      </c>
      <c r="B1637" s="5" t="s">
        <v>5738</v>
      </c>
      <c r="C1637" s="1" t="s">
        <v>162</v>
      </c>
      <c r="D1637" s="1" t="s">
        <v>5730</v>
      </c>
      <c r="E1637" s="342" t="s">
        <v>5872</v>
      </c>
      <c r="F1637" s="1">
        <v>2</v>
      </c>
      <c r="G1637" s="1" t="s">
        <v>170</v>
      </c>
      <c r="H1637" s="234">
        <v>938.4</v>
      </c>
      <c r="I1637" s="235">
        <f t="shared" si="152"/>
        <v>1876.8</v>
      </c>
      <c r="K1637" s="250">
        <f>772.32*2</f>
        <v>1544.64</v>
      </c>
      <c r="M1637" s="1" t="s">
        <v>166</v>
      </c>
      <c r="N1637" s="235">
        <v>1202.8</v>
      </c>
      <c r="O1637" s="235">
        <f t="shared" si="154"/>
        <v>674</v>
      </c>
      <c r="P1637" s="238" t="s">
        <v>6502</v>
      </c>
      <c r="Q1637" s="1" t="s">
        <v>6487</v>
      </c>
      <c r="R1637" s="239" t="s">
        <v>6503</v>
      </c>
      <c r="S1637" s="238" t="s">
        <v>6504</v>
      </c>
      <c r="T1637" s="238" t="s">
        <v>5744</v>
      </c>
      <c r="U1637" s="238" t="s">
        <v>6230</v>
      </c>
      <c r="V1637" s="238" t="s">
        <v>6892</v>
      </c>
      <c r="W1637" s="236">
        <v>25896.1</v>
      </c>
      <c r="X1637" s="233">
        <v>41410</v>
      </c>
      <c r="Y1637" s="238" t="s">
        <v>6893</v>
      </c>
      <c r="AB1637" s="1" t="s">
        <v>1561</v>
      </c>
    </row>
    <row r="1638" spans="1:28">
      <c r="A1638" s="233">
        <v>41362</v>
      </c>
      <c r="B1638" s="5" t="s">
        <v>5738</v>
      </c>
      <c r="C1638" s="1" t="s">
        <v>162</v>
      </c>
      <c r="D1638" s="1" t="s">
        <v>1951</v>
      </c>
      <c r="E1638" s="342" t="s">
        <v>5871</v>
      </c>
      <c r="F1638" s="1">
        <v>2</v>
      </c>
      <c r="G1638" s="1" t="s">
        <v>5736</v>
      </c>
      <c r="H1638" s="234">
        <v>446.25</v>
      </c>
      <c r="I1638" s="235">
        <f t="shared" si="152"/>
        <v>892.5</v>
      </c>
      <c r="K1638" s="250">
        <f>367.73*2</f>
        <v>735.46</v>
      </c>
      <c r="N1638" s="235">
        <v>0</v>
      </c>
      <c r="O1638" s="235">
        <f t="shared" si="154"/>
        <v>892.5</v>
      </c>
      <c r="P1638" s="238" t="s">
        <v>6502</v>
      </c>
      <c r="Q1638" s="1" t="s">
        <v>6487</v>
      </c>
      <c r="R1638" s="239" t="s">
        <v>6503</v>
      </c>
      <c r="S1638" s="238" t="s">
        <v>6504</v>
      </c>
      <c r="T1638" s="238" t="s">
        <v>5744</v>
      </c>
      <c r="U1638" s="238" t="s">
        <v>6230</v>
      </c>
      <c r="V1638" s="238" t="s">
        <v>6892</v>
      </c>
      <c r="W1638" s="236">
        <v>25896.1</v>
      </c>
      <c r="X1638" s="233">
        <v>41410</v>
      </c>
      <c r="Y1638" s="238" t="s">
        <v>6893</v>
      </c>
      <c r="AB1638" s="1" t="s">
        <v>1561</v>
      </c>
    </row>
    <row r="1639" spans="1:28">
      <c r="A1639" s="233">
        <v>41362</v>
      </c>
      <c r="B1639" s="5" t="s">
        <v>5738</v>
      </c>
      <c r="C1639" s="1" t="s">
        <v>162</v>
      </c>
      <c r="D1639" s="1" t="s">
        <v>1952</v>
      </c>
      <c r="E1639" s="342" t="s">
        <v>5877</v>
      </c>
      <c r="F1639" s="1">
        <v>2</v>
      </c>
      <c r="G1639" s="1" t="s">
        <v>170</v>
      </c>
      <c r="H1639" s="234">
        <v>3173.05</v>
      </c>
      <c r="I1639" s="235">
        <f t="shared" si="152"/>
        <v>6346.1</v>
      </c>
      <c r="K1639" s="250">
        <f>2649.93*2</f>
        <v>5299.86</v>
      </c>
      <c r="N1639" s="235">
        <v>0</v>
      </c>
      <c r="O1639" s="235">
        <f t="shared" si="154"/>
        <v>6346.1</v>
      </c>
      <c r="P1639" s="238" t="s">
        <v>6502</v>
      </c>
      <c r="Q1639" s="1" t="s">
        <v>6487</v>
      </c>
      <c r="R1639" s="239" t="s">
        <v>6503</v>
      </c>
      <c r="S1639" s="238" t="s">
        <v>6504</v>
      </c>
      <c r="T1639" s="238" t="s">
        <v>5744</v>
      </c>
      <c r="U1639" s="238" t="s">
        <v>6230</v>
      </c>
      <c r="V1639" s="238" t="s">
        <v>6892</v>
      </c>
      <c r="W1639" s="236">
        <v>25896.1</v>
      </c>
      <c r="X1639" s="233">
        <v>41410</v>
      </c>
      <c r="Y1639" s="238" t="s">
        <v>6893</v>
      </c>
      <c r="AB1639" s="1" t="s">
        <v>1561</v>
      </c>
    </row>
    <row r="1640" spans="1:28">
      <c r="A1640" s="233">
        <v>41362</v>
      </c>
      <c r="B1640" s="5" t="s">
        <v>5738</v>
      </c>
      <c r="C1640" s="1" t="s">
        <v>162</v>
      </c>
      <c r="D1640" s="1" t="s">
        <v>5733</v>
      </c>
      <c r="E1640" s="342" t="s">
        <v>5869</v>
      </c>
      <c r="F1640" s="1">
        <v>2</v>
      </c>
      <c r="G1640" s="1" t="s">
        <v>5736</v>
      </c>
      <c r="H1640" s="234">
        <v>1491.75</v>
      </c>
      <c r="I1640" s="235">
        <f t="shared" si="152"/>
        <v>2983.5</v>
      </c>
      <c r="K1640" s="250">
        <f>1246.05*2</f>
        <v>2492.1</v>
      </c>
      <c r="N1640" s="235">
        <v>0</v>
      </c>
      <c r="O1640" s="235">
        <f t="shared" si="154"/>
        <v>2983.5</v>
      </c>
      <c r="P1640" s="238" t="s">
        <v>6502</v>
      </c>
      <c r="Q1640" s="1" t="s">
        <v>6487</v>
      </c>
      <c r="R1640" s="239" t="s">
        <v>6503</v>
      </c>
      <c r="S1640" s="238" t="s">
        <v>6504</v>
      </c>
      <c r="T1640" s="238" t="s">
        <v>5744</v>
      </c>
      <c r="U1640" s="238" t="s">
        <v>6230</v>
      </c>
      <c r="V1640" s="238" t="s">
        <v>6892</v>
      </c>
      <c r="W1640" s="236">
        <v>25896.1</v>
      </c>
      <c r="X1640" s="233">
        <v>41410</v>
      </c>
      <c r="Y1640" s="238" t="s">
        <v>6893</v>
      </c>
      <c r="AB1640" s="1" t="s">
        <v>1561</v>
      </c>
    </row>
    <row r="1641" spans="1:28">
      <c r="A1641" s="233">
        <v>41362</v>
      </c>
      <c r="B1641" s="1" t="s">
        <v>5407</v>
      </c>
      <c r="C1641" s="1" t="s">
        <v>162</v>
      </c>
      <c r="D1641" s="1" t="s">
        <v>232</v>
      </c>
      <c r="E1641" s="1" t="s">
        <v>194</v>
      </c>
      <c r="F1641" s="1">
        <v>40</v>
      </c>
      <c r="G1641" s="1" t="s">
        <v>171</v>
      </c>
      <c r="H1641" s="234">
        <v>6.5</v>
      </c>
      <c r="I1641" s="235">
        <f>H1641*F1641</f>
        <v>260</v>
      </c>
      <c r="K1641" s="250">
        <f>1.45*40</f>
        <v>58</v>
      </c>
      <c r="L1641" s="237">
        <v>41362</v>
      </c>
      <c r="M1641" s="1" t="s">
        <v>165</v>
      </c>
      <c r="N1641" s="235">
        <f t="shared" ref="N1641" si="155">I1641</f>
        <v>260</v>
      </c>
      <c r="O1641" s="235">
        <f t="shared" si="154"/>
        <v>0</v>
      </c>
      <c r="P1641" s="238" t="s">
        <v>5897</v>
      </c>
      <c r="Q1641" s="1" t="s">
        <v>5900</v>
      </c>
      <c r="R1641" s="239" t="s">
        <v>5408</v>
      </c>
      <c r="S1641" s="238" t="s">
        <v>5409</v>
      </c>
      <c r="T1641" s="238" t="s">
        <v>5410</v>
      </c>
      <c r="U1641" s="238" t="s">
        <v>5902</v>
      </c>
      <c r="AB1641" s="1" t="s">
        <v>1561</v>
      </c>
    </row>
    <row r="1642" spans="1:28">
      <c r="A1642" s="233">
        <v>41365</v>
      </c>
      <c r="B1642" s="1" t="s">
        <v>986</v>
      </c>
      <c r="C1642" s="1" t="s">
        <v>162</v>
      </c>
      <c r="D1642" s="1" t="s">
        <v>268</v>
      </c>
      <c r="E1642" s="1" t="s">
        <v>177</v>
      </c>
      <c r="F1642" s="1">
        <v>35</v>
      </c>
      <c r="G1642" s="1" t="s">
        <v>231</v>
      </c>
      <c r="H1642" s="234">
        <v>1.65</v>
      </c>
      <c r="I1642" s="235">
        <f t="shared" ref="I1642:I1657" si="156">F1642*H1642</f>
        <v>57.75</v>
      </c>
      <c r="K1642" s="250">
        <f>1.17*35</f>
        <v>40.949999999999996</v>
      </c>
      <c r="L1642" s="237">
        <v>41365</v>
      </c>
      <c r="M1642" s="1" t="s">
        <v>698</v>
      </c>
      <c r="N1642" s="235">
        <f t="shared" ref="N1642:N1657" si="157">I1642</f>
        <v>57.75</v>
      </c>
      <c r="O1642" s="235">
        <f t="shared" ref="O1642:O1660" si="158">I1642-N1642</f>
        <v>0</v>
      </c>
      <c r="P1642" s="238" t="s">
        <v>5903</v>
      </c>
      <c r="Q1642" s="1" t="s">
        <v>1562</v>
      </c>
      <c r="R1642" s="239" t="s">
        <v>2483</v>
      </c>
      <c r="S1642" s="238" t="s">
        <v>2484</v>
      </c>
      <c r="T1642" s="238" t="s">
        <v>167</v>
      </c>
      <c r="V1642" s="238" t="s">
        <v>175</v>
      </c>
      <c r="AB1642" s="1" t="s">
        <v>2064</v>
      </c>
    </row>
    <row r="1643" spans="1:28">
      <c r="A1643" s="233">
        <v>41365</v>
      </c>
      <c r="B1643" s="1" t="s">
        <v>986</v>
      </c>
      <c r="C1643" s="1" t="s">
        <v>162</v>
      </c>
      <c r="D1643" s="1" t="s">
        <v>263</v>
      </c>
      <c r="E1643" s="1" t="s">
        <v>197</v>
      </c>
      <c r="F1643" s="1">
        <v>5</v>
      </c>
      <c r="G1643" s="1" t="s">
        <v>170</v>
      </c>
      <c r="H1643" s="234">
        <v>2.85</v>
      </c>
      <c r="I1643" s="235">
        <f t="shared" si="156"/>
        <v>14.25</v>
      </c>
      <c r="K1643" s="250">
        <f>1.88*5</f>
        <v>9.3999999999999986</v>
      </c>
      <c r="L1643" s="237">
        <v>41365</v>
      </c>
      <c r="M1643" s="1" t="s">
        <v>698</v>
      </c>
      <c r="N1643" s="235">
        <f t="shared" si="157"/>
        <v>14.25</v>
      </c>
      <c r="O1643" s="235">
        <f t="shared" si="158"/>
        <v>0</v>
      </c>
      <c r="P1643" s="238" t="s">
        <v>5903</v>
      </c>
      <c r="Q1643" s="1" t="s">
        <v>1562</v>
      </c>
      <c r="R1643" s="239" t="s">
        <v>2483</v>
      </c>
      <c r="S1643" s="238" t="s">
        <v>2484</v>
      </c>
      <c r="T1643" s="238" t="s">
        <v>167</v>
      </c>
      <c r="V1643" s="238" t="s">
        <v>175</v>
      </c>
      <c r="AB1643" s="1" t="s">
        <v>2064</v>
      </c>
    </row>
    <row r="1644" spans="1:28">
      <c r="A1644" s="233">
        <v>41365</v>
      </c>
      <c r="B1644" s="1" t="s">
        <v>986</v>
      </c>
      <c r="C1644" s="1" t="s">
        <v>162</v>
      </c>
      <c r="D1644" s="1" t="s">
        <v>353</v>
      </c>
      <c r="E1644" s="1" t="s">
        <v>22</v>
      </c>
      <c r="F1644" s="1">
        <v>5</v>
      </c>
      <c r="G1644" s="1" t="s">
        <v>170</v>
      </c>
      <c r="H1644" s="234">
        <v>14.5</v>
      </c>
      <c r="I1644" s="235">
        <f t="shared" si="156"/>
        <v>72.5</v>
      </c>
      <c r="K1644" s="250">
        <f>10.94*5</f>
        <v>54.699999999999996</v>
      </c>
      <c r="L1644" s="237">
        <v>41365</v>
      </c>
      <c r="M1644" s="1" t="s">
        <v>698</v>
      </c>
      <c r="N1644" s="235">
        <f t="shared" si="157"/>
        <v>72.5</v>
      </c>
      <c r="O1644" s="235">
        <f t="shared" si="158"/>
        <v>0</v>
      </c>
      <c r="P1644" s="238" t="s">
        <v>5903</v>
      </c>
      <c r="Q1644" s="1" t="s">
        <v>1562</v>
      </c>
      <c r="R1644" s="239" t="s">
        <v>2483</v>
      </c>
      <c r="S1644" s="238" t="s">
        <v>2484</v>
      </c>
      <c r="T1644" s="238" t="s">
        <v>167</v>
      </c>
      <c r="V1644" s="238" t="s">
        <v>175</v>
      </c>
      <c r="AB1644" s="1" t="s">
        <v>2064</v>
      </c>
    </row>
    <row r="1645" spans="1:28">
      <c r="A1645" s="233">
        <v>41365</v>
      </c>
      <c r="B1645" s="1" t="s">
        <v>986</v>
      </c>
      <c r="C1645" s="1" t="s">
        <v>162</v>
      </c>
      <c r="D1645" s="1" t="s">
        <v>1210</v>
      </c>
      <c r="E1645" s="1">
        <v>3200</v>
      </c>
      <c r="F1645" s="1">
        <v>5</v>
      </c>
      <c r="G1645" s="1" t="s">
        <v>170</v>
      </c>
      <c r="H1645" s="234">
        <v>29</v>
      </c>
      <c r="I1645" s="235">
        <f t="shared" si="156"/>
        <v>145</v>
      </c>
      <c r="K1645" s="250">
        <f>23.94*5</f>
        <v>119.7</v>
      </c>
      <c r="L1645" s="237">
        <v>41365</v>
      </c>
      <c r="M1645" s="1" t="s">
        <v>698</v>
      </c>
      <c r="N1645" s="235">
        <f t="shared" si="157"/>
        <v>145</v>
      </c>
      <c r="O1645" s="235">
        <f t="shared" si="158"/>
        <v>0</v>
      </c>
      <c r="P1645" s="238" t="s">
        <v>5903</v>
      </c>
      <c r="Q1645" s="1" t="s">
        <v>1562</v>
      </c>
      <c r="R1645" s="239" t="s">
        <v>2483</v>
      </c>
      <c r="S1645" s="238" t="s">
        <v>2484</v>
      </c>
      <c r="T1645" s="238" t="s">
        <v>167</v>
      </c>
      <c r="V1645" s="238" t="s">
        <v>175</v>
      </c>
      <c r="AB1645" s="1" t="s">
        <v>2064</v>
      </c>
    </row>
    <row r="1646" spans="1:28">
      <c r="A1646" s="233">
        <v>41365</v>
      </c>
      <c r="B1646" s="1" t="s">
        <v>5907</v>
      </c>
      <c r="C1646" s="1" t="s">
        <v>162</v>
      </c>
      <c r="D1646" s="5" t="s">
        <v>69</v>
      </c>
      <c r="E1646" s="1">
        <v>1100</v>
      </c>
      <c r="F1646" s="1">
        <v>200</v>
      </c>
      <c r="G1646" s="1" t="s">
        <v>172</v>
      </c>
      <c r="H1646" s="234">
        <v>0.48</v>
      </c>
      <c r="I1646" s="235">
        <f t="shared" si="156"/>
        <v>96</v>
      </c>
      <c r="K1646" s="250">
        <f>0.38*200</f>
        <v>76</v>
      </c>
      <c r="L1646" s="237">
        <v>41365</v>
      </c>
      <c r="M1646" s="1" t="s">
        <v>698</v>
      </c>
      <c r="N1646" s="235">
        <f t="shared" si="157"/>
        <v>96</v>
      </c>
      <c r="O1646" s="235">
        <f t="shared" si="158"/>
        <v>0</v>
      </c>
      <c r="P1646" s="238" t="s">
        <v>5906</v>
      </c>
      <c r="Q1646" s="1" t="s">
        <v>5908</v>
      </c>
      <c r="R1646" s="239" t="s">
        <v>5899</v>
      </c>
      <c r="S1646" s="238" t="s">
        <v>5899</v>
      </c>
      <c r="T1646" s="238" t="s">
        <v>5899</v>
      </c>
      <c r="U1646" s="238" t="s">
        <v>5899</v>
      </c>
      <c r="V1646" s="238" t="s">
        <v>6987</v>
      </c>
      <c r="W1646" s="236">
        <v>1329.4</v>
      </c>
      <c r="X1646" s="233">
        <v>41416</v>
      </c>
      <c r="Y1646" s="238" t="s">
        <v>6988</v>
      </c>
      <c r="AB1646" s="1" t="s">
        <v>5910</v>
      </c>
    </row>
    <row r="1647" spans="1:28">
      <c r="A1647" s="233">
        <v>41365</v>
      </c>
      <c r="B1647" s="1" t="s">
        <v>2309</v>
      </c>
      <c r="C1647" s="1" t="s">
        <v>162</v>
      </c>
      <c r="D1647" s="1" t="s">
        <v>1219</v>
      </c>
      <c r="E1647" s="1" t="s">
        <v>5911</v>
      </c>
      <c r="F1647" s="1">
        <v>550</v>
      </c>
      <c r="G1647" s="1" t="s">
        <v>5912</v>
      </c>
      <c r="H1647" s="234">
        <v>4.32</v>
      </c>
      <c r="I1647" s="235">
        <f t="shared" si="156"/>
        <v>2376</v>
      </c>
      <c r="J1647" s="409">
        <v>2376</v>
      </c>
      <c r="K1647" s="250">
        <f>3.96*510+3.6*40</f>
        <v>2163.6</v>
      </c>
      <c r="L1647" s="237">
        <v>41365</v>
      </c>
      <c r="M1647" s="1" t="s">
        <v>166</v>
      </c>
      <c r="N1647" s="235">
        <f t="shared" si="157"/>
        <v>2376</v>
      </c>
      <c r="O1647" s="235">
        <f t="shared" si="158"/>
        <v>0</v>
      </c>
      <c r="P1647" s="238" t="s">
        <v>5913</v>
      </c>
      <c r="Q1647" s="1" t="s">
        <v>1562</v>
      </c>
      <c r="R1647" s="239" t="s">
        <v>3148</v>
      </c>
      <c r="S1647" s="238" t="s">
        <v>3149</v>
      </c>
      <c r="T1647" s="239" t="s">
        <v>167</v>
      </c>
      <c r="U1647" s="239" t="s">
        <v>167</v>
      </c>
      <c r="V1647" s="238" t="s">
        <v>6986</v>
      </c>
      <c r="W1647" s="236">
        <v>39344.81</v>
      </c>
      <c r="X1647" s="233">
        <v>41416</v>
      </c>
      <c r="Y1647" s="238" t="s">
        <v>1562</v>
      </c>
      <c r="AB1647" s="1" t="s">
        <v>1561</v>
      </c>
    </row>
    <row r="1648" spans="1:28">
      <c r="A1648" s="233">
        <v>41365</v>
      </c>
      <c r="B1648" s="1" t="s">
        <v>2309</v>
      </c>
      <c r="C1648" s="1" t="s">
        <v>162</v>
      </c>
      <c r="D1648" s="1" t="s">
        <v>1186</v>
      </c>
      <c r="E1648" s="1">
        <v>8247</v>
      </c>
      <c r="F1648" s="1">
        <v>10</v>
      </c>
      <c r="G1648" s="1" t="s">
        <v>5912</v>
      </c>
      <c r="H1648" s="234">
        <v>14.11</v>
      </c>
      <c r="I1648" s="235">
        <f t="shared" si="156"/>
        <v>141.1</v>
      </c>
      <c r="J1648" s="409">
        <v>141.1</v>
      </c>
      <c r="K1648" s="250">
        <f>12.35*10</f>
        <v>123.5</v>
      </c>
      <c r="L1648" s="237">
        <v>41365</v>
      </c>
      <c r="M1648" s="1" t="s">
        <v>166</v>
      </c>
      <c r="N1648" s="235">
        <f t="shared" si="157"/>
        <v>141.1</v>
      </c>
      <c r="O1648" s="235">
        <f t="shared" si="158"/>
        <v>0</v>
      </c>
      <c r="P1648" s="238" t="s">
        <v>5913</v>
      </c>
      <c r="Q1648" s="1" t="s">
        <v>1562</v>
      </c>
      <c r="R1648" s="239" t="s">
        <v>3148</v>
      </c>
      <c r="S1648" s="238" t="s">
        <v>3149</v>
      </c>
      <c r="T1648" s="239" t="s">
        <v>167</v>
      </c>
      <c r="U1648" s="239" t="s">
        <v>167</v>
      </c>
      <c r="V1648" s="238" t="s">
        <v>6986</v>
      </c>
      <c r="W1648" s="236">
        <v>39344.81</v>
      </c>
      <c r="X1648" s="233">
        <v>41416</v>
      </c>
      <c r="Y1648" s="238" t="s">
        <v>1562</v>
      </c>
      <c r="AB1648" s="1" t="s">
        <v>1561</v>
      </c>
    </row>
    <row r="1649" spans="1:28">
      <c r="A1649" s="233">
        <v>41365</v>
      </c>
      <c r="B1649" s="1" t="s">
        <v>2309</v>
      </c>
      <c r="C1649" s="1" t="s">
        <v>162</v>
      </c>
      <c r="D1649" s="1" t="s">
        <v>1210</v>
      </c>
      <c r="E1649" s="1">
        <v>3200</v>
      </c>
      <c r="F1649" s="1">
        <v>3</v>
      </c>
      <c r="G1649" s="1" t="s">
        <v>5912</v>
      </c>
      <c r="H1649" s="234">
        <v>30.47</v>
      </c>
      <c r="I1649" s="235">
        <f t="shared" si="156"/>
        <v>91.41</v>
      </c>
      <c r="J1649" s="409">
        <v>91.41</v>
      </c>
      <c r="K1649" s="250">
        <f>23.94*3</f>
        <v>71.820000000000007</v>
      </c>
      <c r="L1649" s="237">
        <v>41365</v>
      </c>
      <c r="M1649" s="1" t="s">
        <v>166</v>
      </c>
      <c r="N1649" s="235">
        <f t="shared" si="157"/>
        <v>91.41</v>
      </c>
      <c r="O1649" s="235">
        <f t="shared" si="158"/>
        <v>0</v>
      </c>
      <c r="P1649" s="238" t="s">
        <v>5913</v>
      </c>
      <c r="Q1649" s="1" t="s">
        <v>1562</v>
      </c>
      <c r="R1649" s="239" t="s">
        <v>3148</v>
      </c>
      <c r="S1649" s="238" t="s">
        <v>3149</v>
      </c>
      <c r="T1649" s="239" t="s">
        <v>167</v>
      </c>
      <c r="U1649" s="239" t="s">
        <v>167</v>
      </c>
      <c r="V1649" s="238" t="s">
        <v>6986</v>
      </c>
      <c r="W1649" s="236">
        <v>39344.81</v>
      </c>
      <c r="X1649" s="233">
        <v>41416</v>
      </c>
      <c r="Y1649" s="238" t="s">
        <v>1562</v>
      </c>
      <c r="AB1649" s="1" t="s">
        <v>1561</v>
      </c>
    </row>
    <row r="1650" spans="1:28">
      <c r="A1650" s="233">
        <v>41366</v>
      </c>
      <c r="B1650" s="1" t="s">
        <v>5948</v>
      </c>
      <c r="C1650" s="1" t="s">
        <v>162</v>
      </c>
      <c r="D1650" s="1" t="s">
        <v>5946</v>
      </c>
      <c r="E1650" s="1">
        <v>3000</v>
      </c>
      <c r="F1650" s="1">
        <v>4</v>
      </c>
      <c r="G1650" s="1" t="s">
        <v>5947</v>
      </c>
      <c r="H1650" s="234">
        <v>55</v>
      </c>
      <c r="I1650" s="235">
        <f t="shared" si="156"/>
        <v>220</v>
      </c>
      <c r="K1650" s="282">
        <v>0</v>
      </c>
      <c r="L1650" s="237">
        <v>41366</v>
      </c>
      <c r="M1650" s="1" t="s">
        <v>5956</v>
      </c>
      <c r="N1650" s="235">
        <f t="shared" si="157"/>
        <v>220</v>
      </c>
      <c r="O1650" s="235">
        <f t="shared" si="158"/>
        <v>0</v>
      </c>
      <c r="P1650" s="238" t="s">
        <v>5957</v>
      </c>
      <c r="Q1650" s="1" t="s">
        <v>1562</v>
      </c>
      <c r="R1650" s="1" t="s">
        <v>5958</v>
      </c>
      <c r="S1650" s="238" t="s">
        <v>5959</v>
      </c>
      <c r="T1650" s="239" t="s">
        <v>5960</v>
      </c>
      <c r="U1650" s="239" t="s">
        <v>167</v>
      </c>
      <c r="V1650" s="238" t="s">
        <v>5961</v>
      </c>
      <c r="W1650" s="236">
        <v>670</v>
      </c>
      <c r="X1650" s="233">
        <v>41366</v>
      </c>
      <c r="Y1650" s="238" t="s">
        <v>5955</v>
      </c>
      <c r="Z1650" s="255" t="s">
        <v>6033</v>
      </c>
      <c r="AB1650" s="1" t="s">
        <v>2064</v>
      </c>
    </row>
    <row r="1651" spans="1:28">
      <c r="A1651" s="233">
        <v>41366</v>
      </c>
      <c r="B1651" s="1" t="s">
        <v>5948</v>
      </c>
      <c r="C1651" s="1" t="s">
        <v>162</v>
      </c>
      <c r="D1651" s="1" t="s">
        <v>5951</v>
      </c>
      <c r="E1651" s="1">
        <v>4515</v>
      </c>
      <c r="F1651" s="1">
        <v>10</v>
      </c>
      <c r="G1651" s="1" t="s">
        <v>5950</v>
      </c>
      <c r="H1651" s="234">
        <v>25</v>
      </c>
      <c r="I1651" s="235">
        <f t="shared" si="156"/>
        <v>250</v>
      </c>
      <c r="K1651" s="250">
        <f>13.2*10</f>
        <v>132</v>
      </c>
      <c r="L1651" s="237">
        <v>41366</v>
      </c>
      <c r="M1651" s="1" t="s">
        <v>5956</v>
      </c>
      <c r="N1651" s="235">
        <f t="shared" si="157"/>
        <v>250</v>
      </c>
      <c r="O1651" s="235">
        <f>I1651-N1651</f>
        <v>0</v>
      </c>
      <c r="P1651" s="238" t="s">
        <v>5957</v>
      </c>
      <c r="Q1651" s="1" t="s">
        <v>1562</v>
      </c>
      <c r="R1651" s="1" t="s">
        <v>5958</v>
      </c>
      <c r="S1651" s="238" t="s">
        <v>5959</v>
      </c>
      <c r="T1651" s="239" t="s">
        <v>5960</v>
      </c>
      <c r="U1651" s="239" t="s">
        <v>167</v>
      </c>
      <c r="V1651" s="238" t="s">
        <v>5961</v>
      </c>
      <c r="W1651" s="236">
        <v>670</v>
      </c>
      <c r="X1651" s="233">
        <v>41366</v>
      </c>
      <c r="Y1651" s="238" t="s">
        <v>5955</v>
      </c>
      <c r="AB1651" s="1" t="s">
        <v>2064</v>
      </c>
    </row>
    <row r="1652" spans="1:28">
      <c r="A1652" s="233">
        <v>41366</v>
      </c>
      <c r="B1652" s="1" t="s">
        <v>5948</v>
      </c>
      <c r="C1652" s="1" t="s">
        <v>162</v>
      </c>
      <c r="D1652" s="1" t="s">
        <v>5953</v>
      </c>
      <c r="E1652" s="1">
        <v>4535</v>
      </c>
      <c r="F1652" s="1">
        <v>2</v>
      </c>
      <c r="G1652" s="1" t="s">
        <v>5950</v>
      </c>
      <c r="H1652" s="234">
        <v>25</v>
      </c>
      <c r="I1652" s="235">
        <f t="shared" si="156"/>
        <v>50</v>
      </c>
      <c r="K1652" s="282">
        <v>0</v>
      </c>
      <c r="L1652" s="237">
        <v>41366</v>
      </c>
      <c r="M1652" s="1" t="s">
        <v>5956</v>
      </c>
      <c r="N1652" s="235">
        <f t="shared" si="157"/>
        <v>50</v>
      </c>
      <c r="O1652" s="235">
        <f t="shared" si="158"/>
        <v>0</v>
      </c>
      <c r="P1652" s="238" t="s">
        <v>5957</v>
      </c>
      <c r="Q1652" s="1" t="s">
        <v>1562</v>
      </c>
      <c r="R1652" s="1" t="s">
        <v>5958</v>
      </c>
      <c r="S1652" s="238" t="s">
        <v>5959</v>
      </c>
      <c r="T1652" s="239" t="s">
        <v>5960</v>
      </c>
      <c r="U1652" s="239" t="s">
        <v>167</v>
      </c>
      <c r="V1652" s="238" t="s">
        <v>5961</v>
      </c>
      <c r="W1652" s="236">
        <v>670</v>
      </c>
      <c r="X1652" s="233">
        <v>41366</v>
      </c>
      <c r="Y1652" s="238" t="s">
        <v>5955</v>
      </c>
      <c r="Z1652" s="255" t="s">
        <v>2549</v>
      </c>
      <c r="AB1652" s="1" t="s">
        <v>2064</v>
      </c>
    </row>
    <row r="1653" spans="1:28">
      <c r="A1653" s="233">
        <v>41366</v>
      </c>
      <c r="B1653" s="1" t="s">
        <v>5948</v>
      </c>
      <c r="C1653" s="1" t="s">
        <v>162</v>
      </c>
      <c r="D1653" s="1" t="s">
        <v>6300</v>
      </c>
      <c r="E1653" s="1">
        <v>4620</v>
      </c>
      <c r="F1653" s="1">
        <v>1</v>
      </c>
      <c r="G1653" s="1" t="s">
        <v>5950</v>
      </c>
      <c r="H1653" s="234">
        <v>25</v>
      </c>
      <c r="I1653" s="235">
        <f t="shared" si="156"/>
        <v>25</v>
      </c>
      <c r="K1653" s="282">
        <v>0</v>
      </c>
      <c r="L1653" s="237">
        <v>41366</v>
      </c>
      <c r="M1653" s="1" t="s">
        <v>5956</v>
      </c>
      <c r="N1653" s="235">
        <f t="shared" si="157"/>
        <v>25</v>
      </c>
      <c r="O1653" s="235">
        <f t="shared" si="158"/>
        <v>0</v>
      </c>
      <c r="P1653" s="238" t="s">
        <v>5957</v>
      </c>
      <c r="Q1653" s="1" t="s">
        <v>1562</v>
      </c>
      <c r="R1653" s="1" t="s">
        <v>5958</v>
      </c>
      <c r="S1653" s="238" t="s">
        <v>5959</v>
      </c>
      <c r="T1653" s="239" t="s">
        <v>5960</v>
      </c>
      <c r="U1653" s="239" t="s">
        <v>167</v>
      </c>
      <c r="V1653" s="238" t="s">
        <v>5961</v>
      </c>
      <c r="W1653" s="236">
        <v>670</v>
      </c>
      <c r="X1653" s="233">
        <v>41366</v>
      </c>
      <c r="Y1653" s="238" t="s">
        <v>5955</v>
      </c>
      <c r="Z1653" s="255" t="s">
        <v>2549</v>
      </c>
      <c r="AB1653" s="1" t="s">
        <v>2064</v>
      </c>
    </row>
    <row r="1654" spans="1:28">
      <c r="A1654" s="233">
        <v>41366</v>
      </c>
      <c r="B1654" s="1" t="s">
        <v>5948</v>
      </c>
      <c r="C1654" s="1" t="s">
        <v>162</v>
      </c>
      <c r="D1654" s="1" t="s">
        <v>5953</v>
      </c>
      <c r="E1654" s="1">
        <v>4510</v>
      </c>
      <c r="F1654" s="1">
        <v>1</v>
      </c>
      <c r="G1654" s="1" t="s">
        <v>5950</v>
      </c>
      <c r="H1654" s="234">
        <v>25</v>
      </c>
      <c r="I1654" s="235">
        <f t="shared" si="156"/>
        <v>25</v>
      </c>
      <c r="K1654" s="282">
        <v>0</v>
      </c>
      <c r="L1654" s="237">
        <v>41366</v>
      </c>
      <c r="M1654" s="1" t="s">
        <v>5956</v>
      </c>
      <c r="N1654" s="235">
        <f t="shared" si="157"/>
        <v>25</v>
      </c>
      <c r="O1654" s="235">
        <f t="shared" si="158"/>
        <v>0</v>
      </c>
      <c r="P1654" s="238" t="s">
        <v>5957</v>
      </c>
      <c r="Q1654" s="1" t="s">
        <v>1562</v>
      </c>
      <c r="R1654" s="1" t="s">
        <v>5958</v>
      </c>
      <c r="S1654" s="238" t="s">
        <v>5959</v>
      </c>
      <c r="T1654" s="239" t="s">
        <v>5960</v>
      </c>
      <c r="U1654" s="239" t="s">
        <v>167</v>
      </c>
      <c r="V1654" s="238" t="s">
        <v>5961</v>
      </c>
      <c r="W1654" s="236">
        <v>670</v>
      </c>
      <c r="X1654" s="233">
        <v>41366</v>
      </c>
      <c r="Y1654" s="238" t="s">
        <v>5955</v>
      </c>
      <c r="Z1654" s="255" t="s">
        <v>2549</v>
      </c>
      <c r="AB1654" s="1" t="s">
        <v>2064</v>
      </c>
    </row>
    <row r="1655" spans="1:28">
      <c r="A1655" s="233">
        <v>41366</v>
      </c>
      <c r="B1655" s="1" t="s">
        <v>5948</v>
      </c>
      <c r="C1655" s="1" t="s">
        <v>162</v>
      </c>
      <c r="D1655" s="1" t="s">
        <v>5954</v>
      </c>
      <c r="E1655" s="1">
        <v>4545</v>
      </c>
      <c r="F1655" s="1">
        <v>3</v>
      </c>
      <c r="G1655" s="1" t="s">
        <v>5950</v>
      </c>
      <c r="H1655" s="234">
        <v>25</v>
      </c>
      <c r="I1655" s="235">
        <f t="shared" si="156"/>
        <v>75</v>
      </c>
      <c r="K1655" s="282">
        <v>0</v>
      </c>
      <c r="L1655" s="237">
        <v>41366</v>
      </c>
      <c r="M1655" s="1" t="s">
        <v>5956</v>
      </c>
      <c r="N1655" s="235">
        <f t="shared" si="157"/>
        <v>75</v>
      </c>
      <c r="O1655" s="235">
        <f t="shared" si="158"/>
        <v>0</v>
      </c>
      <c r="P1655" s="238" t="s">
        <v>5957</v>
      </c>
      <c r="Q1655" s="1" t="s">
        <v>1562</v>
      </c>
      <c r="R1655" s="1" t="s">
        <v>5958</v>
      </c>
      <c r="S1655" s="238" t="s">
        <v>5959</v>
      </c>
      <c r="T1655" s="239" t="s">
        <v>5960</v>
      </c>
      <c r="U1655" s="239" t="s">
        <v>167</v>
      </c>
      <c r="V1655" s="238" t="s">
        <v>5961</v>
      </c>
      <c r="W1655" s="236">
        <v>670</v>
      </c>
      <c r="X1655" s="233">
        <v>41366</v>
      </c>
      <c r="Y1655" s="238" t="s">
        <v>5955</v>
      </c>
      <c r="Z1655" s="255" t="s">
        <v>2549</v>
      </c>
      <c r="AB1655" s="1" t="s">
        <v>2064</v>
      </c>
    </row>
    <row r="1656" spans="1:28">
      <c r="A1656" s="233">
        <v>41366</v>
      </c>
      <c r="B1656" s="1" t="s">
        <v>5948</v>
      </c>
      <c r="C1656" s="1" t="s">
        <v>162</v>
      </c>
      <c r="D1656" s="1" t="s">
        <v>5953</v>
      </c>
      <c r="E1656" s="1" t="s">
        <v>5955</v>
      </c>
      <c r="F1656" s="1">
        <v>1</v>
      </c>
      <c r="G1656" s="1" t="s">
        <v>5950</v>
      </c>
      <c r="H1656" s="234">
        <v>25</v>
      </c>
      <c r="I1656" s="235">
        <f t="shared" si="156"/>
        <v>25</v>
      </c>
      <c r="K1656" s="282">
        <v>0</v>
      </c>
      <c r="L1656" s="237">
        <v>41366</v>
      </c>
      <c r="M1656" s="1" t="s">
        <v>5956</v>
      </c>
      <c r="N1656" s="235">
        <f t="shared" si="157"/>
        <v>25</v>
      </c>
      <c r="O1656" s="235">
        <f t="shared" si="158"/>
        <v>0</v>
      </c>
      <c r="P1656" s="238" t="s">
        <v>5957</v>
      </c>
      <c r="Q1656" s="1" t="s">
        <v>1562</v>
      </c>
      <c r="R1656" s="1" t="s">
        <v>5958</v>
      </c>
      <c r="S1656" s="238" t="s">
        <v>5959</v>
      </c>
      <c r="T1656" s="239" t="s">
        <v>5960</v>
      </c>
      <c r="U1656" s="239" t="s">
        <v>167</v>
      </c>
      <c r="V1656" s="238" t="s">
        <v>5961</v>
      </c>
      <c r="W1656" s="236">
        <v>670</v>
      </c>
      <c r="X1656" s="233">
        <v>41366</v>
      </c>
      <c r="Y1656" s="238" t="s">
        <v>5955</v>
      </c>
      <c r="Z1656" s="255" t="s">
        <v>2549</v>
      </c>
      <c r="AB1656" s="1" t="s">
        <v>2064</v>
      </c>
    </row>
    <row r="1657" spans="1:28">
      <c r="A1657" s="233">
        <v>41366</v>
      </c>
      <c r="B1657" s="5" t="s">
        <v>2105</v>
      </c>
      <c r="C1657" s="1" t="s">
        <v>162</v>
      </c>
      <c r="D1657" s="391" t="s">
        <v>5047</v>
      </c>
      <c r="E1657" s="1">
        <v>8210</v>
      </c>
      <c r="F1657" s="1">
        <v>380</v>
      </c>
      <c r="G1657" s="1" t="s">
        <v>170</v>
      </c>
      <c r="H1657" s="234">
        <v>4.6500000000000004</v>
      </c>
      <c r="I1657" s="235">
        <f t="shared" si="156"/>
        <v>1767.0000000000002</v>
      </c>
      <c r="K1657" s="250">
        <f>3.78*380</f>
        <v>1436.3999999999999</v>
      </c>
      <c r="L1657" s="237">
        <v>41419</v>
      </c>
      <c r="M1657" s="1" t="s">
        <v>165</v>
      </c>
      <c r="N1657" s="235">
        <f t="shared" si="157"/>
        <v>1767.0000000000002</v>
      </c>
      <c r="O1657" s="235">
        <f t="shared" si="158"/>
        <v>0</v>
      </c>
      <c r="P1657" s="238" t="s">
        <v>5915</v>
      </c>
      <c r="Q1657" s="1" t="s">
        <v>3693</v>
      </c>
      <c r="R1657" s="247" t="s">
        <v>2470</v>
      </c>
      <c r="S1657" s="246" t="s">
        <v>2103</v>
      </c>
      <c r="T1657" s="246" t="s">
        <v>3694</v>
      </c>
      <c r="U1657" s="238" t="s">
        <v>5993</v>
      </c>
      <c r="V1657" s="238" t="s">
        <v>175</v>
      </c>
      <c r="AB1657" s="1" t="s">
        <v>1561</v>
      </c>
    </row>
    <row r="1658" spans="1:28">
      <c r="A1658" s="233">
        <v>41366</v>
      </c>
      <c r="B1658" s="1" t="s">
        <v>3344</v>
      </c>
      <c r="C1658" s="1" t="s">
        <v>162</v>
      </c>
      <c r="D1658" s="1" t="s">
        <v>2023</v>
      </c>
      <c r="E1658" s="1" t="s">
        <v>5919</v>
      </c>
      <c r="F1658" s="1">
        <v>50</v>
      </c>
      <c r="G1658" s="1" t="s">
        <v>5912</v>
      </c>
      <c r="H1658" s="234">
        <v>4.5</v>
      </c>
      <c r="I1658" s="235">
        <f t="shared" ref="I1658:I1674" si="159">F1658*H1658</f>
        <v>225</v>
      </c>
      <c r="K1658" s="250">
        <f>4.02*50</f>
        <v>200.99999999999997</v>
      </c>
      <c r="N1658" s="235">
        <v>0</v>
      </c>
      <c r="O1658" s="235">
        <f t="shared" si="158"/>
        <v>225</v>
      </c>
      <c r="P1658" s="238" t="s">
        <v>5920</v>
      </c>
      <c r="Q1658" s="1" t="s">
        <v>3345</v>
      </c>
      <c r="R1658" s="10" t="s">
        <v>3346</v>
      </c>
      <c r="S1658" s="238">
        <v>13896055976</v>
      </c>
      <c r="T1658" s="238" t="s">
        <v>3347</v>
      </c>
      <c r="U1658" s="238" t="s">
        <v>5997</v>
      </c>
      <c r="AB1658" s="1" t="s">
        <v>1561</v>
      </c>
    </row>
    <row r="1659" spans="1:28">
      <c r="A1659" s="233">
        <v>41366</v>
      </c>
      <c r="B1659" s="1" t="s">
        <v>4338</v>
      </c>
      <c r="C1659" s="1" t="s">
        <v>162</v>
      </c>
      <c r="D1659" s="1" t="s">
        <v>240</v>
      </c>
      <c r="E1659" s="1">
        <v>6200</v>
      </c>
      <c r="F1659" s="1">
        <v>20</v>
      </c>
      <c r="G1659" s="1" t="s">
        <v>5912</v>
      </c>
      <c r="H1659" s="234">
        <v>47.5</v>
      </c>
      <c r="I1659" s="235">
        <f t="shared" si="159"/>
        <v>950</v>
      </c>
      <c r="K1659" s="250">
        <f>44.5*20</f>
        <v>890</v>
      </c>
      <c r="L1659" s="237">
        <v>41382</v>
      </c>
      <c r="M1659" s="1" t="s">
        <v>165</v>
      </c>
      <c r="N1659" s="235">
        <f>I1659</f>
        <v>950</v>
      </c>
      <c r="O1659" s="235">
        <f t="shared" si="158"/>
        <v>0</v>
      </c>
      <c r="P1659" s="238" t="s">
        <v>5921</v>
      </c>
      <c r="Q1659" s="1" t="s">
        <v>5381</v>
      </c>
      <c r="R1659" s="239" t="s">
        <v>4341</v>
      </c>
      <c r="S1659" s="238" t="s">
        <v>4342</v>
      </c>
      <c r="T1659" s="238" t="s">
        <v>2237</v>
      </c>
      <c r="U1659" s="238" t="s">
        <v>5996</v>
      </c>
      <c r="V1659" s="238" t="s">
        <v>6900</v>
      </c>
      <c r="W1659" s="236">
        <v>8938.52</v>
      </c>
      <c r="X1659" s="233">
        <v>41410</v>
      </c>
      <c r="Y1659" s="238" t="s">
        <v>6893</v>
      </c>
      <c r="AB1659" s="1" t="s">
        <v>1561</v>
      </c>
    </row>
    <row r="1660" spans="1:28">
      <c r="A1660" s="233">
        <v>41366</v>
      </c>
      <c r="B1660" s="1" t="s">
        <v>4338</v>
      </c>
      <c r="C1660" s="1" t="s">
        <v>162</v>
      </c>
      <c r="D1660" s="343" t="s">
        <v>182</v>
      </c>
      <c r="E1660" s="343" t="s">
        <v>1862</v>
      </c>
      <c r="F1660" s="1">
        <v>60</v>
      </c>
      <c r="G1660" s="1" t="s">
        <v>171</v>
      </c>
      <c r="H1660" s="234">
        <v>10.039999999999999</v>
      </c>
      <c r="I1660" s="235">
        <f t="shared" si="159"/>
        <v>602.4</v>
      </c>
      <c r="K1660" s="250">
        <f>9.25*60</f>
        <v>555</v>
      </c>
      <c r="L1660" s="237">
        <v>41382</v>
      </c>
      <c r="M1660" s="1" t="s">
        <v>165</v>
      </c>
      <c r="N1660" s="235">
        <f>I1660</f>
        <v>602.4</v>
      </c>
      <c r="O1660" s="235">
        <f t="shared" si="158"/>
        <v>0</v>
      </c>
      <c r="P1660" s="238" t="s">
        <v>5921</v>
      </c>
      <c r="Q1660" s="1" t="s">
        <v>5381</v>
      </c>
      <c r="R1660" s="239" t="s">
        <v>4341</v>
      </c>
      <c r="S1660" s="238" t="s">
        <v>4342</v>
      </c>
      <c r="T1660" s="238" t="s">
        <v>2237</v>
      </c>
      <c r="U1660" s="238" t="s">
        <v>5996</v>
      </c>
      <c r="V1660" s="238" t="s">
        <v>6900</v>
      </c>
      <c r="W1660" s="236">
        <v>8938.52</v>
      </c>
      <c r="X1660" s="233">
        <v>41410</v>
      </c>
      <c r="Y1660" s="238" t="s">
        <v>6893</v>
      </c>
      <c r="AB1660" s="1" t="s">
        <v>1561</v>
      </c>
    </row>
    <row r="1661" spans="1:28">
      <c r="A1661" s="233">
        <v>41366</v>
      </c>
      <c r="B1661" s="228" t="s">
        <v>5922</v>
      </c>
      <c r="C1661" s="1" t="s">
        <v>162</v>
      </c>
      <c r="D1661" s="5" t="s">
        <v>51</v>
      </c>
      <c r="E1661" s="1">
        <v>9032</v>
      </c>
      <c r="F1661" s="1">
        <v>500</v>
      </c>
      <c r="G1661" s="1" t="s">
        <v>170</v>
      </c>
      <c r="H1661" s="234">
        <v>2.1</v>
      </c>
      <c r="I1661" s="235">
        <f t="shared" si="159"/>
        <v>1050</v>
      </c>
      <c r="K1661" s="250">
        <f>1.4929*500</f>
        <v>746.44999999999993</v>
      </c>
      <c r="L1661" s="237">
        <v>41365</v>
      </c>
      <c r="M1661" s="1" t="s">
        <v>166</v>
      </c>
      <c r="N1661" s="235">
        <f>I1661</f>
        <v>1050</v>
      </c>
      <c r="O1661" s="235">
        <f t="shared" ref="O1661:O1701" si="160">I1661-N1661</f>
        <v>0</v>
      </c>
      <c r="P1661" s="238" t="s">
        <v>5941</v>
      </c>
      <c r="Q1661" s="1" t="s">
        <v>5994</v>
      </c>
      <c r="R1661" s="239" t="s">
        <v>5923</v>
      </c>
      <c r="S1661" s="238" t="s">
        <v>5924</v>
      </c>
      <c r="T1661" s="238" t="s">
        <v>5969</v>
      </c>
      <c r="U1661" s="238" t="s">
        <v>5995</v>
      </c>
      <c r="AB1661" s="1" t="s">
        <v>5925</v>
      </c>
    </row>
    <row r="1662" spans="1:28">
      <c r="A1662" s="233">
        <v>41366</v>
      </c>
      <c r="B1662" s="1" t="s">
        <v>5926</v>
      </c>
      <c r="C1662" s="1" t="s">
        <v>162</v>
      </c>
      <c r="D1662" s="5" t="s">
        <v>51</v>
      </c>
      <c r="E1662" s="1">
        <v>9032</v>
      </c>
      <c r="F1662" s="1">
        <v>1000</v>
      </c>
      <c r="G1662" s="1" t="s">
        <v>170</v>
      </c>
      <c r="H1662" s="234">
        <v>2.1</v>
      </c>
      <c r="I1662" s="235">
        <f t="shared" si="159"/>
        <v>2100</v>
      </c>
      <c r="K1662" s="250">
        <f>1.4929*1000</f>
        <v>1492.8999999999999</v>
      </c>
      <c r="L1662" s="237">
        <v>41365</v>
      </c>
      <c r="M1662" s="1" t="s">
        <v>698</v>
      </c>
      <c r="N1662" s="235">
        <f>I1662</f>
        <v>2100</v>
      </c>
      <c r="O1662" s="235">
        <f t="shared" si="160"/>
        <v>0</v>
      </c>
      <c r="P1662" s="238" t="s">
        <v>5928</v>
      </c>
      <c r="Q1662" s="1" t="s">
        <v>726</v>
      </c>
      <c r="R1662" s="239" t="s">
        <v>5929</v>
      </c>
      <c r="S1662" s="238" t="s">
        <v>5930</v>
      </c>
      <c r="T1662" s="238" t="s">
        <v>5931</v>
      </c>
      <c r="U1662" s="238" t="s">
        <v>5973</v>
      </c>
      <c r="V1662" s="238" t="s">
        <v>5909</v>
      </c>
      <c r="AB1662" s="1" t="s">
        <v>5925</v>
      </c>
    </row>
    <row r="1663" spans="1:28">
      <c r="A1663" s="233">
        <v>41366</v>
      </c>
      <c r="B1663" s="1" t="s">
        <v>5926</v>
      </c>
      <c r="C1663" s="1" t="s">
        <v>162</v>
      </c>
      <c r="D1663" s="1" t="s">
        <v>5764</v>
      </c>
      <c r="E1663" s="1" t="s">
        <v>5927</v>
      </c>
      <c r="F1663" s="1">
        <v>1</v>
      </c>
      <c r="G1663" s="1" t="s">
        <v>192</v>
      </c>
      <c r="H1663" s="234">
        <v>40</v>
      </c>
      <c r="I1663" s="235">
        <f t="shared" si="159"/>
        <v>40</v>
      </c>
      <c r="K1663" s="250">
        <f>33.111*1</f>
        <v>33.110999999999997</v>
      </c>
      <c r="L1663" s="237">
        <v>41365</v>
      </c>
      <c r="M1663" s="1" t="s">
        <v>698</v>
      </c>
      <c r="N1663" s="235">
        <f>I1663</f>
        <v>40</v>
      </c>
      <c r="O1663" s="235">
        <f t="shared" si="160"/>
        <v>0</v>
      </c>
      <c r="P1663" s="238" t="s">
        <v>5928</v>
      </c>
      <c r="Q1663" s="1" t="s">
        <v>726</v>
      </c>
      <c r="R1663" s="239" t="s">
        <v>5929</v>
      </c>
      <c r="S1663" s="238" t="s">
        <v>5930</v>
      </c>
      <c r="T1663" s="238" t="s">
        <v>5931</v>
      </c>
      <c r="U1663" s="238" t="s">
        <v>5973</v>
      </c>
      <c r="V1663" s="238" t="s">
        <v>5909</v>
      </c>
      <c r="AB1663" s="1" t="s">
        <v>5925</v>
      </c>
    </row>
    <row r="1664" spans="1:28">
      <c r="A1664" s="233">
        <v>41366</v>
      </c>
      <c r="B1664" s="1" t="s">
        <v>5756</v>
      </c>
      <c r="C1664" s="1" t="s">
        <v>162</v>
      </c>
      <c r="D1664" s="5" t="s">
        <v>51</v>
      </c>
      <c r="E1664" s="1">
        <v>9032</v>
      </c>
      <c r="F1664" s="1">
        <v>1000</v>
      </c>
      <c r="G1664" s="1" t="s">
        <v>170</v>
      </c>
      <c r="H1664" s="234">
        <v>1.65</v>
      </c>
      <c r="I1664" s="235">
        <f t="shared" si="159"/>
        <v>1650</v>
      </c>
      <c r="K1664" s="250">
        <f>1.4929*1000</f>
        <v>1492.8999999999999</v>
      </c>
      <c r="N1664" s="235">
        <v>0</v>
      </c>
      <c r="O1664" s="235">
        <f t="shared" si="160"/>
        <v>1650</v>
      </c>
      <c r="P1664" s="238" t="s">
        <v>5945</v>
      </c>
      <c r="Q1664" s="1" t="s">
        <v>2505</v>
      </c>
      <c r="R1664" s="239" t="s">
        <v>5760</v>
      </c>
      <c r="S1664" s="238" t="s">
        <v>5759</v>
      </c>
      <c r="T1664" s="238" t="s">
        <v>6329</v>
      </c>
      <c r="U1664" s="238" t="s">
        <v>167</v>
      </c>
      <c r="V1664" s="238" t="s">
        <v>6327</v>
      </c>
      <c r="W1664" s="236">
        <v>16160</v>
      </c>
      <c r="X1664" s="233">
        <v>41381</v>
      </c>
      <c r="Y1664" s="238" t="s">
        <v>6328</v>
      </c>
      <c r="AB1664" s="1" t="s">
        <v>2064</v>
      </c>
    </row>
    <row r="1665" spans="1:28">
      <c r="A1665" s="233">
        <v>41366</v>
      </c>
      <c r="B1665" s="1" t="s">
        <v>5756</v>
      </c>
      <c r="C1665" s="1" t="s">
        <v>162</v>
      </c>
      <c r="D1665" s="1" t="s">
        <v>5764</v>
      </c>
      <c r="E1665" s="1" t="s">
        <v>5927</v>
      </c>
      <c r="F1665" s="1">
        <v>10</v>
      </c>
      <c r="G1665" s="1" t="s">
        <v>5939</v>
      </c>
      <c r="H1665" s="234">
        <v>40</v>
      </c>
      <c r="I1665" s="235">
        <f t="shared" si="159"/>
        <v>400</v>
      </c>
      <c r="K1665" s="250">
        <f>33.111*10</f>
        <v>331.10999999999996</v>
      </c>
      <c r="N1665" s="235">
        <v>0</v>
      </c>
      <c r="O1665" s="235">
        <f t="shared" si="160"/>
        <v>400</v>
      </c>
      <c r="P1665" s="238" t="s">
        <v>5945</v>
      </c>
      <c r="Q1665" s="1" t="s">
        <v>2505</v>
      </c>
      <c r="R1665" s="239" t="s">
        <v>5760</v>
      </c>
      <c r="S1665" s="238" t="s">
        <v>5759</v>
      </c>
      <c r="T1665" s="238" t="s">
        <v>6329</v>
      </c>
      <c r="U1665" s="238" t="s">
        <v>167</v>
      </c>
      <c r="V1665" s="238" t="s">
        <v>6327</v>
      </c>
      <c r="W1665" s="236">
        <v>16160</v>
      </c>
      <c r="X1665" s="233">
        <v>41381</v>
      </c>
      <c r="Y1665" s="238" t="s">
        <v>6328</v>
      </c>
      <c r="AB1665" s="1" t="s">
        <v>2064</v>
      </c>
    </row>
    <row r="1666" spans="1:28">
      <c r="A1666" s="233">
        <v>41366</v>
      </c>
      <c r="B1666" s="1" t="s">
        <v>5756</v>
      </c>
      <c r="C1666" s="1" t="s">
        <v>6644</v>
      </c>
      <c r="D1666" s="343" t="s">
        <v>5858</v>
      </c>
      <c r="E1666" s="343" t="s">
        <v>5857</v>
      </c>
      <c r="F1666" s="1">
        <v>7000</v>
      </c>
      <c r="G1666" s="1" t="s">
        <v>5917</v>
      </c>
      <c r="H1666" s="234">
        <v>0.65</v>
      </c>
      <c r="I1666" s="235">
        <f t="shared" si="159"/>
        <v>4550</v>
      </c>
      <c r="K1666" s="250">
        <f>0.5*7000</f>
        <v>3500</v>
      </c>
      <c r="N1666" s="235">
        <v>0</v>
      </c>
      <c r="O1666" s="235">
        <f t="shared" si="160"/>
        <v>4550</v>
      </c>
      <c r="P1666" s="238" t="s">
        <v>5945</v>
      </c>
      <c r="Q1666" s="1" t="s">
        <v>2505</v>
      </c>
      <c r="R1666" s="239" t="s">
        <v>5760</v>
      </c>
      <c r="S1666" s="238" t="s">
        <v>5759</v>
      </c>
      <c r="T1666" s="238" t="s">
        <v>6329</v>
      </c>
      <c r="U1666" s="238" t="s">
        <v>167</v>
      </c>
      <c r="V1666" s="238" t="s">
        <v>6327</v>
      </c>
      <c r="W1666" s="236">
        <v>16160</v>
      </c>
      <c r="X1666" s="233">
        <v>41381</v>
      </c>
      <c r="Y1666" s="238" t="s">
        <v>6328</v>
      </c>
      <c r="AB1666" s="1" t="s">
        <v>2064</v>
      </c>
    </row>
    <row r="1667" spans="1:28">
      <c r="A1667" s="233">
        <v>41366</v>
      </c>
      <c r="B1667" s="1" t="s">
        <v>5756</v>
      </c>
      <c r="C1667" s="1" t="s">
        <v>167</v>
      </c>
      <c r="D1667" s="1" t="s">
        <v>5942</v>
      </c>
      <c r="E1667" s="1" t="s">
        <v>5899</v>
      </c>
      <c r="F1667" s="1">
        <v>100</v>
      </c>
      <c r="G1667" s="1" t="s">
        <v>5944</v>
      </c>
      <c r="H1667" s="234">
        <v>5</v>
      </c>
      <c r="I1667" s="235">
        <f t="shared" si="159"/>
        <v>500</v>
      </c>
      <c r="K1667" s="250">
        <f>2*100</f>
        <v>200</v>
      </c>
      <c r="N1667" s="235">
        <v>0</v>
      </c>
      <c r="O1667" s="235">
        <f t="shared" si="160"/>
        <v>500</v>
      </c>
      <c r="P1667" s="238" t="s">
        <v>5945</v>
      </c>
      <c r="Q1667" s="1" t="s">
        <v>2505</v>
      </c>
      <c r="R1667" s="239" t="s">
        <v>5760</v>
      </c>
      <c r="S1667" s="238" t="s">
        <v>5759</v>
      </c>
      <c r="T1667" s="238" t="s">
        <v>6329</v>
      </c>
      <c r="U1667" s="238" t="s">
        <v>167</v>
      </c>
      <c r="V1667" s="238" t="s">
        <v>6327</v>
      </c>
      <c r="W1667" s="236">
        <v>16160</v>
      </c>
      <c r="X1667" s="233">
        <v>41381</v>
      </c>
      <c r="Y1667" s="238" t="s">
        <v>6328</v>
      </c>
      <c r="AB1667" s="1" t="s">
        <v>2064</v>
      </c>
    </row>
    <row r="1668" spans="1:28">
      <c r="A1668" s="233">
        <v>41366</v>
      </c>
      <c r="B1668" s="1" t="s">
        <v>5756</v>
      </c>
      <c r="C1668" s="1" t="s">
        <v>167</v>
      </c>
      <c r="D1668" s="1" t="s">
        <v>5943</v>
      </c>
      <c r="E1668" s="1" t="s">
        <v>5899</v>
      </c>
      <c r="F1668" s="1">
        <v>90</v>
      </c>
      <c r="G1668" s="1" t="s">
        <v>5917</v>
      </c>
      <c r="H1668" s="234">
        <v>3</v>
      </c>
      <c r="I1668" s="235">
        <f t="shared" si="159"/>
        <v>270</v>
      </c>
      <c r="K1668" s="250">
        <f>2*90</f>
        <v>180</v>
      </c>
      <c r="N1668" s="235">
        <v>0</v>
      </c>
      <c r="O1668" s="235">
        <f t="shared" si="160"/>
        <v>270</v>
      </c>
      <c r="P1668" s="238" t="s">
        <v>5945</v>
      </c>
      <c r="Q1668" s="1" t="s">
        <v>2505</v>
      </c>
      <c r="R1668" s="239" t="s">
        <v>5760</v>
      </c>
      <c r="S1668" s="238" t="s">
        <v>5759</v>
      </c>
      <c r="T1668" s="238" t="s">
        <v>6329</v>
      </c>
      <c r="U1668" s="238" t="s">
        <v>167</v>
      </c>
      <c r="V1668" s="238" t="s">
        <v>6327</v>
      </c>
      <c r="W1668" s="236">
        <v>16160</v>
      </c>
      <c r="X1668" s="233">
        <v>41381</v>
      </c>
      <c r="Y1668" s="238" t="s">
        <v>6328</v>
      </c>
      <c r="AB1668" s="1" t="s">
        <v>2064</v>
      </c>
    </row>
    <row r="1669" spans="1:28">
      <c r="A1669" s="233">
        <v>41366</v>
      </c>
      <c r="B1669" s="136" t="s">
        <v>4062</v>
      </c>
      <c r="C1669" s="1" t="s">
        <v>162</v>
      </c>
      <c r="D1669" s="5" t="s">
        <v>2014</v>
      </c>
      <c r="E1669" s="1">
        <v>7502</v>
      </c>
      <c r="F1669" s="1">
        <v>5</v>
      </c>
      <c r="G1669" s="1" t="s">
        <v>170</v>
      </c>
      <c r="H1669" s="234">
        <v>182</v>
      </c>
      <c r="I1669" s="235">
        <f t="shared" si="159"/>
        <v>910</v>
      </c>
      <c r="K1669" s="250">
        <f>121.16*5</f>
        <v>605.79999999999995</v>
      </c>
      <c r="L1669" s="237">
        <v>41389</v>
      </c>
      <c r="M1669" s="1" t="s">
        <v>166</v>
      </c>
      <c r="N1669" s="235">
        <f t="shared" ref="N1669" si="161">I1669</f>
        <v>910</v>
      </c>
      <c r="O1669" s="235">
        <f t="shared" si="160"/>
        <v>0</v>
      </c>
      <c r="P1669" s="238" t="s">
        <v>5834</v>
      </c>
      <c r="Q1669" s="1" t="s">
        <v>5971</v>
      </c>
      <c r="R1669" s="239" t="s">
        <v>4586</v>
      </c>
      <c r="S1669" s="238" t="s">
        <v>4587</v>
      </c>
      <c r="T1669" s="238" t="s">
        <v>4195</v>
      </c>
      <c r="U1669" s="238" t="s">
        <v>5972</v>
      </c>
      <c r="V1669" s="238" t="s">
        <v>5970</v>
      </c>
      <c r="W1669" s="236">
        <v>13860</v>
      </c>
      <c r="X1669" s="233">
        <v>41366</v>
      </c>
      <c r="Y1669" s="238" t="s">
        <v>5972</v>
      </c>
      <c r="AB1669" s="1" t="s">
        <v>2064</v>
      </c>
    </row>
    <row r="1670" spans="1:28">
      <c r="A1670" s="233">
        <v>41366</v>
      </c>
      <c r="B1670" s="1" t="s">
        <v>4827</v>
      </c>
      <c r="C1670" s="5" t="s">
        <v>162</v>
      </c>
      <c r="D1670" s="1" t="s">
        <v>5652</v>
      </c>
      <c r="E1670" s="1" t="s">
        <v>5977</v>
      </c>
      <c r="F1670" s="1">
        <v>1</v>
      </c>
      <c r="G1670" s="1" t="s">
        <v>5979</v>
      </c>
      <c r="H1670" s="234">
        <v>411</v>
      </c>
      <c r="I1670" s="235">
        <f t="shared" si="159"/>
        <v>411</v>
      </c>
      <c r="K1670" s="250">
        <f>275.4*1</f>
        <v>275.39999999999998</v>
      </c>
      <c r="N1670" s="235">
        <v>0</v>
      </c>
      <c r="O1670" s="235">
        <f t="shared" si="160"/>
        <v>411</v>
      </c>
      <c r="P1670" s="238" t="s">
        <v>5981</v>
      </c>
      <c r="Q1670" s="1" t="s">
        <v>3535</v>
      </c>
      <c r="R1670" s="239" t="s">
        <v>167</v>
      </c>
      <c r="S1670" s="238" t="s">
        <v>167</v>
      </c>
      <c r="T1670" s="238" t="s">
        <v>4830</v>
      </c>
      <c r="U1670" s="238" t="s">
        <v>5983</v>
      </c>
      <c r="V1670" s="238" t="s">
        <v>5982</v>
      </c>
      <c r="W1670" s="236">
        <v>841</v>
      </c>
      <c r="X1670" s="233">
        <v>41366</v>
      </c>
      <c r="Y1670" s="238" t="s">
        <v>5983</v>
      </c>
      <c r="AB1670" s="5" t="s">
        <v>2064</v>
      </c>
    </row>
    <row r="1671" spans="1:28">
      <c r="A1671" s="233">
        <v>41366</v>
      </c>
      <c r="B1671" s="1" t="s">
        <v>4827</v>
      </c>
      <c r="C1671" s="5" t="s">
        <v>162</v>
      </c>
      <c r="D1671" s="1" t="s">
        <v>5674</v>
      </c>
      <c r="E1671" s="1" t="s">
        <v>5978</v>
      </c>
      <c r="F1671" s="1">
        <v>500</v>
      </c>
      <c r="G1671" s="1" t="s">
        <v>5980</v>
      </c>
      <c r="H1671" s="234">
        <v>0.86</v>
      </c>
      <c r="I1671" s="235">
        <f t="shared" si="159"/>
        <v>430</v>
      </c>
      <c r="K1671" s="250">
        <f>0.54*500</f>
        <v>270</v>
      </c>
      <c r="N1671" s="235">
        <v>0</v>
      </c>
      <c r="O1671" s="235">
        <f t="shared" si="160"/>
        <v>430</v>
      </c>
      <c r="P1671" s="238" t="s">
        <v>5981</v>
      </c>
      <c r="Q1671" s="1" t="s">
        <v>3535</v>
      </c>
      <c r="R1671" s="239" t="s">
        <v>167</v>
      </c>
      <c r="S1671" s="238" t="s">
        <v>167</v>
      </c>
      <c r="T1671" s="238" t="s">
        <v>4830</v>
      </c>
      <c r="U1671" s="238" t="s">
        <v>5983</v>
      </c>
      <c r="V1671" s="238" t="s">
        <v>5982</v>
      </c>
      <c r="W1671" s="236">
        <v>841</v>
      </c>
      <c r="X1671" s="233">
        <v>41366</v>
      </c>
      <c r="Y1671" s="238" t="s">
        <v>5983</v>
      </c>
      <c r="AB1671" s="5" t="s">
        <v>2064</v>
      </c>
    </row>
    <row r="1672" spans="1:28">
      <c r="A1672" s="233">
        <v>41366</v>
      </c>
      <c r="B1672" s="1" t="s">
        <v>3656</v>
      </c>
      <c r="C1672" s="1" t="s">
        <v>162</v>
      </c>
      <c r="D1672" s="344" t="s">
        <v>1901</v>
      </c>
      <c r="E1672" s="1">
        <v>52000183617</v>
      </c>
      <c r="F1672" s="1">
        <v>5</v>
      </c>
      <c r="G1672" s="1" t="s">
        <v>170</v>
      </c>
      <c r="H1672" s="234">
        <v>950</v>
      </c>
      <c r="I1672" s="235">
        <f t="shared" si="159"/>
        <v>4750</v>
      </c>
      <c r="K1672" s="250">
        <f>870*5</f>
        <v>4350</v>
      </c>
      <c r="L1672" s="237">
        <v>41375</v>
      </c>
      <c r="M1672" s="1" t="s">
        <v>166</v>
      </c>
      <c r="N1672" s="235">
        <f>I1672</f>
        <v>4750</v>
      </c>
      <c r="O1672" s="235">
        <f t="shared" si="160"/>
        <v>0</v>
      </c>
      <c r="P1672" s="238" t="s">
        <v>5990</v>
      </c>
      <c r="Q1672" s="5" t="s">
        <v>2505</v>
      </c>
      <c r="R1672" s="247" t="s">
        <v>3658</v>
      </c>
      <c r="S1672" s="246" t="s">
        <v>3659</v>
      </c>
      <c r="T1672" s="246" t="s">
        <v>3660</v>
      </c>
      <c r="U1672" s="238" t="s">
        <v>5955</v>
      </c>
      <c r="V1672" s="238" t="s">
        <v>5998</v>
      </c>
      <c r="W1672" s="236">
        <v>5621.5</v>
      </c>
      <c r="X1672" s="233">
        <v>41366</v>
      </c>
      <c r="Y1672" s="238" t="s">
        <v>5955</v>
      </c>
      <c r="AB1672" s="1" t="s">
        <v>1561</v>
      </c>
    </row>
    <row r="1673" spans="1:28">
      <c r="A1673" s="233">
        <v>41366</v>
      </c>
      <c r="B1673" s="1" t="s">
        <v>3656</v>
      </c>
      <c r="C1673" s="1" t="s">
        <v>162</v>
      </c>
      <c r="D1673" s="344" t="s">
        <v>1945</v>
      </c>
      <c r="E1673" s="344">
        <v>52000183617</v>
      </c>
      <c r="F1673" s="344">
        <v>50</v>
      </c>
      <c r="G1673" s="344" t="s">
        <v>171</v>
      </c>
      <c r="H1673" s="234">
        <v>17.43</v>
      </c>
      <c r="I1673" s="235">
        <f t="shared" si="159"/>
        <v>871.5</v>
      </c>
      <c r="K1673" s="250">
        <f>16.6*50</f>
        <v>830.00000000000011</v>
      </c>
      <c r="L1673" s="237">
        <v>41375</v>
      </c>
      <c r="M1673" s="1" t="s">
        <v>166</v>
      </c>
      <c r="N1673" s="235">
        <f>I1673</f>
        <v>871.5</v>
      </c>
      <c r="O1673" s="235">
        <f t="shared" si="160"/>
        <v>0</v>
      </c>
      <c r="P1673" s="238" t="s">
        <v>5990</v>
      </c>
      <c r="Q1673" s="5" t="s">
        <v>2505</v>
      </c>
      <c r="R1673" s="247" t="s">
        <v>3658</v>
      </c>
      <c r="S1673" s="246" t="s">
        <v>3659</v>
      </c>
      <c r="T1673" s="246" t="s">
        <v>3660</v>
      </c>
      <c r="U1673" s="238" t="s">
        <v>5955</v>
      </c>
      <c r="V1673" s="238" t="s">
        <v>5998</v>
      </c>
      <c r="W1673" s="236">
        <v>5621.5</v>
      </c>
      <c r="X1673" s="233">
        <v>41366</v>
      </c>
      <c r="Y1673" s="238" t="s">
        <v>5955</v>
      </c>
      <c r="AB1673" s="1" t="s">
        <v>1561</v>
      </c>
    </row>
    <row r="1674" spans="1:28">
      <c r="A1674" s="233">
        <v>41366</v>
      </c>
      <c r="B1674" s="1" t="s">
        <v>2174</v>
      </c>
      <c r="C1674" s="1" t="s">
        <v>162</v>
      </c>
      <c r="D1674" s="344" t="s">
        <v>1891</v>
      </c>
      <c r="E1674" s="1" t="s">
        <v>5991</v>
      </c>
      <c r="F1674" s="1">
        <v>10</v>
      </c>
      <c r="G1674" s="1" t="s">
        <v>192</v>
      </c>
      <c r="H1674" s="234">
        <v>113</v>
      </c>
      <c r="I1674" s="235">
        <f t="shared" si="159"/>
        <v>1130</v>
      </c>
      <c r="K1674" s="250">
        <f>107.64*10</f>
        <v>1076.4000000000001</v>
      </c>
      <c r="L1674" s="237">
        <v>41380</v>
      </c>
      <c r="M1674" s="1" t="s">
        <v>698</v>
      </c>
      <c r="N1674" s="235">
        <f>I1674</f>
        <v>1130</v>
      </c>
      <c r="O1674" s="235">
        <f t="shared" si="160"/>
        <v>0</v>
      </c>
      <c r="P1674" s="238" t="s">
        <v>5992</v>
      </c>
      <c r="Q1674" s="1" t="s">
        <v>2505</v>
      </c>
      <c r="R1674" s="239" t="s">
        <v>2176</v>
      </c>
      <c r="S1674" s="238" t="s">
        <v>2177</v>
      </c>
      <c r="T1674" s="238" t="s">
        <v>3533</v>
      </c>
      <c r="U1674" s="238" t="s">
        <v>167</v>
      </c>
      <c r="V1674" s="246" t="s">
        <v>175</v>
      </c>
      <c r="W1674" s="236" t="s">
        <v>167</v>
      </c>
      <c r="X1674" s="233" t="s">
        <v>167</v>
      </c>
      <c r="Y1674" s="238" t="s">
        <v>167</v>
      </c>
      <c r="AB1674" s="5" t="s">
        <v>1561</v>
      </c>
    </row>
    <row r="1675" spans="1:28">
      <c r="A1675" s="233">
        <v>41367</v>
      </c>
      <c r="B1675" s="1" t="s">
        <v>4111</v>
      </c>
      <c r="C1675" s="1" t="s">
        <v>162</v>
      </c>
      <c r="D1675" s="1" t="s">
        <v>273</v>
      </c>
      <c r="E1675" s="1" t="s">
        <v>6003</v>
      </c>
      <c r="F1675" s="1">
        <v>10</v>
      </c>
      <c r="G1675" s="1" t="s">
        <v>170</v>
      </c>
      <c r="H1675" s="234">
        <v>35</v>
      </c>
      <c r="I1675" s="235">
        <f t="shared" ref="I1675:I1682" si="162">F1675*H1675</f>
        <v>350</v>
      </c>
      <c r="K1675" s="282">
        <f>29*10</f>
        <v>290</v>
      </c>
      <c r="L1675" s="237">
        <v>41380</v>
      </c>
      <c r="M1675" s="1" t="s">
        <v>698</v>
      </c>
      <c r="N1675" s="235">
        <f>I1675</f>
        <v>350</v>
      </c>
      <c r="O1675" s="235">
        <f t="shared" si="160"/>
        <v>0</v>
      </c>
      <c r="P1675" s="238" t="s">
        <v>6005</v>
      </c>
      <c r="Q1675" s="1" t="s">
        <v>1562</v>
      </c>
      <c r="R1675" s="239" t="s">
        <v>4113</v>
      </c>
      <c r="S1675" s="238" t="s">
        <v>4114</v>
      </c>
      <c r="T1675" s="238" t="s">
        <v>4115</v>
      </c>
      <c r="Z1675" s="255" t="s">
        <v>6006</v>
      </c>
      <c r="AB1675" s="1" t="s">
        <v>1561</v>
      </c>
    </row>
    <row r="1676" spans="1:28">
      <c r="A1676" s="233">
        <v>41367</v>
      </c>
      <c r="B1676" s="1" t="s">
        <v>1569</v>
      </c>
      <c r="C1676" s="1" t="s">
        <v>162</v>
      </c>
      <c r="D1676" s="1" t="s">
        <v>240</v>
      </c>
      <c r="E1676" s="1">
        <v>6200</v>
      </c>
      <c r="F1676" s="1">
        <v>10</v>
      </c>
      <c r="G1676" s="1" t="s">
        <v>170</v>
      </c>
      <c r="H1676" s="234">
        <v>46.65</v>
      </c>
      <c r="I1676" s="235">
        <f t="shared" si="162"/>
        <v>466.5</v>
      </c>
      <c r="K1676" s="250">
        <f>44.5*10</f>
        <v>445</v>
      </c>
      <c r="L1676" s="237">
        <v>41411</v>
      </c>
      <c r="M1676" s="1" t="s">
        <v>166</v>
      </c>
      <c r="N1676" s="235">
        <f t="shared" ref="N1676:N1680" si="163">I1676</f>
        <v>466.5</v>
      </c>
      <c r="O1676" s="235">
        <f t="shared" si="160"/>
        <v>0</v>
      </c>
      <c r="P1676" s="238" t="s">
        <v>6010</v>
      </c>
      <c r="Q1676" s="1" t="s">
        <v>1571</v>
      </c>
      <c r="R1676" s="239" t="s">
        <v>1570</v>
      </c>
      <c r="S1676" s="238">
        <v>13368068212</v>
      </c>
      <c r="T1676" s="238" t="s">
        <v>167</v>
      </c>
      <c r="U1676" s="238" t="s">
        <v>167</v>
      </c>
      <c r="V1676" s="238" t="s">
        <v>6540</v>
      </c>
      <c r="W1676" s="236">
        <v>33461.35</v>
      </c>
      <c r="X1676" s="233">
        <v>41390</v>
      </c>
      <c r="Y1676" s="238" t="s">
        <v>3866</v>
      </c>
      <c r="AB1676" s="5" t="s">
        <v>1561</v>
      </c>
    </row>
    <row r="1677" spans="1:28">
      <c r="A1677" s="233">
        <v>41367</v>
      </c>
      <c r="B1677" s="1" t="s">
        <v>1569</v>
      </c>
      <c r="C1677" s="1" t="s">
        <v>162</v>
      </c>
      <c r="D1677" s="345" t="s">
        <v>1869</v>
      </c>
      <c r="E1677" s="1">
        <v>501</v>
      </c>
      <c r="F1677" s="1">
        <v>50</v>
      </c>
      <c r="G1677" s="1" t="s">
        <v>170</v>
      </c>
      <c r="H1677" s="234">
        <v>1.53</v>
      </c>
      <c r="I1677" s="235">
        <f t="shared" si="162"/>
        <v>76.5</v>
      </c>
      <c r="K1677" s="250">
        <f>1.39*50</f>
        <v>69.5</v>
      </c>
      <c r="L1677" s="237">
        <v>41411</v>
      </c>
      <c r="M1677" s="1" t="s">
        <v>166</v>
      </c>
      <c r="N1677" s="235">
        <f t="shared" si="163"/>
        <v>76.5</v>
      </c>
      <c r="O1677" s="235">
        <f t="shared" si="160"/>
        <v>0</v>
      </c>
      <c r="P1677" s="238" t="s">
        <v>6010</v>
      </c>
      <c r="Q1677" s="1" t="s">
        <v>1571</v>
      </c>
      <c r="R1677" s="239" t="s">
        <v>1570</v>
      </c>
      <c r="S1677" s="238">
        <v>13368068212</v>
      </c>
      <c r="T1677" s="238" t="s">
        <v>167</v>
      </c>
      <c r="U1677" s="238" t="s">
        <v>167</v>
      </c>
      <c r="V1677" s="238" t="s">
        <v>6540</v>
      </c>
      <c r="W1677" s="236">
        <v>33461.35</v>
      </c>
      <c r="X1677" s="233">
        <v>41390</v>
      </c>
      <c r="Y1677" s="238" t="s">
        <v>3866</v>
      </c>
      <c r="AB1677" s="5" t="s">
        <v>1561</v>
      </c>
    </row>
    <row r="1678" spans="1:28">
      <c r="A1678" s="233">
        <v>41367</v>
      </c>
      <c r="B1678" s="1" t="s">
        <v>1569</v>
      </c>
      <c r="C1678" s="1" t="s">
        <v>162</v>
      </c>
      <c r="D1678" s="5" t="s">
        <v>182</v>
      </c>
      <c r="E1678" s="1" t="s">
        <v>194</v>
      </c>
      <c r="F1678" s="1">
        <v>200</v>
      </c>
      <c r="G1678" s="1" t="s">
        <v>171</v>
      </c>
      <c r="H1678" s="234">
        <v>5.2</v>
      </c>
      <c r="I1678" s="235">
        <f t="shared" si="162"/>
        <v>1040</v>
      </c>
      <c r="K1678" s="250">
        <f>4.9*200</f>
        <v>980.00000000000011</v>
      </c>
      <c r="L1678" s="237">
        <v>41411</v>
      </c>
      <c r="M1678" s="1" t="s">
        <v>166</v>
      </c>
      <c r="N1678" s="235">
        <f t="shared" si="163"/>
        <v>1040</v>
      </c>
      <c r="O1678" s="235">
        <f t="shared" si="160"/>
        <v>0</v>
      </c>
      <c r="P1678" s="238" t="s">
        <v>6010</v>
      </c>
      <c r="Q1678" s="1" t="s">
        <v>1571</v>
      </c>
      <c r="R1678" s="239" t="s">
        <v>1570</v>
      </c>
      <c r="S1678" s="238">
        <v>13368068212</v>
      </c>
      <c r="T1678" s="238" t="s">
        <v>167</v>
      </c>
      <c r="U1678" s="238" t="s">
        <v>167</v>
      </c>
      <c r="V1678" s="238" t="s">
        <v>6540</v>
      </c>
      <c r="W1678" s="236">
        <v>33461.35</v>
      </c>
      <c r="X1678" s="233">
        <v>41390</v>
      </c>
      <c r="Y1678" s="238" t="s">
        <v>3866</v>
      </c>
      <c r="AB1678" s="5" t="s">
        <v>1561</v>
      </c>
    </row>
    <row r="1679" spans="1:28">
      <c r="A1679" s="233">
        <v>41367</v>
      </c>
      <c r="B1679" s="1" t="s">
        <v>1569</v>
      </c>
      <c r="C1679" s="1" t="s">
        <v>162</v>
      </c>
      <c r="D1679" s="1" t="s">
        <v>664</v>
      </c>
      <c r="E1679" s="1">
        <v>8246</v>
      </c>
      <c r="F1679" s="1">
        <v>10</v>
      </c>
      <c r="G1679" s="1" t="s">
        <v>6009</v>
      </c>
      <c r="H1679" s="234">
        <v>13.5</v>
      </c>
      <c r="I1679" s="235">
        <f t="shared" si="162"/>
        <v>135</v>
      </c>
      <c r="K1679" s="250">
        <f>11.7*10</f>
        <v>117</v>
      </c>
      <c r="L1679" s="237">
        <v>41411</v>
      </c>
      <c r="M1679" s="1" t="s">
        <v>166</v>
      </c>
      <c r="N1679" s="235">
        <f t="shared" si="163"/>
        <v>135</v>
      </c>
      <c r="O1679" s="235">
        <f t="shared" si="160"/>
        <v>0</v>
      </c>
      <c r="P1679" s="238" t="s">
        <v>6010</v>
      </c>
      <c r="Q1679" s="1" t="s">
        <v>1571</v>
      </c>
      <c r="R1679" s="239" t="s">
        <v>1570</v>
      </c>
      <c r="S1679" s="238">
        <v>13368068212</v>
      </c>
      <c r="T1679" s="238" t="s">
        <v>167</v>
      </c>
      <c r="U1679" s="238" t="s">
        <v>167</v>
      </c>
      <c r="V1679" s="238" t="s">
        <v>6540</v>
      </c>
      <c r="W1679" s="236">
        <v>33461.35</v>
      </c>
      <c r="X1679" s="233">
        <v>41390</v>
      </c>
      <c r="Y1679" s="238" t="s">
        <v>3866</v>
      </c>
      <c r="AB1679" s="5" t="s">
        <v>1561</v>
      </c>
    </row>
    <row r="1680" spans="1:28">
      <c r="A1680" s="233">
        <v>41367</v>
      </c>
      <c r="B1680" s="1" t="s">
        <v>1569</v>
      </c>
      <c r="C1680" s="1" t="s">
        <v>7</v>
      </c>
      <c r="D1680" s="5" t="s">
        <v>1663</v>
      </c>
      <c r="E1680" s="1" t="s">
        <v>1659</v>
      </c>
      <c r="F1680" s="1">
        <v>70</v>
      </c>
      <c r="G1680" s="1" t="s">
        <v>827</v>
      </c>
      <c r="H1680" s="234">
        <v>72</v>
      </c>
      <c r="I1680" s="235">
        <f t="shared" si="162"/>
        <v>5040</v>
      </c>
      <c r="K1680" s="250">
        <f>69.5*70</f>
        <v>4865</v>
      </c>
      <c r="L1680" s="237">
        <v>41411</v>
      </c>
      <c r="M1680" s="1" t="s">
        <v>166</v>
      </c>
      <c r="N1680" s="235">
        <f t="shared" si="163"/>
        <v>5040</v>
      </c>
      <c r="O1680" s="235">
        <f t="shared" si="160"/>
        <v>0</v>
      </c>
      <c r="P1680" s="238" t="s">
        <v>6010</v>
      </c>
      <c r="Q1680" s="1" t="s">
        <v>1571</v>
      </c>
      <c r="R1680" s="239" t="s">
        <v>1570</v>
      </c>
      <c r="S1680" s="238">
        <v>13368068212</v>
      </c>
      <c r="T1680" s="238" t="s">
        <v>167</v>
      </c>
      <c r="U1680" s="238" t="s">
        <v>167</v>
      </c>
      <c r="V1680" s="238" t="s">
        <v>6540</v>
      </c>
      <c r="W1680" s="236">
        <v>33461.35</v>
      </c>
      <c r="X1680" s="233">
        <v>41390</v>
      </c>
      <c r="Y1680" s="238" t="s">
        <v>3866</v>
      </c>
      <c r="AB1680" s="5" t="s">
        <v>1561</v>
      </c>
    </row>
    <row r="1681" spans="1:28">
      <c r="A1681" s="233">
        <v>41367</v>
      </c>
      <c r="B1681" s="1" t="s">
        <v>1563</v>
      </c>
      <c r="C1681" s="1" t="s">
        <v>162</v>
      </c>
      <c r="D1681" s="1" t="s">
        <v>1210</v>
      </c>
      <c r="E1681" s="5">
        <v>3200</v>
      </c>
      <c r="F1681" s="5">
        <v>30</v>
      </c>
      <c r="G1681" s="1" t="s">
        <v>170</v>
      </c>
      <c r="H1681" s="234">
        <v>43.5</v>
      </c>
      <c r="I1681" s="235">
        <f t="shared" si="162"/>
        <v>1305</v>
      </c>
      <c r="K1681" s="250">
        <f>30*23.94</f>
        <v>718.2</v>
      </c>
      <c r="N1681" s="235">
        <v>0</v>
      </c>
      <c r="O1681" s="235">
        <f t="shared" si="160"/>
        <v>1305</v>
      </c>
      <c r="P1681" s="238" t="s">
        <v>6016</v>
      </c>
      <c r="Q1681" s="1" t="s">
        <v>1562</v>
      </c>
      <c r="R1681" s="239" t="s">
        <v>6017</v>
      </c>
      <c r="S1681" s="238" t="s">
        <v>6018</v>
      </c>
      <c r="T1681" s="238" t="s">
        <v>2256</v>
      </c>
      <c r="U1681" s="238" t="s">
        <v>167</v>
      </c>
      <c r="AB1681" s="1" t="s">
        <v>2064</v>
      </c>
    </row>
    <row r="1682" spans="1:28">
      <c r="A1682" s="233">
        <v>41367</v>
      </c>
      <c r="B1682" s="1" t="s">
        <v>5756</v>
      </c>
      <c r="C1682" s="1" t="s">
        <v>167</v>
      </c>
      <c r="D1682" s="1" t="s">
        <v>6012</v>
      </c>
      <c r="E1682" s="1" t="s">
        <v>167</v>
      </c>
      <c r="F1682" s="1">
        <v>100</v>
      </c>
      <c r="G1682" s="1" t="s">
        <v>827</v>
      </c>
      <c r="H1682" s="234">
        <v>3</v>
      </c>
      <c r="I1682" s="235">
        <f t="shared" si="162"/>
        <v>300</v>
      </c>
      <c r="K1682" s="250">
        <f>4*100</f>
        <v>400</v>
      </c>
      <c r="N1682" s="235">
        <v>0</v>
      </c>
      <c r="O1682" s="235">
        <f t="shared" si="160"/>
        <v>300</v>
      </c>
      <c r="P1682" s="238" t="s">
        <v>6019</v>
      </c>
      <c r="Q1682" s="1" t="s">
        <v>2505</v>
      </c>
      <c r="R1682" s="239" t="s">
        <v>5760</v>
      </c>
      <c r="S1682" s="238" t="s">
        <v>5759</v>
      </c>
      <c r="T1682" s="238" t="s">
        <v>6329</v>
      </c>
      <c r="U1682" s="238" t="s">
        <v>167</v>
      </c>
      <c r="V1682" s="238" t="s">
        <v>6327</v>
      </c>
      <c r="W1682" s="236">
        <v>16160</v>
      </c>
      <c r="X1682" s="233">
        <v>41381</v>
      </c>
      <c r="Y1682" s="238" t="s">
        <v>6328</v>
      </c>
      <c r="AB1682" s="1" t="s">
        <v>2064</v>
      </c>
    </row>
    <row r="1683" spans="1:28">
      <c r="A1683" s="233">
        <v>41371</v>
      </c>
      <c r="B1683" s="1" t="s">
        <v>5254</v>
      </c>
      <c r="C1683" s="1" t="s">
        <v>7</v>
      </c>
      <c r="D1683" s="343" t="s">
        <v>4977</v>
      </c>
      <c r="E1683" s="1" t="s">
        <v>4974</v>
      </c>
      <c r="F1683" s="1">
        <v>1000</v>
      </c>
      <c r="G1683" s="1" t="s">
        <v>172</v>
      </c>
      <c r="H1683" s="234">
        <v>1.42</v>
      </c>
      <c r="I1683" s="235">
        <f>F1683*H1683</f>
        <v>1420</v>
      </c>
      <c r="K1683" s="250">
        <f>1.32*1000</f>
        <v>1320</v>
      </c>
      <c r="L1683" s="237">
        <v>41375</v>
      </c>
      <c r="M1683" s="1" t="s">
        <v>166</v>
      </c>
      <c r="N1683" s="235">
        <f>I1683</f>
        <v>1420</v>
      </c>
      <c r="O1683" s="235">
        <f>I1683-N1683</f>
        <v>0</v>
      </c>
      <c r="P1683" s="238" t="s">
        <v>6028</v>
      </c>
      <c r="Q1683" s="1" t="s">
        <v>2279</v>
      </c>
      <c r="R1683" s="239" t="s">
        <v>5256</v>
      </c>
      <c r="S1683" s="238" t="s">
        <v>5257</v>
      </c>
      <c r="T1683" s="238" t="s">
        <v>5255</v>
      </c>
      <c r="U1683" s="238" t="s">
        <v>6029</v>
      </c>
      <c r="V1683" s="238" t="s">
        <v>6162</v>
      </c>
      <c r="W1683" s="236">
        <v>41752</v>
      </c>
      <c r="X1683" s="233">
        <v>41376</v>
      </c>
      <c r="Y1683" s="238" t="s">
        <v>6163</v>
      </c>
      <c r="AB1683" s="1" t="s">
        <v>1561</v>
      </c>
    </row>
    <row r="1684" spans="1:28">
      <c r="A1684" s="233">
        <v>41372</v>
      </c>
      <c r="B1684" s="1" t="s">
        <v>1569</v>
      </c>
      <c r="C1684" s="1" t="s">
        <v>7</v>
      </c>
      <c r="D1684" s="5" t="s">
        <v>1663</v>
      </c>
      <c r="E1684" s="1" t="s">
        <v>1659</v>
      </c>
      <c r="F1684" s="1">
        <v>30</v>
      </c>
      <c r="G1684" s="1" t="s">
        <v>827</v>
      </c>
      <c r="H1684" s="234">
        <v>72</v>
      </c>
      <c r="I1684" s="235">
        <f>F1684*H1684</f>
        <v>2160</v>
      </c>
      <c r="K1684" s="250">
        <f>68.34*30</f>
        <v>2050.2000000000003</v>
      </c>
      <c r="L1684" s="237">
        <v>41411</v>
      </c>
      <c r="M1684" s="1" t="s">
        <v>166</v>
      </c>
      <c r="N1684" s="235">
        <f t="shared" ref="N1684" si="164">I1684</f>
        <v>2160</v>
      </c>
      <c r="O1684" s="235">
        <f>I1684-N1684</f>
        <v>0</v>
      </c>
      <c r="P1684" s="238" t="s">
        <v>6034</v>
      </c>
      <c r="Q1684" s="1" t="s">
        <v>6035</v>
      </c>
      <c r="R1684" s="239" t="s">
        <v>1570</v>
      </c>
      <c r="S1684" s="238">
        <v>13368068212</v>
      </c>
      <c r="T1684" s="238" t="s">
        <v>167</v>
      </c>
      <c r="U1684" s="238" t="s">
        <v>167</v>
      </c>
      <c r="V1684" s="238" t="s">
        <v>6540</v>
      </c>
      <c r="W1684" s="236">
        <v>33461.35</v>
      </c>
      <c r="X1684" s="233">
        <v>41390</v>
      </c>
      <c r="Y1684" s="238" t="s">
        <v>3866</v>
      </c>
      <c r="AB1684" s="5" t="s">
        <v>1561</v>
      </c>
    </row>
    <row r="1685" spans="1:28" ht="13.5">
      <c r="A1685" s="233">
        <v>41372</v>
      </c>
      <c r="B1685" s="1" t="s">
        <v>2291</v>
      </c>
      <c r="C1685" s="1" t="s">
        <v>162</v>
      </c>
      <c r="D1685" s="391" t="s">
        <v>5047</v>
      </c>
      <c r="E1685" s="1">
        <v>8210</v>
      </c>
      <c r="F1685" s="1">
        <v>160</v>
      </c>
      <c r="G1685" s="1" t="s">
        <v>170</v>
      </c>
      <c r="H1685" s="234">
        <v>4.5</v>
      </c>
      <c r="I1685" s="235">
        <f>F1685*H1685</f>
        <v>720</v>
      </c>
      <c r="K1685" s="250">
        <f>3.78*160</f>
        <v>604.79999999999995</v>
      </c>
      <c r="L1685" s="237">
        <v>41371</v>
      </c>
      <c r="M1685" s="1" t="s">
        <v>6024</v>
      </c>
      <c r="N1685" s="1">
        <v>720</v>
      </c>
      <c r="O1685" s="236">
        <f>I1685-N1685</f>
        <v>0</v>
      </c>
      <c r="P1685" s="238" t="s">
        <v>6022</v>
      </c>
      <c r="Q1685" s="1" t="s">
        <v>5785</v>
      </c>
      <c r="R1685" s="239" t="s">
        <v>5201</v>
      </c>
      <c r="S1685" s="238" t="s">
        <v>5202</v>
      </c>
      <c r="T1685" s="238" t="s">
        <v>5203</v>
      </c>
      <c r="U1685" s="238" t="s">
        <v>6079</v>
      </c>
      <c r="V1685" s="402" t="s">
        <v>6859</v>
      </c>
      <c r="W1685" s="236">
        <v>720</v>
      </c>
      <c r="X1685" s="233">
        <v>41410</v>
      </c>
      <c r="Y1685" s="238" t="s">
        <v>6860</v>
      </c>
      <c r="AB1685" s="1" t="s">
        <v>1561</v>
      </c>
    </row>
    <row r="1686" spans="1:28">
      <c r="A1686" s="233">
        <v>41372</v>
      </c>
      <c r="B1686" s="1" t="s">
        <v>4368</v>
      </c>
      <c r="C1686" s="1" t="s">
        <v>7</v>
      </c>
      <c r="D1686" s="1" t="s">
        <v>5935</v>
      </c>
      <c r="E1686" s="1" t="s">
        <v>5916</v>
      </c>
      <c r="F1686" s="1">
        <v>100</v>
      </c>
      <c r="G1686" s="1" t="s">
        <v>5917</v>
      </c>
      <c r="H1686" s="234">
        <v>8.6</v>
      </c>
      <c r="I1686" s="235">
        <f>F1686*H1686</f>
        <v>860</v>
      </c>
      <c r="K1686" s="282">
        <v>0</v>
      </c>
      <c r="L1686" s="237">
        <v>41400</v>
      </c>
      <c r="M1686" s="1" t="s">
        <v>5052</v>
      </c>
      <c r="N1686" s="235">
        <f t="shared" ref="N1686" si="165">I1686</f>
        <v>860</v>
      </c>
      <c r="O1686" s="235">
        <f t="shared" si="160"/>
        <v>0</v>
      </c>
      <c r="P1686" s="238" t="s">
        <v>5918</v>
      </c>
      <c r="Q1686" s="1" t="s">
        <v>6080</v>
      </c>
      <c r="R1686" s="10" t="s">
        <v>4372</v>
      </c>
      <c r="S1686" s="238">
        <v>18781834169</v>
      </c>
      <c r="T1686" s="238" t="s">
        <v>4373</v>
      </c>
      <c r="U1686" s="238" t="s">
        <v>6081</v>
      </c>
      <c r="V1686" s="238" t="s">
        <v>6032</v>
      </c>
      <c r="Z1686" s="255" t="s">
        <v>7031</v>
      </c>
      <c r="AB1686" s="1" t="s">
        <v>1561</v>
      </c>
    </row>
    <row r="1687" spans="1:28">
      <c r="A1687" s="233">
        <v>41372</v>
      </c>
      <c r="B1687" s="1" t="s">
        <v>6669</v>
      </c>
      <c r="C1687" s="1" t="s">
        <v>7</v>
      </c>
      <c r="D1687" s="1" t="s">
        <v>5934</v>
      </c>
      <c r="E1687" s="1" t="s">
        <v>5916</v>
      </c>
      <c r="F1687" s="1">
        <v>200</v>
      </c>
      <c r="G1687" s="1" t="s">
        <v>5917</v>
      </c>
      <c r="H1687" s="234">
        <v>8.6</v>
      </c>
      <c r="I1687" s="235">
        <f>F1687*H1687</f>
        <v>1720</v>
      </c>
      <c r="K1687" s="250">
        <f>7.66*200</f>
        <v>1532</v>
      </c>
      <c r="M1687" s="1" t="s">
        <v>5052</v>
      </c>
      <c r="N1687" s="235">
        <v>1690</v>
      </c>
      <c r="O1687" s="235">
        <f t="shared" si="160"/>
        <v>30</v>
      </c>
      <c r="P1687" s="238" t="s">
        <v>5918</v>
      </c>
      <c r="Q1687" s="1" t="s">
        <v>6080</v>
      </c>
      <c r="R1687" s="10" t="s">
        <v>4372</v>
      </c>
      <c r="S1687" s="238">
        <v>18781834169</v>
      </c>
      <c r="T1687" s="238" t="s">
        <v>4373</v>
      </c>
      <c r="U1687" s="238" t="s">
        <v>6081</v>
      </c>
      <c r="V1687" s="238" t="s">
        <v>6032</v>
      </c>
      <c r="AB1687" s="1" t="s">
        <v>1561</v>
      </c>
    </row>
    <row r="1688" spans="1:28">
      <c r="A1688" s="233">
        <v>41372</v>
      </c>
      <c r="B1688" s="1" t="s">
        <v>2236</v>
      </c>
      <c r="C1688" s="1" t="s">
        <v>162</v>
      </c>
      <c r="D1688" s="5" t="s">
        <v>1899</v>
      </c>
      <c r="E1688" s="1">
        <v>6200</v>
      </c>
      <c r="F1688" s="1">
        <v>80</v>
      </c>
      <c r="G1688" s="1" t="s">
        <v>170</v>
      </c>
      <c r="H1688" s="234">
        <v>79.400000000000006</v>
      </c>
      <c r="I1688" s="235">
        <f t="shared" ref="I1688:I1696" si="166">F1688*H1688</f>
        <v>6352</v>
      </c>
      <c r="K1688" s="250">
        <f>44.5*80</f>
        <v>3560</v>
      </c>
      <c r="N1688" s="235">
        <v>0</v>
      </c>
      <c r="O1688" s="235">
        <f t="shared" ref="O1688:O1696" si="167">I1688-N1688</f>
        <v>6352</v>
      </c>
      <c r="P1688" s="238" t="s">
        <v>6062</v>
      </c>
      <c r="Q1688" s="1" t="s">
        <v>6082</v>
      </c>
      <c r="R1688" s="239" t="s">
        <v>2450</v>
      </c>
      <c r="S1688" s="238" t="s">
        <v>3492</v>
      </c>
      <c r="T1688" s="238" t="s">
        <v>797</v>
      </c>
      <c r="U1688" s="238" t="s">
        <v>6083</v>
      </c>
      <c r="V1688" s="238" t="s">
        <v>6888</v>
      </c>
      <c r="W1688" s="236">
        <v>18400</v>
      </c>
      <c r="X1688" s="233">
        <v>41410</v>
      </c>
      <c r="Y1688" s="238" t="s">
        <v>6889</v>
      </c>
      <c r="AB1688" s="1" t="s">
        <v>2064</v>
      </c>
    </row>
    <row r="1689" spans="1:28">
      <c r="A1689" s="233">
        <v>41372</v>
      </c>
      <c r="B1689" s="1" t="s">
        <v>2236</v>
      </c>
      <c r="C1689" s="1" t="s">
        <v>162</v>
      </c>
      <c r="D1689" s="1" t="s">
        <v>353</v>
      </c>
      <c r="E1689" s="1" t="s">
        <v>145</v>
      </c>
      <c r="F1689" s="1">
        <v>320</v>
      </c>
      <c r="G1689" s="1" t="s">
        <v>170</v>
      </c>
      <c r="H1689" s="234">
        <v>28.6</v>
      </c>
      <c r="I1689" s="235">
        <f t="shared" si="166"/>
        <v>9152</v>
      </c>
      <c r="K1689" s="250">
        <f>17.8*320</f>
        <v>5696</v>
      </c>
      <c r="N1689" s="235">
        <v>0</v>
      </c>
      <c r="O1689" s="235">
        <f t="shared" si="167"/>
        <v>9152</v>
      </c>
      <c r="P1689" s="238" t="s">
        <v>6062</v>
      </c>
      <c r="Q1689" s="1" t="s">
        <v>6082</v>
      </c>
      <c r="R1689" s="239" t="s">
        <v>2450</v>
      </c>
      <c r="S1689" s="238" t="s">
        <v>3492</v>
      </c>
      <c r="T1689" s="238" t="s">
        <v>797</v>
      </c>
      <c r="U1689" s="238" t="s">
        <v>6083</v>
      </c>
      <c r="V1689" s="238" t="s">
        <v>6888</v>
      </c>
      <c r="W1689" s="236">
        <v>18400</v>
      </c>
      <c r="X1689" s="233">
        <v>41410</v>
      </c>
      <c r="Y1689" s="238" t="s">
        <v>6889</v>
      </c>
      <c r="AB1689" s="1" t="s">
        <v>2064</v>
      </c>
    </row>
    <row r="1690" spans="1:28">
      <c r="A1690" s="233">
        <v>41372</v>
      </c>
      <c r="B1690" s="1" t="s">
        <v>2236</v>
      </c>
      <c r="C1690" s="1" t="s">
        <v>162</v>
      </c>
      <c r="D1690" s="5" t="s">
        <v>182</v>
      </c>
      <c r="E1690" s="1" t="s">
        <v>194</v>
      </c>
      <c r="F1690" s="1">
        <v>320</v>
      </c>
      <c r="G1690" s="1" t="s">
        <v>231</v>
      </c>
      <c r="H1690" s="234">
        <v>7.99</v>
      </c>
      <c r="I1690" s="235">
        <f t="shared" si="166"/>
        <v>2556.8000000000002</v>
      </c>
      <c r="K1690" s="250">
        <f>4.9*320</f>
        <v>1568</v>
      </c>
      <c r="N1690" s="235">
        <v>0</v>
      </c>
      <c r="O1690" s="235">
        <f t="shared" si="167"/>
        <v>2556.8000000000002</v>
      </c>
      <c r="P1690" s="238" t="s">
        <v>6062</v>
      </c>
      <c r="Q1690" s="1" t="s">
        <v>6082</v>
      </c>
      <c r="R1690" s="239" t="s">
        <v>2450</v>
      </c>
      <c r="S1690" s="238" t="s">
        <v>3492</v>
      </c>
      <c r="T1690" s="238" t="s">
        <v>797</v>
      </c>
      <c r="U1690" s="238" t="s">
        <v>6083</v>
      </c>
      <c r="V1690" s="238" t="s">
        <v>6888</v>
      </c>
      <c r="W1690" s="236">
        <v>18400</v>
      </c>
      <c r="X1690" s="233">
        <v>41410</v>
      </c>
      <c r="Y1690" s="238" t="s">
        <v>6889</v>
      </c>
      <c r="AB1690" s="1" t="s">
        <v>2064</v>
      </c>
    </row>
    <row r="1691" spans="1:28">
      <c r="A1691" s="233">
        <v>41372</v>
      </c>
      <c r="B1691" s="1" t="s">
        <v>2236</v>
      </c>
      <c r="C1691" s="1" t="s">
        <v>162</v>
      </c>
      <c r="D1691" s="5" t="s">
        <v>1869</v>
      </c>
      <c r="E1691" s="1">
        <v>501</v>
      </c>
      <c r="F1691" s="1">
        <v>160</v>
      </c>
      <c r="G1691" s="1" t="s">
        <v>170</v>
      </c>
      <c r="H1691" s="234">
        <v>2.12</v>
      </c>
      <c r="I1691" s="235">
        <f t="shared" si="166"/>
        <v>339.20000000000005</v>
      </c>
      <c r="K1691" s="250">
        <f>2.12*160</f>
        <v>339.20000000000005</v>
      </c>
      <c r="N1691" s="235">
        <v>0</v>
      </c>
      <c r="O1691" s="235">
        <f t="shared" si="167"/>
        <v>339.20000000000005</v>
      </c>
      <c r="P1691" s="238" t="s">
        <v>6062</v>
      </c>
      <c r="Q1691" s="1" t="s">
        <v>6082</v>
      </c>
      <c r="R1691" s="239" t="s">
        <v>2450</v>
      </c>
      <c r="S1691" s="238" t="s">
        <v>3492</v>
      </c>
      <c r="T1691" s="238" t="s">
        <v>797</v>
      </c>
      <c r="U1691" s="238" t="s">
        <v>6083</v>
      </c>
      <c r="V1691" s="238" t="s">
        <v>6888</v>
      </c>
      <c r="W1691" s="236">
        <v>18400</v>
      </c>
      <c r="X1691" s="233">
        <v>41410</v>
      </c>
      <c r="Y1691" s="238" t="s">
        <v>6889</v>
      </c>
      <c r="AB1691" s="1" t="s">
        <v>2064</v>
      </c>
    </row>
    <row r="1692" spans="1:28">
      <c r="A1692" s="233">
        <v>41373</v>
      </c>
      <c r="B1692" s="1" t="s">
        <v>6074</v>
      </c>
      <c r="C1692" s="1" t="s">
        <v>162</v>
      </c>
      <c r="D1692" s="1" t="s">
        <v>240</v>
      </c>
      <c r="E1692" s="1">
        <v>6200</v>
      </c>
      <c r="F1692" s="1">
        <v>2</v>
      </c>
      <c r="G1692" s="1" t="s">
        <v>6075</v>
      </c>
      <c r="H1692" s="234">
        <v>60</v>
      </c>
      <c r="I1692" s="235">
        <f t="shared" si="166"/>
        <v>120</v>
      </c>
      <c r="K1692" s="250">
        <f>44.5*2</f>
        <v>89</v>
      </c>
      <c r="N1692" s="235">
        <v>0</v>
      </c>
      <c r="O1692" s="235">
        <f t="shared" si="167"/>
        <v>120</v>
      </c>
      <c r="P1692" s="238" t="s">
        <v>6077</v>
      </c>
      <c r="Q1692" s="1" t="s">
        <v>2505</v>
      </c>
      <c r="R1692" s="239" t="s">
        <v>5760</v>
      </c>
      <c r="S1692" s="238" t="s">
        <v>5759</v>
      </c>
      <c r="T1692" s="238" t="s">
        <v>6329</v>
      </c>
      <c r="U1692" s="238" t="s">
        <v>167</v>
      </c>
      <c r="V1692" s="238" t="s">
        <v>6327</v>
      </c>
      <c r="W1692" s="236">
        <v>16160</v>
      </c>
      <c r="X1692" s="233">
        <v>41381</v>
      </c>
      <c r="Y1692" s="238" t="s">
        <v>6328</v>
      </c>
      <c r="AB1692" s="1" t="s">
        <v>2064</v>
      </c>
    </row>
    <row r="1693" spans="1:28">
      <c r="A1693" s="233">
        <v>41373</v>
      </c>
      <c r="B1693" s="1" t="s">
        <v>6074</v>
      </c>
      <c r="C1693" s="1" t="s">
        <v>162</v>
      </c>
      <c r="D1693" s="1" t="s">
        <v>353</v>
      </c>
      <c r="E1693" s="1" t="s">
        <v>145</v>
      </c>
      <c r="F1693" s="1">
        <v>4</v>
      </c>
      <c r="G1693" s="1" t="s">
        <v>6075</v>
      </c>
      <c r="H1693" s="234">
        <v>28</v>
      </c>
      <c r="I1693" s="235">
        <f t="shared" si="166"/>
        <v>112</v>
      </c>
      <c r="K1693" s="250">
        <f>17.25*4</f>
        <v>69</v>
      </c>
      <c r="N1693" s="235">
        <v>0</v>
      </c>
      <c r="O1693" s="235">
        <f t="shared" si="167"/>
        <v>112</v>
      </c>
      <c r="P1693" s="238" t="s">
        <v>6077</v>
      </c>
      <c r="Q1693" s="1" t="s">
        <v>2505</v>
      </c>
      <c r="R1693" s="239" t="s">
        <v>5760</v>
      </c>
      <c r="S1693" s="238" t="s">
        <v>5759</v>
      </c>
      <c r="T1693" s="238" t="s">
        <v>6329</v>
      </c>
      <c r="U1693" s="238" t="s">
        <v>167</v>
      </c>
      <c r="V1693" s="238" t="s">
        <v>6327</v>
      </c>
      <c r="W1693" s="236">
        <v>16160</v>
      </c>
      <c r="X1693" s="233">
        <v>41381</v>
      </c>
      <c r="Y1693" s="238" t="s">
        <v>6328</v>
      </c>
      <c r="AB1693" s="1" t="s">
        <v>2064</v>
      </c>
    </row>
    <row r="1694" spans="1:28">
      <c r="A1694" s="233">
        <v>41373</v>
      </c>
      <c r="B1694" s="1" t="s">
        <v>6074</v>
      </c>
      <c r="C1694" s="1" t="s">
        <v>162</v>
      </c>
      <c r="D1694" s="5" t="s">
        <v>1869</v>
      </c>
      <c r="E1694" s="1">
        <v>501</v>
      </c>
      <c r="F1694" s="1">
        <v>4</v>
      </c>
      <c r="G1694" s="1" t="s">
        <v>6075</v>
      </c>
      <c r="H1694" s="234">
        <v>2</v>
      </c>
      <c r="I1694" s="235">
        <f t="shared" si="166"/>
        <v>8</v>
      </c>
      <c r="K1694" s="250">
        <f>1.39*4</f>
        <v>5.56</v>
      </c>
      <c r="N1694" s="235">
        <v>0</v>
      </c>
      <c r="O1694" s="235">
        <f t="shared" si="167"/>
        <v>8</v>
      </c>
      <c r="P1694" s="238" t="s">
        <v>6077</v>
      </c>
      <c r="Q1694" s="1" t="s">
        <v>2505</v>
      </c>
      <c r="R1694" s="239" t="s">
        <v>5760</v>
      </c>
      <c r="S1694" s="238" t="s">
        <v>5759</v>
      </c>
      <c r="T1694" s="238" t="s">
        <v>6329</v>
      </c>
      <c r="U1694" s="238" t="s">
        <v>167</v>
      </c>
      <c r="V1694" s="238" t="s">
        <v>6327</v>
      </c>
      <c r="W1694" s="236">
        <v>16160</v>
      </c>
      <c r="X1694" s="233">
        <v>41381</v>
      </c>
      <c r="Y1694" s="238" t="s">
        <v>6328</v>
      </c>
      <c r="AB1694" s="1" t="s">
        <v>2064</v>
      </c>
    </row>
    <row r="1695" spans="1:28">
      <c r="A1695" s="233">
        <v>41373</v>
      </c>
      <c r="B1695" s="1" t="s">
        <v>6074</v>
      </c>
      <c r="C1695" s="1" t="s">
        <v>162</v>
      </c>
      <c r="D1695" s="5" t="s">
        <v>182</v>
      </c>
      <c r="E1695" s="1" t="s">
        <v>2049</v>
      </c>
      <c r="F1695" s="1">
        <v>200</v>
      </c>
      <c r="G1695" s="1" t="s">
        <v>6071</v>
      </c>
      <c r="H1695" s="234">
        <v>2.5</v>
      </c>
      <c r="I1695" s="235">
        <f t="shared" si="166"/>
        <v>500</v>
      </c>
      <c r="K1695" s="250">
        <f>1.24*200</f>
        <v>248</v>
      </c>
      <c r="N1695" s="235">
        <v>0</v>
      </c>
      <c r="O1695" s="235">
        <f t="shared" si="167"/>
        <v>500</v>
      </c>
      <c r="P1695" s="238" t="s">
        <v>6077</v>
      </c>
      <c r="Q1695" s="1" t="s">
        <v>2505</v>
      </c>
      <c r="R1695" s="239" t="s">
        <v>5760</v>
      </c>
      <c r="S1695" s="238" t="s">
        <v>5759</v>
      </c>
      <c r="T1695" s="238" t="s">
        <v>6329</v>
      </c>
      <c r="U1695" s="238" t="s">
        <v>167</v>
      </c>
      <c r="V1695" s="238" t="s">
        <v>6327</v>
      </c>
      <c r="W1695" s="236">
        <v>16160</v>
      </c>
      <c r="X1695" s="233">
        <v>41381</v>
      </c>
      <c r="Y1695" s="238" t="s">
        <v>6328</v>
      </c>
      <c r="AB1695" s="1" t="s">
        <v>2064</v>
      </c>
    </row>
    <row r="1696" spans="1:28">
      <c r="A1696" s="233">
        <v>41373</v>
      </c>
      <c r="B1696" s="1" t="s">
        <v>6074</v>
      </c>
      <c r="C1696" s="1" t="s">
        <v>167</v>
      </c>
      <c r="D1696" s="1" t="s">
        <v>6073</v>
      </c>
      <c r="E1696" s="1" t="s">
        <v>167</v>
      </c>
      <c r="F1696" s="1">
        <v>3500</v>
      </c>
      <c r="G1696" s="1" t="s">
        <v>6076</v>
      </c>
      <c r="H1696" s="234">
        <v>0.8</v>
      </c>
      <c r="I1696" s="235">
        <f t="shared" si="166"/>
        <v>2800</v>
      </c>
      <c r="K1696" s="250">
        <f>0.68*3500</f>
        <v>2380</v>
      </c>
      <c r="N1696" s="235">
        <v>0</v>
      </c>
      <c r="O1696" s="235">
        <f t="shared" si="167"/>
        <v>2800</v>
      </c>
      <c r="P1696" s="238" t="s">
        <v>6077</v>
      </c>
      <c r="Q1696" s="1" t="s">
        <v>2505</v>
      </c>
      <c r="R1696" s="239" t="s">
        <v>5760</v>
      </c>
      <c r="S1696" s="238" t="s">
        <v>5759</v>
      </c>
      <c r="T1696" s="238" t="s">
        <v>6330</v>
      </c>
      <c r="U1696" s="238" t="s">
        <v>167</v>
      </c>
      <c r="V1696" s="238" t="s">
        <v>6327</v>
      </c>
      <c r="W1696" s="236">
        <v>16160</v>
      </c>
      <c r="X1696" s="233">
        <v>41381</v>
      </c>
      <c r="Y1696" s="238" t="s">
        <v>6328</v>
      </c>
      <c r="AB1696" s="1" t="s">
        <v>2064</v>
      </c>
    </row>
    <row r="1697" spans="1:28">
      <c r="A1697" s="233">
        <v>41373</v>
      </c>
      <c r="B1697" s="228" t="s">
        <v>1488</v>
      </c>
      <c r="C1697" s="1" t="s">
        <v>162</v>
      </c>
      <c r="D1697" s="1" t="s">
        <v>240</v>
      </c>
      <c r="E1697" s="1">
        <v>6200</v>
      </c>
      <c r="F1697" s="1">
        <v>48</v>
      </c>
      <c r="G1697" s="1" t="s">
        <v>229</v>
      </c>
      <c r="H1697" s="234">
        <v>47.8</v>
      </c>
      <c r="I1697" s="235">
        <f>F1697*H1697</f>
        <v>2294.3999999999996</v>
      </c>
      <c r="K1697" s="250">
        <f>43.7*48</f>
        <v>2097.6000000000004</v>
      </c>
      <c r="L1697" s="237">
        <v>41375</v>
      </c>
      <c r="M1697" s="1" t="s">
        <v>166</v>
      </c>
      <c r="N1697" s="235">
        <f t="shared" ref="N1697:N1702" si="168">I1697</f>
        <v>2294.3999999999996</v>
      </c>
      <c r="O1697" s="235">
        <f>I1697-N1697</f>
        <v>0</v>
      </c>
      <c r="P1697" s="238" t="s">
        <v>6068</v>
      </c>
      <c r="Q1697" s="1" t="s">
        <v>2272</v>
      </c>
      <c r="R1697" s="239" t="s">
        <v>4326</v>
      </c>
      <c r="S1697" s="238" t="s">
        <v>4327</v>
      </c>
      <c r="T1697" s="238" t="s">
        <v>1471</v>
      </c>
      <c r="U1697" s="238" t="s">
        <v>6094</v>
      </c>
      <c r="V1697" s="238" t="s">
        <v>6164</v>
      </c>
      <c r="W1697" s="236">
        <v>16862.8</v>
      </c>
      <c r="X1697" s="233">
        <v>41376</v>
      </c>
      <c r="Y1697" s="238" t="s">
        <v>6165</v>
      </c>
      <c r="AB1697" s="1" t="s">
        <v>1561</v>
      </c>
    </row>
    <row r="1698" spans="1:28">
      <c r="A1698" s="233">
        <v>41373</v>
      </c>
      <c r="B1698" s="228" t="s">
        <v>1488</v>
      </c>
      <c r="C1698" s="1" t="s">
        <v>162</v>
      </c>
      <c r="D1698" s="1" t="s">
        <v>353</v>
      </c>
      <c r="E1698" s="1" t="s">
        <v>145</v>
      </c>
      <c r="F1698" s="1">
        <v>40</v>
      </c>
      <c r="G1698" s="1" t="s">
        <v>229</v>
      </c>
      <c r="H1698" s="234">
        <v>19.260000000000002</v>
      </c>
      <c r="I1698" s="235">
        <f>F1698*H1698</f>
        <v>770.40000000000009</v>
      </c>
      <c r="K1698" s="250">
        <f>17.25*40</f>
        <v>690</v>
      </c>
      <c r="L1698" s="237">
        <v>41375</v>
      </c>
      <c r="M1698" s="1" t="s">
        <v>166</v>
      </c>
      <c r="N1698" s="235">
        <f t="shared" si="168"/>
        <v>770.40000000000009</v>
      </c>
      <c r="O1698" s="235">
        <f>I1698-N1698</f>
        <v>0</v>
      </c>
      <c r="P1698" s="238" t="s">
        <v>6068</v>
      </c>
      <c r="Q1698" s="1" t="s">
        <v>2272</v>
      </c>
      <c r="R1698" s="239" t="s">
        <v>4326</v>
      </c>
      <c r="S1698" s="238" t="s">
        <v>4327</v>
      </c>
      <c r="T1698" s="238" t="s">
        <v>1471</v>
      </c>
      <c r="U1698" s="238" t="s">
        <v>6094</v>
      </c>
      <c r="V1698" s="238" t="s">
        <v>6164</v>
      </c>
      <c r="W1698" s="236">
        <v>16862.8</v>
      </c>
      <c r="X1698" s="233">
        <v>41376</v>
      </c>
      <c r="Y1698" s="238" t="s">
        <v>6165</v>
      </c>
      <c r="AB1698" s="1" t="s">
        <v>1561</v>
      </c>
    </row>
    <row r="1699" spans="1:28">
      <c r="A1699" s="233">
        <v>41373</v>
      </c>
      <c r="B1699" s="228" t="s">
        <v>1488</v>
      </c>
      <c r="C1699" s="1" t="s">
        <v>162</v>
      </c>
      <c r="D1699" s="5" t="s">
        <v>1930</v>
      </c>
      <c r="E1699" s="1" t="s">
        <v>6070</v>
      </c>
      <c r="F1699" s="1">
        <v>300</v>
      </c>
      <c r="G1699" s="1" t="s">
        <v>6071</v>
      </c>
      <c r="H1699" s="234">
        <v>5.5</v>
      </c>
      <c r="I1699" s="235">
        <f>F1699*H1699</f>
        <v>1650</v>
      </c>
      <c r="K1699" s="250">
        <f>4.9*300</f>
        <v>1470</v>
      </c>
      <c r="L1699" s="237">
        <v>41375</v>
      </c>
      <c r="M1699" s="1" t="s">
        <v>166</v>
      </c>
      <c r="N1699" s="235">
        <f t="shared" si="168"/>
        <v>1650</v>
      </c>
      <c r="O1699" s="235">
        <f>I1699-N1699</f>
        <v>0</v>
      </c>
      <c r="P1699" s="238" t="s">
        <v>6068</v>
      </c>
      <c r="Q1699" s="1" t="s">
        <v>2272</v>
      </c>
      <c r="R1699" s="239" t="s">
        <v>4326</v>
      </c>
      <c r="S1699" s="238" t="s">
        <v>4327</v>
      </c>
      <c r="T1699" s="238" t="s">
        <v>1471</v>
      </c>
      <c r="U1699" s="238" t="s">
        <v>6094</v>
      </c>
      <c r="V1699" s="238" t="s">
        <v>6164</v>
      </c>
      <c r="W1699" s="236">
        <v>16862.8</v>
      </c>
      <c r="X1699" s="233">
        <v>41376</v>
      </c>
      <c r="Y1699" s="238" t="s">
        <v>6165</v>
      </c>
      <c r="AB1699" s="1" t="s">
        <v>1561</v>
      </c>
    </row>
    <row r="1700" spans="1:28">
      <c r="A1700" s="233">
        <v>41373</v>
      </c>
      <c r="B1700" s="1" t="s">
        <v>6085</v>
      </c>
      <c r="C1700" s="5" t="s">
        <v>833</v>
      </c>
      <c r="D1700" s="1" t="s">
        <v>1213</v>
      </c>
      <c r="E1700" s="1" t="s">
        <v>178</v>
      </c>
      <c r="F1700" s="1">
        <v>20</v>
      </c>
      <c r="G1700" s="1" t="s">
        <v>6086</v>
      </c>
      <c r="H1700" s="234">
        <v>16</v>
      </c>
      <c r="I1700" s="235">
        <f>F1700*H1700</f>
        <v>320</v>
      </c>
      <c r="K1700" s="250">
        <f>12.6*20</f>
        <v>252</v>
      </c>
      <c r="L1700" s="237">
        <v>41380</v>
      </c>
      <c r="M1700" s="1" t="s">
        <v>165</v>
      </c>
      <c r="N1700" s="235">
        <f t="shared" si="168"/>
        <v>320</v>
      </c>
      <c r="O1700" s="235">
        <f>I1700-N1700</f>
        <v>0</v>
      </c>
      <c r="P1700" s="238" t="s">
        <v>6087</v>
      </c>
      <c r="Q1700" s="1" t="s">
        <v>6088</v>
      </c>
      <c r="R1700" s="239" t="s">
        <v>6089</v>
      </c>
      <c r="S1700" s="238" t="s">
        <v>6090</v>
      </c>
      <c r="T1700" s="238" t="s">
        <v>6085</v>
      </c>
      <c r="U1700" s="238" t="s">
        <v>6091</v>
      </c>
      <c r="AB1700" s="1" t="s">
        <v>1561</v>
      </c>
    </row>
    <row r="1701" spans="1:28">
      <c r="A1701" s="233">
        <v>41373</v>
      </c>
      <c r="B1701" s="1" t="s">
        <v>5254</v>
      </c>
      <c r="C1701" s="1" t="s">
        <v>162</v>
      </c>
      <c r="D1701" s="1" t="s">
        <v>1210</v>
      </c>
      <c r="E1701" s="1">
        <v>3200</v>
      </c>
      <c r="F1701" s="1">
        <v>350</v>
      </c>
      <c r="G1701" s="1" t="s">
        <v>5912</v>
      </c>
      <c r="H1701" s="234">
        <v>26.5</v>
      </c>
      <c r="I1701" s="235">
        <f>F1701*H1701</f>
        <v>9275</v>
      </c>
      <c r="K1701" s="250">
        <f>23.94*350</f>
        <v>8379</v>
      </c>
      <c r="L1701" s="237">
        <v>41375</v>
      </c>
      <c r="M1701" s="1" t="s">
        <v>166</v>
      </c>
      <c r="N1701" s="235">
        <f t="shared" si="168"/>
        <v>9275</v>
      </c>
      <c r="O1701" s="235">
        <f t="shared" si="160"/>
        <v>0</v>
      </c>
      <c r="P1701" s="238" t="s">
        <v>6031</v>
      </c>
      <c r="Q1701" s="1" t="s">
        <v>2272</v>
      </c>
      <c r="R1701" s="239" t="s">
        <v>6095</v>
      </c>
      <c r="S1701" s="238" t="s">
        <v>6096</v>
      </c>
      <c r="T1701" s="238" t="s">
        <v>5255</v>
      </c>
      <c r="U1701" s="238" t="s">
        <v>6099</v>
      </c>
      <c r="V1701" s="238" t="s">
        <v>6162</v>
      </c>
      <c r="W1701" s="236">
        <v>41752</v>
      </c>
      <c r="X1701" s="233">
        <v>41376</v>
      </c>
      <c r="Y1701" s="238" t="s">
        <v>6163</v>
      </c>
      <c r="AB1701" s="1" t="s">
        <v>1561</v>
      </c>
    </row>
    <row r="1702" spans="1:28">
      <c r="A1702" s="233">
        <v>41374</v>
      </c>
      <c r="B1702" s="1" t="s">
        <v>1979</v>
      </c>
      <c r="C1702" s="1" t="s">
        <v>162</v>
      </c>
      <c r="D1702" s="1" t="s">
        <v>664</v>
      </c>
      <c r="E1702" s="1">
        <v>8246</v>
      </c>
      <c r="F1702" s="1">
        <v>200</v>
      </c>
      <c r="G1702" s="1" t="s">
        <v>170</v>
      </c>
      <c r="H1702" s="234">
        <v>13.2</v>
      </c>
      <c r="I1702" s="235">
        <f t="shared" ref="I1702:I1708" si="169">F1702*H1702</f>
        <v>2640</v>
      </c>
      <c r="K1702" s="250">
        <f>12*200</f>
        <v>2400</v>
      </c>
      <c r="L1702" s="237">
        <v>41390</v>
      </c>
      <c r="M1702" s="1" t="s">
        <v>6122</v>
      </c>
      <c r="N1702" s="235">
        <f t="shared" si="168"/>
        <v>2640</v>
      </c>
      <c r="O1702" s="235">
        <f t="shared" ref="O1702:O1707" si="170">I1702-N1702</f>
        <v>0</v>
      </c>
      <c r="P1702" s="238" t="s">
        <v>6066</v>
      </c>
      <c r="Q1702" s="1" t="s">
        <v>1562</v>
      </c>
      <c r="R1702" s="265" t="s">
        <v>68</v>
      </c>
      <c r="S1702" s="265" t="s">
        <v>2973</v>
      </c>
      <c r="T1702" s="238" t="s">
        <v>67</v>
      </c>
      <c r="U1702" s="238" t="s">
        <v>6310</v>
      </c>
      <c r="V1702" s="238" t="s">
        <v>6067</v>
      </c>
      <c r="AB1702" s="1" t="s">
        <v>1561</v>
      </c>
    </row>
    <row r="1703" spans="1:28">
      <c r="A1703" s="233">
        <v>41374</v>
      </c>
      <c r="B1703" s="1" t="s">
        <v>3515</v>
      </c>
      <c r="C1703" s="5" t="s">
        <v>162</v>
      </c>
      <c r="D1703" s="391" t="s">
        <v>5047</v>
      </c>
      <c r="E1703" s="1">
        <v>8210</v>
      </c>
      <c r="F1703" s="1">
        <v>300</v>
      </c>
      <c r="G1703" s="1" t="s">
        <v>170</v>
      </c>
      <c r="H1703" s="234">
        <v>6.9</v>
      </c>
      <c r="I1703" s="235">
        <f t="shared" si="169"/>
        <v>2070</v>
      </c>
      <c r="K1703" s="250">
        <f>3.78*300</f>
        <v>1134</v>
      </c>
      <c r="N1703" s="235">
        <v>0</v>
      </c>
      <c r="O1703" s="235">
        <f t="shared" si="170"/>
        <v>2070</v>
      </c>
      <c r="P1703" s="238" t="s">
        <v>6078</v>
      </c>
      <c r="Q1703" s="1" t="s">
        <v>2505</v>
      </c>
      <c r="R1703" s="239" t="s">
        <v>3858</v>
      </c>
      <c r="S1703" s="238" t="s">
        <v>3859</v>
      </c>
      <c r="T1703" s="238" t="s">
        <v>3924</v>
      </c>
      <c r="U1703" s="238" t="s">
        <v>167</v>
      </c>
      <c r="V1703" s="246" t="s">
        <v>6863</v>
      </c>
      <c r="W1703" s="235">
        <v>26992</v>
      </c>
      <c r="X1703" s="7">
        <v>41410</v>
      </c>
      <c r="Y1703" s="246" t="s">
        <v>6885</v>
      </c>
      <c r="AB1703" s="1" t="s">
        <v>2064</v>
      </c>
    </row>
    <row r="1704" spans="1:28">
      <c r="A1704" s="233">
        <v>41374</v>
      </c>
      <c r="B1704" s="1" t="s">
        <v>3515</v>
      </c>
      <c r="C1704" s="5" t="s">
        <v>162</v>
      </c>
      <c r="D1704" s="5" t="s">
        <v>854</v>
      </c>
      <c r="E1704" s="1">
        <v>9032</v>
      </c>
      <c r="F1704" s="1">
        <v>1500</v>
      </c>
      <c r="G1704" s="1" t="s">
        <v>170</v>
      </c>
      <c r="H1704" s="234">
        <v>2.7</v>
      </c>
      <c r="I1704" s="235">
        <f t="shared" si="169"/>
        <v>4050.0000000000005</v>
      </c>
      <c r="K1704" s="250">
        <f>1.4929*1500</f>
        <v>2239.35</v>
      </c>
      <c r="N1704" s="235">
        <v>0</v>
      </c>
      <c r="O1704" s="235">
        <f t="shared" si="170"/>
        <v>4050.0000000000005</v>
      </c>
      <c r="P1704" s="238" t="s">
        <v>6078</v>
      </c>
      <c r="Q1704" s="1" t="s">
        <v>2505</v>
      </c>
      <c r="R1704" s="239" t="s">
        <v>3858</v>
      </c>
      <c r="S1704" s="238" t="s">
        <v>3859</v>
      </c>
      <c r="T1704" s="238" t="s">
        <v>3924</v>
      </c>
      <c r="U1704" s="238" t="s">
        <v>167</v>
      </c>
      <c r="V1704" s="246" t="s">
        <v>6863</v>
      </c>
      <c r="W1704" s="235">
        <v>26992</v>
      </c>
      <c r="X1704" s="7">
        <v>41410</v>
      </c>
      <c r="Y1704" s="246" t="s">
        <v>6885</v>
      </c>
      <c r="AB1704" s="1" t="s">
        <v>2064</v>
      </c>
    </row>
    <row r="1705" spans="1:28">
      <c r="A1705" s="233">
        <v>41374</v>
      </c>
      <c r="B1705" s="1" t="s">
        <v>3515</v>
      </c>
      <c r="C1705" s="5" t="s">
        <v>162</v>
      </c>
      <c r="D1705" s="1" t="s">
        <v>2010</v>
      </c>
      <c r="E1705" s="1">
        <v>10434</v>
      </c>
      <c r="F1705" s="1">
        <v>200</v>
      </c>
      <c r="G1705" s="1" t="s">
        <v>172</v>
      </c>
      <c r="H1705" s="234">
        <v>23</v>
      </c>
      <c r="I1705" s="235">
        <f t="shared" si="169"/>
        <v>4600</v>
      </c>
      <c r="K1705" s="250">
        <f>15.84*100+14.2*100</f>
        <v>3004</v>
      </c>
      <c r="N1705" s="235">
        <v>0</v>
      </c>
      <c r="O1705" s="235">
        <f t="shared" si="170"/>
        <v>4600</v>
      </c>
      <c r="P1705" s="238" t="s">
        <v>6078</v>
      </c>
      <c r="Q1705" s="1" t="s">
        <v>2505</v>
      </c>
      <c r="R1705" s="239" t="s">
        <v>3858</v>
      </c>
      <c r="S1705" s="238" t="s">
        <v>3859</v>
      </c>
      <c r="T1705" s="238" t="s">
        <v>3924</v>
      </c>
      <c r="U1705" s="238" t="s">
        <v>167</v>
      </c>
      <c r="V1705" s="246" t="s">
        <v>6863</v>
      </c>
      <c r="W1705" s="235">
        <v>26992</v>
      </c>
      <c r="X1705" s="7">
        <v>41410</v>
      </c>
      <c r="Y1705" s="246" t="s">
        <v>6885</v>
      </c>
      <c r="AB1705" s="1" t="s">
        <v>2064</v>
      </c>
    </row>
    <row r="1706" spans="1:28">
      <c r="A1706" s="233">
        <v>41374</v>
      </c>
      <c r="B1706" s="1" t="s">
        <v>3515</v>
      </c>
      <c r="C1706" s="5" t="s">
        <v>833</v>
      </c>
      <c r="D1706" s="5" t="s">
        <v>182</v>
      </c>
      <c r="E1706" s="1" t="s">
        <v>194</v>
      </c>
      <c r="F1706" s="5">
        <v>200</v>
      </c>
      <c r="G1706" s="1" t="s">
        <v>231</v>
      </c>
      <c r="H1706" s="234">
        <v>9.1999999999999993</v>
      </c>
      <c r="I1706" s="235">
        <f t="shared" si="169"/>
        <v>1839.9999999999998</v>
      </c>
      <c r="K1706" s="250">
        <f>4.9*200</f>
        <v>980.00000000000011</v>
      </c>
      <c r="N1706" s="235">
        <v>0</v>
      </c>
      <c r="O1706" s="235">
        <f t="shared" si="170"/>
        <v>1839.9999999999998</v>
      </c>
      <c r="P1706" s="238" t="s">
        <v>6078</v>
      </c>
      <c r="Q1706" s="1" t="s">
        <v>2505</v>
      </c>
      <c r="R1706" s="239" t="s">
        <v>3858</v>
      </c>
      <c r="S1706" s="238" t="s">
        <v>3859</v>
      </c>
      <c r="T1706" s="238" t="s">
        <v>3924</v>
      </c>
      <c r="U1706" s="238" t="s">
        <v>167</v>
      </c>
      <c r="V1706" s="246" t="s">
        <v>6863</v>
      </c>
      <c r="W1706" s="235">
        <v>26992</v>
      </c>
      <c r="X1706" s="7">
        <v>41410</v>
      </c>
      <c r="Y1706" s="246" t="s">
        <v>6885</v>
      </c>
      <c r="AB1706" s="1" t="s">
        <v>2064</v>
      </c>
    </row>
    <row r="1707" spans="1:28">
      <c r="A1707" s="233">
        <v>41374</v>
      </c>
      <c r="B1707" s="1" t="s">
        <v>3515</v>
      </c>
      <c r="C1707" s="5" t="s">
        <v>833</v>
      </c>
      <c r="D1707" s="5" t="s">
        <v>353</v>
      </c>
      <c r="E1707" s="1" t="s">
        <v>145</v>
      </c>
      <c r="F1707" s="5">
        <v>200</v>
      </c>
      <c r="G1707" s="1" t="s">
        <v>170</v>
      </c>
      <c r="H1707" s="234">
        <v>35</v>
      </c>
      <c r="I1707" s="235">
        <f t="shared" si="169"/>
        <v>7000</v>
      </c>
      <c r="K1707" s="250">
        <f>200*17.8</f>
        <v>3560</v>
      </c>
      <c r="N1707" s="235">
        <v>0</v>
      </c>
      <c r="O1707" s="235">
        <f t="shared" si="170"/>
        <v>7000</v>
      </c>
      <c r="P1707" s="238" t="s">
        <v>6078</v>
      </c>
      <c r="Q1707" s="1" t="s">
        <v>2505</v>
      </c>
      <c r="R1707" s="239" t="s">
        <v>3858</v>
      </c>
      <c r="S1707" s="238" t="s">
        <v>3859</v>
      </c>
      <c r="T1707" s="238" t="s">
        <v>3924</v>
      </c>
      <c r="U1707" s="238" t="s">
        <v>167</v>
      </c>
      <c r="V1707" s="246" t="s">
        <v>6863</v>
      </c>
      <c r="W1707" s="235">
        <v>26992</v>
      </c>
      <c r="X1707" s="7">
        <v>41410</v>
      </c>
      <c r="Y1707" s="246" t="s">
        <v>6885</v>
      </c>
      <c r="AB1707" s="1" t="s">
        <v>2064</v>
      </c>
    </row>
    <row r="1708" spans="1:28">
      <c r="A1708" s="233">
        <v>41374</v>
      </c>
      <c r="B1708" s="1" t="s">
        <v>3136</v>
      </c>
      <c r="C1708" s="5" t="s">
        <v>162</v>
      </c>
      <c r="D1708" s="5" t="s">
        <v>182</v>
      </c>
      <c r="E1708" s="1" t="s">
        <v>186</v>
      </c>
      <c r="F1708" s="5">
        <v>100</v>
      </c>
      <c r="G1708" s="1" t="s">
        <v>171</v>
      </c>
      <c r="H1708" s="234">
        <v>2.5</v>
      </c>
      <c r="I1708" s="235">
        <f t="shared" si="169"/>
        <v>250</v>
      </c>
      <c r="K1708" s="250">
        <f>1.54*100</f>
        <v>154</v>
      </c>
      <c r="L1708" s="237">
        <v>41374</v>
      </c>
      <c r="M1708" s="1" t="s">
        <v>698</v>
      </c>
      <c r="N1708" s="235">
        <f>I1708</f>
        <v>250</v>
      </c>
      <c r="O1708" s="235">
        <f t="shared" ref="O1708:O1737" si="171">I1708-N1708</f>
        <v>0</v>
      </c>
      <c r="P1708" s="238" t="s">
        <v>6093</v>
      </c>
      <c r="Q1708" s="363" t="s">
        <v>3120</v>
      </c>
      <c r="R1708" s="239" t="s">
        <v>3138</v>
      </c>
      <c r="S1708" s="238" t="s">
        <v>3139</v>
      </c>
      <c r="T1708" s="238" t="s">
        <v>2685</v>
      </c>
      <c r="U1708" s="238" t="s">
        <v>167</v>
      </c>
      <c r="V1708" s="238" t="s">
        <v>175</v>
      </c>
      <c r="AB1708" s="363" t="s">
        <v>3069</v>
      </c>
    </row>
    <row r="1709" spans="1:28">
      <c r="A1709" s="233">
        <v>41374</v>
      </c>
      <c r="B1709" s="1" t="s">
        <v>4787</v>
      </c>
      <c r="C1709" s="1" t="s">
        <v>756</v>
      </c>
      <c r="D1709" s="1" t="s">
        <v>353</v>
      </c>
      <c r="E1709" s="1" t="s">
        <v>6110</v>
      </c>
      <c r="F1709" s="1">
        <v>10</v>
      </c>
      <c r="G1709" s="1" t="s">
        <v>684</v>
      </c>
      <c r="H1709" s="234">
        <v>11.94</v>
      </c>
      <c r="I1709" s="235">
        <f>F1709*H1709</f>
        <v>119.39999999999999</v>
      </c>
      <c r="K1709" s="250">
        <f>10.94*10</f>
        <v>109.39999999999999</v>
      </c>
      <c r="N1709" s="1">
        <v>0</v>
      </c>
      <c r="O1709" s="235">
        <f t="shared" si="171"/>
        <v>119.39999999999999</v>
      </c>
      <c r="P1709" s="238" t="s">
        <v>6114</v>
      </c>
      <c r="Q1709" s="1" t="s">
        <v>6113</v>
      </c>
      <c r="R1709" s="239" t="s">
        <v>705</v>
      </c>
      <c r="S1709" s="238" t="s">
        <v>705</v>
      </c>
      <c r="T1709" s="238" t="s">
        <v>705</v>
      </c>
      <c r="U1709" s="238" t="s">
        <v>705</v>
      </c>
      <c r="AB1709" s="1" t="s">
        <v>1561</v>
      </c>
    </row>
    <row r="1710" spans="1:28">
      <c r="A1710" s="233">
        <v>41374</v>
      </c>
      <c r="B1710" s="1" t="s">
        <v>4787</v>
      </c>
      <c r="C1710" s="1" t="s">
        <v>756</v>
      </c>
      <c r="D1710" s="1" t="s">
        <v>268</v>
      </c>
      <c r="E1710" s="1" t="s">
        <v>6111</v>
      </c>
      <c r="F1710" s="1">
        <v>100</v>
      </c>
      <c r="G1710" s="1" t="s">
        <v>6112</v>
      </c>
      <c r="H1710" s="234">
        <v>1.27</v>
      </c>
      <c r="I1710" s="235">
        <f>F1710*H1710</f>
        <v>127</v>
      </c>
      <c r="K1710" s="250">
        <f>1.17*100</f>
        <v>117</v>
      </c>
      <c r="N1710" s="1">
        <v>0</v>
      </c>
      <c r="O1710" s="235">
        <f t="shared" si="171"/>
        <v>127</v>
      </c>
      <c r="P1710" s="238" t="s">
        <v>6114</v>
      </c>
      <c r="Q1710" s="1" t="s">
        <v>6113</v>
      </c>
      <c r="R1710" s="239" t="s">
        <v>705</v>
      </c>
      <c r="S1710" s="238" t="s">
        <v>705</v>
      </c>
      <c r="T1710" s="238" t="s">
        <v>705</v>
      </c>
      <c r="U1710" s="238" t="s">
        <v>705</v>
      </c>
      <c r="AB1710" s="1" t="s">
        <v>1561</v>
      </c>
    </row>
    <row r="1711" spans="1:28">
      <c r="A1711" s="233">
        <v>41374</v>
      </c>
      <c r="B1711" s="1" t="s">
        <v>955</v>
      </c>
      <c r="C1711" s="5" t="s">
        <v>833</v>
      </c>
      <c r="D1711" s="391" t="s">
        <v>5047</v>
      </c>
      <c r="E1711" s="1">
        <v>8210</v>
      </c>
      <c r="F1711" s="1">
        <v>360</v>
      </c>
      <c r="G1711" s="1" t="s">
        <v>170</v>
      </c>
      <c r="H1711" s="234">
        <v>6.9</v>
      </c>
      <c r="I1711" s="235">
        <f>F1711*H1711</f>
        <v>2484</v>
      </c>
      <c r="K1711" s="250">
        <f>3.78*360</f>
        <v>1360.8</v>
      </c>
      <c r="L1711" s="237">
        <v>41374</v>
      </c>
      <c r="M1711" s="1" t="s">
        <v>6115</v>
      </c>
      <c r="N1711" s="236">
        <f t="shared" ref="N1711:N1733" si="172">I1711</f>
        <v>2484</v>
      </c>
      <c r="O1711" s="236">
        <f t="shared" si="171"/>
        <v>0</v>
      </c>
      <c r="P1711" s="238" t="s">
        <v>6106</v>
      </c>
      <c r="Q1711" s="1" t="s">
        <v>6116</v>
      </c>
      <c r="R1711" s="239" t="s">
        <v>3565</v>
      </c>
      <c r="S1711" s="238" t="s">
        <v>957</v>
      </c>
      <c r="T1711" s="238" t="s">
        <v>958</v>
      </c>
      <c r="U1711" s="238" t="s">
        <v>6126</v>
      </c>
      <c r="AB1711" s="1" t="s">
        <v>1561</v>
      </c>
    </row>
    <row r="1712" spans="1:28">
      <c r="A1712" s="233">
        <v>41374</v>
      </c>
      <c r="B1712" s="1" t="s">
        <v>3077</v>
      </c>
      <c r="C1712" s="5" t="s">
        <v>162</v>
      </c>
      <c r="D1712" s="5" t="s">
        <v>305</v>
      </c>
      <c r="E1712" s="1">
        <v>1270</v>
      </c>
      <c r="F1712" s="5">
        <v>100</v>
      </c>
      <c r="G1712" s="1" t="s">
        <v>172</v>
      </c>
      <c r="H1712" s="234">
        <v>6</v>
      </c>
      <c r="I1712" s="235">
        <f>F1712*H1712</f>
        <v>600</v>
      </c>
      <c r="K1712" s="250">
        <f>4.5162*100</f>
        <v>451.62000000000006</v>
      </c>
      <c r="L1712" s="237">
        <v>41382</v>
      </c>
      <c r="M1712" s="1" t="s">
        <v>166</v>
      </c>
      <c r="N1712" s="236">
        <f t="shared" si="172"/>
        <v>600</v>
      </c>
      <c r="O1712" s="236">
        <f t="shared" si="171"/>
        <v>0</v>
      </c>
      <c r="P1712" s="238" t="s">
        <v>6107</v>
      </c>
      <c r="Q1712" s="1" t="s">
        <v>6119</v>
      </c>
      <c r="R1712" s="239" t="s">
        <v>189</v>
      </c>
      <c r="S1712" s="238" t="s">
        <v>190</v>
      </c>
      <c r="T1712" s="238" t="s">
        <v>3905</v>
      </c>
      <c r="U1712" s="238" t="s">
        <v>6118</v>
      </c>
      <c r="V1712" s="238" t="s">
        <v>6117</v>
      </c>
      <c r="W1712" s="236">
        <v>900</v>
      </c>
      <c r="X1712" s="233">
        <v>41374</v>
      </c>
      <c r="Y1712" s="238" t="s">
        <v>6118</v>
      </c>
      <c r="AB1712" s="1" t="s">
        <v>2064</v>
      </c>
    </row>
    <row r="1713" spans="1:28">
      <c r="A1713" s="233">
        <v>41374</v>
      </c>
      <c r="B1713" s="1" t="s">
        <v>3430</v>
      </c>
      <c r="C1713" s="1" t="s">
        <v>756</v>
      </c>
      <c r="D1713" s="1" t="s">
        <v>1213</v>
      </c>
      <c r="E1713" s="5" t="s">
        <v>3548</v>
      </c>
      <c r="F1713" s="5">
        <v>100</v>
      </c>
      <c r="G1713" s="1" t="s">
        <v>754</v>
      </c>
      <c r="H1713" s="234">
        <v>20</v>
      </c>
      <c r="I1713" s="236">
        <f>H1713*F1713</f>
        <v>2000</v>
      </c>
      <c r="K1713" s="250">
        <f>12.6*100</f>
        <v>1260</v>
      </c>
      <c r="L1713" s="237">
        <v>41374</v>
      </c>
      <c r="M1713" s="1" t="s">
        <v>6123</v>
      </c>
      <c r="N1713" s="236">
        <f t="shared" si="172"/>
        <v>2000</v>
      </c>
      <c r="O1713" s="236">
        <f t="shared" si="171"/>
        <v>0</v>
      </c>
      <c r="P1713" s="238" t="s">
        <v>6103</v>
      </c>
      <c r="Q1713" s="1" t="s">
        <v>6134</v>
      </c>
      <c r="R1713" s="239" t="s">
        <v>3432</v>
      </c>
      <c r="S1713" s="238" t="s">
        <v>3550</v>
      </c>
      <c r="T1713" s="238" t="s">
        <v>3551</v>
      </c>
      <c r="U1713" s="238" t="s">
        <v>6136</v>
      </c>
      <c r="V1713" s="238" t="s">
        <v>175</v>
      </c>
      <c r="AB1713" s="1" t="s">
        <v>1561</v>
      </c>
    </row>
    <row r="1714" spans="1:28">
      <c r="A1714" s="233">
        <v>41374</v>
      </c>
      <c r="B1714" s="1" t="s">
        <v>5615</v>
      </c>
      <c r="C1714" s="1" t="s">
        <v>162</v>
      </c>
      <c r="D1714" s="5" t="s">
        <v>51</v>
      </c>
      <c r="E1714" s="1">
        <v>9032</v>
      </c>
      <c r="F1714" s="1">
        <v>100</v>
      </c>
      <c r="G1714" s="1" t="s">
        <v>5162</v>
      </c>
      <c r="H1714" s="234">
        <v>1.62</v>
      </c>
      <c r="I1714" s="235">
        <f t="shared" ref="I1714:I1721" si="173">F1714*H1714</f>
        <v>162</v>
      </c>
      <c r="K1714" s="250">
        <f>1.4929*100</f>
        <v>149.29</v>
      </c>
      <c r="L1714" s="237">
        <v>41374</v>
      </c>
      <c r="M1714" s="1" t="s">
        <v>166</v>
      </c>
      <c r="N1714" s="236">
        <f t="shared" si="172"/>
        <v>162</v>
      </c>
      <c r="O1714" s="236">
        <f t="shared" si="171"/>
        <v>0</v>
      </c>
      <c r="P1714" s="238" t="s">
        <v>6104</v>
      </c>
      <c r="Q1714" s="1" t="s">
        <v>6124</v>
      </c>
      <c r="R1714" s="239" t="s">
        <v>5624</v>
      </c>
      <c r="S1714" s="238" t="s">
        <v>5625</v>
      </c>
      <c r="T1714" s="238" t="s">
        <v>5626</v>
      </c>
      <c r="U1714" s="238" t="s">
        <v>6125</v>
      </c>
      <c r="AB1714" s="1" t="s">
        <v>1561</v>
      </c>
    </row>
    <row r="1715" spans="1:28">
      <c r="A1715" s="233">
        <v>41374</v>
      </c>
      <c r="B1715" s="1" t="s">
        <v>5615</v>
      </c>
      <c r="C1715" s="1" t="s">
        <v>162</v>
      </c>
      <c r="D1715" s="1" t="s">
        <v>2023</v>
      </c>
      <c r="E1715" s="1" t="s">
        <v>6105</v>
      </c>
      <c r="F1715" s="1">
        <v>1</v>
      </c>
      <c r="G1715" s="1" t="s">
        <v>5162</v>
      </c>
      <c r="H1715" s="234">
        <v>4.3</v>
      </c>
      <c r="I1715" s="235">
        <f t="shared" si="173"/>
        <v>4.3</v>
      </c>
      <c r="K1715" s="250">
        <f>3.69*1</f>
        <v>3.69</v>
      </c>
      <c r="L1715" s="237">
        <v>41374</v>
      </c>
      <c r="M1715" s="1" t="s">
        <v>166</v>
      </c>
      <c r="N1715" s="236">
        <f t="shared" si="172"/>
        <v>4.3</v>
      </c>
      <c r="O1715" s="236">
        <f t="shared" si="171"/>
        <v>0</v>
      </c>
      <c r="P1715" s="238" t="s">
        <v>6104</v>
      </c>
      <c r="Q1715" s="1" t="s">
        <v>6124</v>
      </c>
      <c r="R1715" s="239" t="s">
        <v>5624</v>
      </c>
      <c r="S1715" s="238" t="s">
        <v>5625</v>
      </c>
      <c r="T1715" s="238" t="s">
        <v>5626</v>
      </c>
      <c r="U1715" s="238" t="s">
        <v>6125</v>
      </c>
      <c r="AB1715" s="1" t="s">
        <v>1561</v>
      </c>
    </row>
    <row r="1716" spans="1:28">
      <c r="A1716" s="233">
        <v>41374</v>
      </c>
      <c r="B1716" s="1" t="s">
        <v>5615</v>
      </c>
      <c r="C1716" s="1" t="s">
        <v>162</v>
      </c>
      <c r="D1716" s="1" t="s">
        <v>664</v>
      </c>
      <c r="E1716" s="1">
        <v>8246</v>
      </c>
      <c r="F1716" s="1">
        <v>1</v>
      </c>
      <c r="G1716" s="1" t="s">
        <v>5162</v>
      </c>
      <c r="H1716" s="234">
        <v>16</v>
      </c>
      <c r="I1716" s="235">
        <f t="shared" si="173"/>
        <v>16</v>
      </c>
      <c r="K1716" s="250">
        <f>11.7*1</f>
        <v>11.7</v>
      </c>
      <c r="L1716" s="237">
        <v>41374</v>
      </c>
      <c r="M1716" s="1" t="s">
        <v>166</v>
      </c>
      <c r="N1716" s="236">
        <f t="shared" si="172"/>
        <v>16</v>
      </c>
      <c r="O1716" s="236">
        <f t="shared" si="171"/>
        <v>0</v>
      </c>
      <c r="P1716" s="238" t="s">
        <v>6104</v>
      </c>
      <c r="Q1716" s="1" t="s">
        <v>6124</v>
      </c>
      <c r="R1716" s="239" t="s">
        <v>5624</v>
      </c>
      <c r="S1716" s="238" t="s">
        <v>5625</v>
      </c>
      <c r="T1716" s="238" t="s">
        <v>5626</v>
      </c>
      <c r="U1716" s="238" t="s">
        <v>6125</v>
      </c>
      <c r="AB1716" s="1" t="s">
        <v>1561</v>
      </c>
    </row>
    <row r="1717" spans="1:28">
      <c r="A1717" s="233">
        <v>41374</v>
      </c>
      <c r="B1717" s="1" t="s">
        <v>5615</v>
      </c>
      <c r="C1717" s="1" t="s">
        <v>162</v>
      </c>
      <c r="D1717" s="391" t="s">
        <v>5047</v>
      </c>
      <c r="E1717" s="1">
        <v>8210</v>
      </c>
      <c r="F1717" s="1">
        <v>50</v>
      </c>
      <c r="G1717" s="1" t="s">
        <v>5162</v>
      </c>
      <c r="H1717" s="234">
        <v>4.32</v>
      </c>
      <c r="I1717" s="235">
        <f t="shared" si="173"/>
        <v>216</v>
      </c>
      <c r="K1717" s="250">
        <f>3.78*50</f>
        <v>189</v>
      </c>
      <c r="L1717" s="237">
        <v>41374</v>
      </c>
      <c r="M1717" s="1" t="s">
        <v>166</v>
      </c>
      <c r="N1717" s="236">
        <f t="shared" si="172"/>
        <v>216</v>
      </c>
      <c r="O1717" s="236">
        <f t="shared" si="171"/>
        <v>0</v>
      </c>
      <c r="P1717" s="238" t="s">
        <v>6104</v>
      </c>
      <c r="Q1717" s="1" t="s">
        <v>6124</v>
      </c>
      <c r="R1717" s="239" t="s">
        <v>5624</v>
      </c>
      <c r="S1717" s="238" t="s">
        <v>5625</v>
      </c>
      <c r="T1717" s="238" t="s">
        <v>5626</v>
      </c>
      <c r="U1717" s="238" t="s">
        <v>6125</v>
      </c>
      <c r="AB1717" s="1" t="s">
        <v>1561</v>
      </c>
    </row>
    <row r="1718" spans="1:28">
      <c r="A1718" s="233">
        <v>41374</v>
      </c>
      <c r="B1718" s="1" t="s">
        <v>6128</v>
      </c>
      <c r="C1718" s="1" t="s">
        <v>756</v>
      </c>
      <c r="D1718" s="1" t="s">
        <v>1763</v>
      </c>
      <c r="E1718" s="1">
        <v>1860</v>
      </c>
      <c r="F1718" s="1">
        <v>40</v>
      </c>
      <c r="G1718" s="1" t="s">
        <v>6127</v>
      </c>
      <c r="H1718" s="234">
        <v>12</v>
      </c>
      <c r="I1718" s="235">
        <f t="shared" si="173"/>
        <v>480</v>
      </c>
      <c r="K1718" s="282">
        <f>9.5*40</f>
        <v>380</v>
      </c>
      <c r="L1718" s="237">
        <v>41374</v>
      </c>
      <c r="M1718" s="1" t="s">
        <v>6123</v>
      </c>
      <c r="N1718" s="235">
        <f t="shared" si="172"/>
        <v>480</v>
      </c>
      <c r="O1718" s="235">
        <f t="shared" si="171"/>
        <v>0</v>
      </c>
      <c r="P1718" s="238" t="s">
        <v>6132</v>
      </c>
      <c r="Q1718" s="1" t="s">
        <v>6124</v>
      </c>
      <c r="R1718" s="239" t="s">
        <v>6130</v>
      </c>
      <c r="S1718" s="238" t="s">
        <v>6131</v>
      </c>
      <c r="T1718" s="238" t="s">
        <v>6129</v>
      </c>
      <c r="U1718" s="238" t="s">
        <v>6133</v>
      </c>
      <c r="Z1718" s="255" t="s">
        <v>6135</v>
      </c>
      <c r="AB1718" s="1" t="s">
        <v>1561</v>
      </c>
    </row>
    <row r="1719" spans="1:28">
      <c r="A1719" s="233">
        <v>41375</v>
      </c>
      <c r="B1719" s="1" t="s">
        <v>3485</v>
      </c>
      <c r="C1719" s="1" t="s">
        <v>162</v>
      </c>
      <c r="D1719" s="1" t="s">
        <v>1210</v>
      </c>
      <c r="E1719" s="5">
        <v>3200</v>
      </c>
      <c r="F1719" s="5">
        <v>50</v>
      </c>
      <c r="G1719" s="1" t="s">
        <v>170</v>
      </c>
      <c r="H1719" s="234">
        <v>40.5</v>
      </c>
      <c r="I1719" s="235">
        <f t="shared" si="173"/>
        <v>2025</v>
      </c>
      <c r="K1719" s="250">
        <f>27.4*50</f>
        <v>1370</v>
      </c>
      <c r="L1719" s="237">
        <v>41380</v>
      </c>
      <c r="M1719" s="1" t="s">
        <v>165</v>
      </c>
      <c r="N1719" s="235">
        <f t="shared" si="172"/>
        <v>2025</v>
      </c>
      <c r="O1719" s="235">
        <f t="shared" si="171"/>
        <v>0</v>
      </c>
      <c r="P1719" s="238" t="s">
        <v>6066</v>
      </c>
      <c r="Q1719" s="1" t="s">
        <v>1562</v>
      </c>
      <c r="R1719" s="239" t="s">
        <v>3487</v>
      </c>
      <c r="S1719" s="238" t="s">
        <v>3488</v>
      </c>
      <c r="T1719" s="238" t="s">
        <v>6148</v>
      </c>
      <c r="V1719" s="238" t="s">
        <v>175</v>
      </c>
      <c r="AB1719" s="1" t="s">
        <v>2064</v>
      </c>
    </row>
    <row r="1720" spans="1:28">
      <c r="A1720" s="233">
        <v>41375</v>
      </c>
      <c r="B1720" s="1" t="s">
        <v>3485</v>
      </c>
      <c r="C1720" s="1" t="s">
        <v>162</v>
      </c>
      <c r="D1720" s="1" t="s">
        <v>268</v>
      </c>
      <c r="E1720" s="5" t="s">
        <v>177</v>
      </c>
      <c r="F1720" s="5">
        <v>100</v>
      </c>
      <c r="G1720" s="1" t="s">
        <v>171</v>
      </c>
      <c r="H1720" s="234">
        <v>2</v>
      </c>
      <c r="I1720" s="235">
        <f t="shared" si="173"/>
        <v>200</v>
      </c>
      <c r="K1720" s="250">
        <f>1.53*100</f>
        <v>153</v>
      </c>
      <c r="L1720" s="237">
        <v>41380</v>
      </c>
      <c r="M1720" s="1" t="s">
        <v>165</v>
      </c>
      <c r="N1720" s="235">
        <f t="shared" si="172"/>
        <v>200</v>
      </c>
      <c r="O1720" s="235">
        <f t="shared" si="171"/>
        <v>0</v>
      </c>
      <c r="P1720" s="238" t="s">
        <v>6066</v>
      </c>
      <c r="Q1720" s="1" t="s">
        <v>1562</v>
      </c>
      <c r="R1720" s="239" t="s">
        <v>3487</v>
      </c>
      <c r="S1720" s="238" t="s">
        <v>3488</v>
      </c>
      <c r="T1720" s="238" t="s">
        <v>6148</v>
      </c>
      <c r="V1720" s="238" t="s">
        <v>175</v>
      </c>
      <c r="AB1720" s="1" t="s">
        <v>2064</v>
      </c>
    </row>
    <row r="1721" spans="1:28">
      <c r="A1721" s="233">
        <v>41375</v>
      </c>
      <c r="B1721" s="1" t="s">
        <v>3485</v>
      </c>
      <c r="C1721" s="1" t="s">
        <v>162</v>
      </c>
      <c r="D1721" s="1" t="s">
        <v>263</v>
      </c>
      <c r="E1721" s="5" t="s">
        <v>3490</v>
      </c>
      <c r="F1721" s="5">
        <v>50</v>
      </c>
      <c r="G1721" s="1" t="s">
        <v>170</v>
      </c>
      <c r="H1721" s="234">
        <v>2.5</v>
      </c>
      <c r="I1721" s="235">
        <f t="shared" si="173"/>
        <v>125</v>
      </c>
      <c r="K1721" s="250">
        <f>5*1.88+45*1.58</f>
        <v>80.5</v>
      </c>
      <c r="L1721" s="237">
        <v>41380</v>
      </c>
      <c r="M1721" s="1" t="s">
        <v>165</v>
      </c>
      <c r="N1721" s="235">
        <f t="shared" si="172"/>
        <v>125</v>
      </c>
      <c r="O1721" s="235">
        <f t="shared" si="171"/>
        <v>0</v>
      </c>
      <c r="P1721" s="238" t="s">
        <v>6066</v>
      </c>
      <c r="Q1721" s="1" t="s">
        <v>1562</v>
      </c>
      <c r="R1721" s="239" t="s">
        <v>3487</v>
      </c>
      <c r="S1721" s="238" t="s">
        <v>3488</v>
      </c>
      <c r="T1721" s="238" t="s">
        <v>6148</v>
      </c>
      <c r="V1721" s="238" t="s">
        <v>175</v>
      </c>
      <c r="AB1721" s="1" t="s">
        <v>2064</v>
      </c>
    </row>
    <row r="1722" spans="1:28">
      <c r="A1722" s="233">
        <v>41376</v>
      </c>
      <c r="B1722" s="1" t="s">
        <v>3770</v>
      </c>
      <c r="C1722" s="1" t="s">
        <v>756</v>
      </c>
      <c r="D1722" s="1" t="s">
        <v>1763</v>
      </c>
      <c r="E1722" s="1">
        <v>1860</v>
      </c>
      <c r="F1722" s="1">
        <v>400</v>
      </c>
      <c r="G1722" s="1" t="s">
        <v>6127</v>
      </c>
      <c r="H1722" s="234">
        <v>13.5</v>
      </c>
      <c r="I1722" s="235">
        <f>F1722*H1722</f>
        <v>5400</v>
      </c>
      <c r="K1722" s="282">
        <f>12.15*360+9.5*40</f>
        <v>4754</v>
      </c>
      <c r="L1722" s="237">
        <v>41376</v>
      </c>
      <c r="M1722" s="1" t="s">
        <v>698</v>
      </c>
      <c r="N1722" s="235">
        <f t="shared" si="172"/>
        <v>5400</v>
      </c>
      <c r="O1722" s="235">
        <f t="shared" si="171"/>
        <v>0</v>
      </c>
      <c r="P1722" s="238" t="s">
        <v>6160</v>
      </c>
      <c r="Q1722" s="1" t="s">
        <v>1562</v>
      </c>
      <c r="R1722" s="1" t="s">
        <v>3772</v>
      </c>
      <c r="S1722" s="238" t="s">
        <v>3773</v>
      </c>
      <c r="T1722" s="238" t="s">
        <v>4404</v>
      </c>
      <c r="U1722" s="238" t="s">
        <v>167</v>
      </c>
      <c r="V1722" s="238" t="s">
        <v>6167</v>
      </c>
      <c r="Z1722" s="255" t="s">
        <v>6260</v>
      </c>
      <c r="AB1722" s="1" t="s">
        <v>1561</v>
      </c>
    </row>
    <row r="1723" spans="1:28">
      <c r="A1723" s="233">
        <v>41376</v>
      </c>
      <c r="B1723" s="1" t="s">
        <v>6140</v>
      </c>
      <c r="C1723" s="1" t="s">
        <v>162</v>
      </c>
      <c r="D1723" s="1" t="s">
        <v>51</v>
      </c>
      <c r="E1723" s="1">
        <v>9031</v>
      </c>
      <c r="F1723" s="1">
        <v>50</v>
      </c>
      <c r="G1723" s="1" t="s">
        <v>170</v>
      </c>
      <c r="H1723" s="234">
        <v>2.7</v>
      </c>
      <c r="I1723" s="235">
        <f>F1723*H1723</f>
        <v>135</v>
      </c>
      <c r="K1723" s="250">
        <f>1.4929*50</f>
        <v>74.644999999999996</v>
      </c>
      <c r="L1723" s="237">
        <v>41375</v>
      </c>
      <c r="M1723" s="1" t="s">
        <v>165</v>
      </c>
      <c r="N1723" s="235">
        <f t="shared" si="172"/>
        <v>135</v>
      </c>
      <c r="O1723" s="235">
        <f t="shared" si="171"/>
        <v>0</v>
      </c>
      <c r="P1723" s="238" t="s">
        <v>167</v>
      </c>
      <c r="Q1723" s="1" t="s">
        <v>6191</v>
      </c>
      <c r="R1723" s="239" t="s">
        <v>6141</v>
      </c>
      <c r="S1723" s="238" t="s">
        <v>6142</v>
      </c>
      <c r="T1723" s="238" t="s">
        <v>6143</v>
      </c>
      <c r="U1723" s="238" t="s">
        <v>6192</v>
      </c>
      <c r="V1723" s="238" t="s">
        <v>6149</v>
      </c>
      <c r="W1723" s="236">
        <v>135</v>
      </c>
      <c r="X1723" s="233">
        <v>41375</v>
      </c>
      <c r="AA1723" s="334" t="s">
        <v>6144</v>
      </c>
      <c r="AB1723" s="1" t="s">
        <v>2064</v>
      </c>
    </row>
    <row r="1724" spans="1:28">
      <c r="A1724" s="233">
        <v>41376</v>
      </c>
      <c r="B1724" s="1" t="s">
        <v>6199</v>
      </c>
      <c r="C1724" s="1" t="s">
        <v>162</v>
      </c>
      <c r="D1724" s="5" t="s">
        <v>2014</v>
      </c>
      <c r="E1724" s="1">
        <v>7502</v>
      </c>
      <c r="F1724" s="1">
        <v>10</v>
      </c>
      <c r="G1724" s="1" t="s">
        <v>170</v>
      </c>
      <c r="H1724" s="234">
        <v>130.18</v>
      </c>
      <c r="I1724" s="235">
        <f>H1724*F1724</f>
        <v>1301.8000000000002</v>
      </c>
      <c r="K1724" s="250">
        <f>110*10</f>
        <v>1100</v>
      </c>
      <c r="L1724" s="237">
        <v>41376</v>
      </c>
      <c r="M1724" s="1" t="s">
        <v>6201</v>
      </c>
      <c r="N1724" s="1">
        <f t="shared" si="172"/>
        <v>1301.8000000000002</v>
      </c>
      <c r="O1724" s="236">
        <f t="shared" si="171"/>
        <v>0</v>
      </c>
      <c r="P1724" s="238" t="s">
        <v>6203</v>
      </c>
      <c r="Q1724" s="5" t="s">
        <v>1562</v>
      </c>
      <c r="R1724" s="239" t="s">
        <v>6202</v>
      </c>
      <c r="S1724" s="238" t="s">
        <v>6208</v>
      </c>
      <c r="T1724" s="238" t="s">
        <v>6198</v>
      </c>
      <c r="U1724" s="238" t="s">
        <v>167</v>
      </c>
      <c r="AB1724" s="5" t="s">
        <v>1561</v>
      </c>
    </row>
    <row r="1725" spans="1:28">
      <c r="A1725" s="233">
        <v>41376</v>
      </c>
      <c r="B1725" s="1" t="s">
        <v>6199</v>
      </c>
      <c r="C1725" s="1" t="s">
        <v>162</v>
      </c>
      <c r="D1725" s="5" t="s">
        <v>2012</v>
      </c>
      <c r="E1725" s="1" t="s">
        <v>6200</v>
      </c>
      <c r="F1725" s="1">
        <v>500</v>
      </c>
      <c r="G1725" s="1" t="s">
        <v>170</v>
      </c>
      <c r="H1725" s="234">
        <v>1.63</v>
      </c>
      <c r="I1725" s="235">
        <f>H1725*F1725</f>
        <v>815</v>
      </c>
      <c r="K1725" s="250">
        <f>1.48*500</f>
        <v>740</v>
      </c>
      <c r="L1725" s="237">
        <v>41376</v>
      </c>
      <c r="M1725" s="1" t="s">
        <v>6201</v>
      </c>
      <c r="N1725" s="1">
        <f t="shared" si="172"/>
        <v>815</v>
      </c>
      <c r="O1725" s="236">
        <f t="shared" si="171"/>
        <v>0</v>
      </c>
      <c r="P1725" s="238" t="s">
        <v>6203</v>
      </c>
      <c r="Q1725" s="5" t="s">
        <v>1562</v>
      </c>
      <c r="R1725" s="239" t="s">
        <v>6202</v>
      </c>
      <c r="S1725" s="238" t="s">
        <v>6208</v>
      </c>
      <c r="T1725" s="238" t="s">
        <v>6198</v>
      </c>
      <c r="U1725" s="238" t="s">
        <v>167</v>
      </c>
      <c r="AB1725" s="5" t="s">
        <v>1561</v>
      </c>
    </row>
    <row r="1726" spans="1:28">
      <c r="A1726" s="233">
        <v>41376</v>
      </c>
      <c r="B1726" s="1" t="s">
        <v>6199</v>
      </c>
      <c r="C1726" s="1" t="s">
        <v>162</v>
      </c>
      <c r="D1726" s="1" t="s">
        <v>353</v>
      </c>
      <c r="E1726" s="1" t="s">
        <v>145</v>
      </c>
      <c r="F1726" s="1">
        <v>20</v>
      </c>
      <c r="G1726" s="1" t="s">
        <v>170</v>
      </c>
      <c r="H1726" s="234">
        <v>19.260000000000002</v>
      </c>
      <c r="I1726" s="235">
        <f>H1726*F1726</f>
        <v>385.20000000000005</v>
      </c>
      <c r="K1726" s="250">
        <f>17.8*20</f>
        <v>356</v>
      </c>
      <c r="L1726" s="237">
        <v>41376</v>
      </c>
      <c r="M1726" s="1" t="s">
        <v>6201</v>
      </c>
      <c r="N1726" s="1">
        <f t="shared" si="172"/>
        <v>385.20000000000005</v>
      </c>
      <c r="O1726" s="236">
        <f t="shared" si="171"/>
        <v>0</v>
      </c>
      <c r="P1726" s="238" t="s">
        <v>6203</v>
      </c>
      <c r="Q1726" s="5" t="s">
        <v>1562</v>
      </c>
      <c r="R1726" s="239" t="s">
        <v>6202</v>
      </c>
      <c r="S1726" s="238" t="s">
        <v>6208</v>
      </c>
      <c r="T1726" s="238" t="s">
        <v>6198</v>
      </c>
      <c r="U1726" s="238" t="s">
        <v>167</v>
      </c>
      <c r="AB1726" s="5" t="s">
        <v>1561</v>
      </c>
    </row>
    <row r="1727" spans="1:28">
      <c r="A1727" s="233">
        <v>41376</v>
      </c>
      <c r="B1727" s="1" t="s">
        <v>6199</v>
      </c>
      <c r="C1727" s="1" t="s">
        <v>162</v>
      </c>
      <c r="D1727" s="5" t="s">
        <v>182</v>
      </c>
      <c r="E1727" s="1" t="s">
        <v>194</v>
      </c>
      <c r="F1727" s="1">
        <v>20</v>
      </c>
      <c r="G1727" s="1" t="s">
        <v>171</v>
      </c>
      <c r="H1727" s="234">
        <v>6.5</v>
      </c>
      <c r="I1727" s="235">
        <f>H1727*F1727</f>
        <v>130</v>
      </c>
      <c r="K1727" s="250">
        <f>4.75*20</f>
        <v>95</v>
      </c>
      <c r="L1727" s="237">
        <v>41376</v>
      </c>
      <c r="M1727" s="1" t="s">
        <v>6201</v>
      </c>
      <c r="N1727" s="1">
        <f t="shared" si="172"/>
        <v>130</v>
      </c>
      <c r="O1727" s="236">
        <f t="shared" si="171"/>
        <v>0</v>
      </c>
      <c r="P1727" s="238" t="s">
        <v>6203</v>
      </c>
      <c r="Q1727" s="5" t="s">
        <v>1562</v>
      </c>
      <c r="R1727" s="239" t="s">
        <v>6202</v>
      </c>
      <c r="S1727" s="238" t="s">
        <v>6208</v>
      </c>
      <c r="T1727" s="238" t="s">
        <v>6198</v>
      </c>
      <c r="U1727" s="238" t="s">
        <v>167</v>
      </c>
      <c r="AB1727" s="5" t="s">
        <v>1561</v>
      </c>
    </row>
    <row r="1728" spans="1:28">
      <c r="A1728" s="233">
        <v>41376</v>
      </c>
      <c r="B1728" s="1" t="s">
        <v>6199</v>
      </c>
      <c r="C1728" s="1" t="s">
        <v>162</v>
      </c>
      <c r="D1728" s="5" t="s">
        <v>1869</v>
      </c>
      <c r="E1728" s="1">
        <v>501</v>
      </c>
      <c r="F1728" s="1">
        <v>20</v>
      </c>
      <c r="G1728" s="1" t="s">
        <v>170</v>
      </c>
      <c r="H1728" s="234">
        <v>1.65</v>
      </c>
      <c r="I1728" s="235">
        <f>H1728*F1728</f>
        <v>33</v>
      </c>
      <c r="K1728" s="250">
        <f>1.39*20</f>
        <v>27.799999999999997</v>
      </c>
      <c r="L1728" s="237">
        <v>41376</v>
      </c>
      <c r="M1728" s="1" t="s">
        <v>6201</v>
      </c>
      <c r="N1728" s="1">
        <f t="shared" si="172"/>
        <v>33</v>
      </c>
      <c r="O1728" s="236">
        <f t="shared" si="171"/>
        <v>0</v>
      </c>
      <c r="P1728" s="238" t="s">
        <v>6203</v>
      </c>
      <c r="Q1728" s="5" t="s">
        <v>1562</v>
      </c>
      <c r="R1728" s="239" t="s">
        <v>6202</v>
      </c>
      <c r="S1728" s="238" t="s">
        <v>6208</v>
      </c>
      <c r="T1728" s="238" t="s">
        <v>6198</v>
      </c>
      <c r="U1728" s="238" t="s">
        <v>167</v>
      </c>
      <c r="AB1728" s="5" t="s">
        <v>1561</v>
      </c>
    </row>
    <row r="1729" spans="1:28">
      <c r="A1729" s="233">
        <v>41376</v>
      </c>
      <c r="B1729" s="1" t="s">
        <v>5246</v>
      </c>
      <c r="C1729" s="5" t="s">
        <v>162</v>
      </c>
      <c r="D1729" s="1" t="s">
        <v>1763</v>
      </c>
      <c r="E1729" s="1">
        <v>1860</v>
      </c>
      <c r="F1729" s="1">
        <v>360</v>
      </c>
      <c r="G1729" s="1" t="s">
        <v>170</v>
      </c>
      <c r="H1729" s="234">
        <v>15</v>
      </c>
      <c r="I1729" s="235">
        <f>F1729*H1729</f>
        <v>5400</v>
      </c>
      <c r="K1729" s="250">
        <f>12.15*360</f>
        <v>4374</v>
      </c>
      <c r="L1729" s="237">
        <v>41375</v>
      </c>
      <c r="M1729" s="1" t="s">
        <v>166</v>
      </c>
      <c r="N1729" s="235">
        <f t="shared" si="172"/>
        <v>5400</v>
      </c>
      <c r="O1729" s="235">
        <f t="shared" si="171"/>
        <v>0</v>
      </c>
      <c r="Q1729" s="1" t="s">
        <v>6210</v>
      </c>
      <c r="R1729" s="239" t="s">
        <v>6153</v>
      </c>
      <c r="S1729" s="238" t="s">
        <v>6155</v>
      </c>
      <c r="T1729" s="238" t="s">
        <v>6154</v>
      </c>
      <c r="V1729" s="238" t="s">
        <v>6562</v>
      </c>
      <c r="W1729" s="236">
        <v>9040</v>
      </c>
      <c r="X1729" s="233">
        <v>41391</v>
      </c>
      <c r="Y1729" s="238" t="s">
        <v>6563</v>
      </c>
      <c r="AB1729" s="1" t="s">
        <v>1561</v>
      </c>
    </row>
    <row r="1730" spans="1:28">
      <c r="A1730" s="233">
        <v>41376</v>
      </c>
      <c r="B1730" s="1" t="s">
        <v>2463</v>
      </c>
      <c r="C1730" s="1" t="s">
        <v>162</v>
      </c>
      <c r="D1730" s="1" t="s">
        <v>6156</v>
      </c>
      <c r="E1730" s="1">
        <v>8577</v>
      </c>
      <c r="F1730" s="1">
        <v>10</v>
      </c>
      <c r="G1730" s="1" t="s">
        <v>170</v>
      </c>
      <c r="H1730" s="234">
        <v>29.45</v>
      </c>
      <c r="I1730" s="235">
        <f>F1730*H1730</f>
        <v>294.5</v>
      </c>
      <c r="K1730" s="250">
        <f>28.65*10</f>
        <v>286.5</v>
      </c>
      <c r="L1730" s="237">
        <v>41375</v>
      </c>
      <c r="M1730" s="1" t="s">
        <v>165</v>
      </c>
      <c r="N1730" s="235">
        <f t="shared" si="172"/>
        <v>294.5</v>
      </c>
      <c r="O1730" s="235">
        <f t="shared" si="171"/>
        <v>0</v>
      </c>
      <c r="Q1730" s="1" t="s">
        <v>6189</v>
      </c>
      <c r="R1730" s="239" t="s">
        <v>2467</v>
      </c>
      <c r="S1730" s="238" t="s">
        <v>733</v>
      </c>
      <c r="T1730" s="238" t="s">
        <v>734</v>
      </c>
      <c r="U1730" s="238" t="s">
        <v>6190</v>
      </c>
      <c r="V1730" s="238" t="s">
        <v>1592</v>
      </c>
      <c r="AB1730" s="1" t="s">
        <v>1561</v>
      </c>
    </row>
    <row r="1731" spans="1:28">
      <c r="A1731" s="233">
        <v>41376</v>
      </c>
      <c r="B1731" s="1" t="s">
        <v>2463</v>
      </c>
      <c r="C1731" s="1" t="s">
        <v>162</v>
      </c>
      <c r="D1731" s="391" t="s">
        <v>5047</v>
      </c>
      <c r="E1731" s="1">
        <v>8210</v>
      </c>
      <c r="F1731" s="1">
        <v>20</v>
      </c>
      <c r="G1731" s="1" t="s">
        <v>170</v>
      </c>
      <c r="H1731" s="234">
        <v>4</v>
      </c>
      <c r="I1731" s="235">
        <f>F1731*H1731</f>
        <v>80</v>
      </c>
      <c r="K1731" s="250">
        <f>3.78*20</f>
        <v>75.599999999999994</v>
      </c>
      <c r="L1731" s="237">
        <v>41375</v>
      </c>
      <c r="M1731" s="1" t="s">
        <v>165</v>
      </c>
      <c r="N1731" s="235">
        <f t="shared" si="172"/>
        <v>80</v>
      </c>
      <c r="O1731" s="235">
        <f t="shared" si="171"/>
        <v>0</v>
      </c>
      <c r="Q1731" s="1" t="s">
        <v>6189</v>
      </c>
      <c r="R1731" s="239" t="s">
        <v>2467</v>
      </c>
      <c r="S1731" s="238" t="s">
        <v>733</v>
      </c>
      <c r="T1731" s="238" t="s">
        <v>734</v>
      </c>
      <c r="U1731" s="238" t="s">
        <v>6190</v>
      </c>
      <c r="V1731" s="238" t="s">
        <v>1592</v>
      </c>
      <c r="AB1731" s="1" t="s">
        <v>1561</v>
      </c>
    </row>
    <row r="1732" spans="1:28">
      <c r="A1732" s="233">
        <v>41376</v>
      </c>
      <c r="B1732" s="1" t="s">
        <v>6182</v>
      </c>
      <c r="C1732" s="1" t="s">
        <v>162</v>
      </c>
      <c r="D1732" s="368" t="s">
        <v>702</v>
      </c>
      <c r="E1732" s="1" t="s">
        <v>6183</v>
      </c>
      <c r="F1732" s="1">
        <v>9000</v>
      </c>
      <c r="G1732" s="1" t="s">
        <v>170</v>
      </c>
      <c r="H1732" s="234">
        <v>2.62</v>
      </c>
      <c r="I1732" s="235">
        <f>H1732*F1732</f>
        <v>23580</v>
      </c>
      <c r="K1732" s="250">
        <f>2.32*9000</f>
        <v>20880</v>
      </c>
      <c r="L1732" s="237">
        <v>41376</v>
      </c>
      <c r="M1732" s="1" t="s">
        <v>6185</v>
      </c>
      <c r="N1732" s="235">
        <f t="shared" si="172"/>
        <v>23580</v>
      </c>
      <c r="O1732" s="235">
        <f t="shared" si="171"/>
        <v>0</v>
      </c>
      <c r="P1732" s="238" t="s">
        <v>6198</v>
      </c>
      <c r="Q1732" s="1" t="s">
        <v>6204</v>
      </c>
      <c r="R1732" s="239" t="s">
        <v>6205</v>
      </c>
      <c r="S1732" s="238" t="s">
        <v>6206</v>
      </c>
      <c r="T1732" s="238" t="s">
        <v>6184</v>
      </c>
      <c r="U1732" s="238" t="s">
        <v>6207</v>
      </c>
      <c r="V1732" s="238" t="s">
        <v>6989</v>
      </c>
      <c r="W1732" s="236">
        <v>23580</v>
      </c>
      <c r="X1732" s="233">
        <v>41417</v>
      </c>
      <c r="Y1732" s="238" t="s">
        <v>6990</v>
      </c>
      <c r="AB1732" s="5" t="s">
        <v>1561</v>
      </c>
    </row>
    <row r="1733" spans="1:28">
      <c r="A1733" s="233">
        <v>41379</v>
      </c>
      <c r="B1733" s="1" t="s">
        <v>4696</v>
      </c>
      <c r="C1733" s="1" t="s">
        <v>6177</v>
      </c>
      <c r="D1733" s="1" t="s">
        <v>6178</v>
      </c>
      <c r="E1733" s="238" t="s">
        <v>6179</v>
      </c>
      <c r="F1733" s="1">
        <v>14</v>
      </c>
      <c r="G1733" s="1" t="s">
        <v>827</v>
      </c>
      <c r="H1733" s="234">
        <v>105.6</v>
      </c>
      <c r="I1733" s="235">
        <f t="shared" ref="I1733:I1764" si="174">F1733*H1733</f>
        <v>1478.3999999999999</v>
      </c>
      <c r="K1733" s="250">
        <f>102.08*14</f>
        <v>1429.12</v>
      </c>
      <c r="L1733" s="237">
        <v>41403</v>
      </c>
      <c r="M1733" s="1" t="s">
        <v>166</v>
      </c>
      <c r="N1733" s="235">
        <f t="shared" si="172"/>
        <v>1478.3999999999999</v>
      </c>
      <c r="O1733" s="235">
        <f t="shared" si="171"/>
        <v>0</v>
      </c>
      <c r="P1733" s="238" t="s">
        <v>6209</v>
      </c>
      <c r="Q1733" s="5" t="s">
        <v>1562</v>
      </c>
      <c r="R1733" s="239" t="s">
        <v>167</v>
      </c>
      <c r="S1733" s="238" t="s">
        <v>167</v>
      </c>
      <c r="T1733" s="238" t="s">
        <v>167</v>
      </c>
      <c r="U1733" s="238" t="s">
        <v>167</v>
      </c>
      <c r="AB1733" s="5" t="s">
        <v>1561</v>
      </c>
    </row>
    <row r="1734" spans="1:28">
      <c r="A1734" s="233">
        <v>41379</v>
      </c>
      <c r="B1734" s="1" t="s">
        <v>6240</v>
      </c>
      <c r="C1734" s="1" t="s">
        <v>162</v>
      </c>
      <c r="D1734" s="1" t="s">
        <v>48</v>
      </c>
      <c r="E1734" s="1" t="s">
        <v>3128</v>
      </c>
      <c r="F1734" s="1">
        <v>50</v>
      </c>
      <c r="G1734" s="1" t="s">
        <v>192</v>
      </c>
      <c r="H1734" s="234">
        <v>200</v>
      </c>
      <c r="I1734" s="235">
        <f t="shared" si="174"/>
        <v>10000</v>
      </c>
      <c r="K1734" s="250">
        <f>181.36*50</f>
        <v>9068</v>
      </c>
      <c r="L1734" s="237">
        <v>41380</v>
      </c>
      <c r="M1734" s="1" t="s">
        <v>6262</v>
      </c>
      <c r="N1734" s="235">
        <f>I1734</f>
        <v>10000</v>
      </c>
      <c r="O1734" s="235">
        <f t="shared" si="171"/>
        <v>0</v>
      </c>
      <c r="P1734" s="238" t="s">
        <v>6263</v>
      </c>
      <c r="Q1734" s="5" t="s">
        <v>2505</v>
      </c>
      <c r="R1734" s="239" t="s">
        <v>167</v>
      </c>
      <c r="S1734" s="238" t="s">
        <v>167</v>
      </c>
      <c r="T1734" s="238" t="s">
        <v>5744</v>
      </c>
      <c r="U1734" s="238" t="s">
        <v>6230</v>
      </c>
      <c r="V1734" s="238" t="s">
        <v>6231</v>
      </c>
      <c r="W1734" s="236">
        <v>37500</v>
      </c>
      <c r="X1734" s="233">
        <v>41379</v>
      </c>
      <c r="Y1734" s="238" t="s">
        <v>6230</v>
      </c>
      <c r="AB1734" s="5" t="s">
        <v>1561</v>
      </c>
    </row>
    <row r="1735" spans="1:28">
      <c r="A1735" s="233">
        <v>41379</v>
      </c>
      <c r="B1735" s="1" t="s">
        <v>1563</v>
      </c>
      <c r="C1735" s="1" t="s">
        <v>162</v>
      </c>
      <c r="D1735" s="5" t="s">
        <v>1866</v>
      </c>
      <c r="E1735" s="1" t="s">
        <v>177</v>
      </c>
      <c r="F1735" s="1">
        <v>300</v>
      </c>
      <c r="G1735" s="1" t="s">
        <v>171</v>
      </c>
      <c r="H1735" s="234">
        <v>1.8</v>
      </c>
      <c r="I1735" s="235">
        <f t="shared" si="174"/>
        <v>540</v>
      </c>
      <c r="K1735" s="250">
        <f>1.17*300</f>
        <v>351</v>
      </c>
      <c r="N1735" s="235">
        <v>0</v>
      </c>
      <c r="O1735" s="235">
        <f t="shared" si="171"/>
        <v>540</v>
      </c>
      <c r="P1735" s="238" t="s">
        <v>6242</v>
      </c>
      <c r="Q1735" s="1" t="s">
        <v>1562</v>
      </c>
      <c r="R1735" s="239" t="s">
        <v>6017</v>
      </c>
      <c r="S1735" s="238" t="s">
        <v>6018</v>
      </c>
      <c r="T1735" s="238" t="s">
        <v>2256</v>
      </c>
      <c r="U1735" s="238" t="s">
        <v>167</v>
      </c>
      <c r="AB1735" s="5" t="s">
        <v>2064</v>
      </c>
    </row>
    <row r="1736" spans="1:28">
      <c r="A1736" s="233">
        <v>41379</v>
      </c>
      <c r="B1736" s="228" t="s">
        <v>1488</v>
      </c>
      <c r="C1736" s="1" t="s">
        <v>162</v>
      </c>
      <c r="D1736" s="1" t="s">
        <v>1867</v>
      </c>
      <c r="E1736" s="1">
        <v>6006</v>
      </c>
      <c r="F1736" s="1">
        <v>80</v>
      </c>
      <c r="G1736" s="1" t="s">
        <v>6075</v>
      </c>
      <c r="H1736" s="234">
        <v>57.7</v>
      </c>
      <c r="I1736" s="235">
        <f t="shared" si="174"/>
        <v>4616</v>
      </c>
      <c r="K1736" s="250">
        <f>55.3*80</f>
        <v>4424</v>
      </c>
      <c r="L1736" s="237">
        <v>41375</v>
      </c>
      <c r="M1736" s="1" t="s">
        <v>166</v>
      </c>
      <c r="N1736" s="235">
        <f>I1736</f>
        <v>4616</v>
      </c>
      <c r="O1736" s="235">
        <f t="shared" si="171"/>
        <v>0</v>
      </c>
      <c r="P1736" s="238" t="s">
        <v>6068</v>
      </c>
      <c r="Q1736" s="1" t="s">
        <v>6250</v>
      </c>
      <c r="R1736" s="239" t="s">
        <v>4326</v>
      </c>
      <c r="S1736" s="238" t="s">
        <v>4327</v>
      </c>
      <c r="T1736" s="238" t="s">
        <v>1471</v>
      </c>
      <c r="U1736" s="238" t="s">
        <v>6251</v>
      </c>
      <c r="V1736" s="238" t="s">
        <v>6164</v>
      </c>
      <c r="W1736" s="236">
        <v>16862.8</v>
      </c>
      <c r="X1736" s="233">
        <v>41376</v>
      </c>
      <c r="Y1736" s="238" t="s">
        <v>6165</v>
      </c>
      <c r="AB1736" s="1" t="s">
        <v>1561</v>
      </c>
    </row>
    <row r="1737" spans="1:28">
      <c r="A1737" s="233">
        <v>41379</v>
      </c>
      <c r="B1737" s="228" t="s">
        <v>1488</v>
      </c>
      <c r="C1737" s="1" t="s">
        <v>162</v>
      </c>
      <c r="D1737" s="5" t="s">
        <v>346</v>
      </c>
      <c r="E1737" s="1">
        <v>3700</v>
      </c>
      <c r="F1737" s="1">
        <v>60</v>
      </c>
      <c r="G1737" s="1" t="s">
        <v>229</v>
      </c>
      <c r="H1737" s="234">
        <v>4</v>
      </c>
      <c r="I1737" s="235">
        <f t="shared" si="174"/>
        <v>240</v>
      </c>
      <c r="K1737" s="250">
        <f>3.65*60</f>
        <v>219</v>
      </c>
      <c r="L1737" s="237">
        <v>41375</v>
      </c>
      <c r="M1737" s="1" t="s">
        <v>166</v>
      </c>
      <c r="N1737" s="235">
        <f>I1737</f>
        <v>240</v>
      </c>
      <c r="O1737" s="235">
        <f t="shared" si="171"/>
        <v>0</v>
      </c>
      <c r="P1737" s="238" t="s">
        <v>6068</v>
      </c>
      <c r="Q1737" s="1" t="s">
        <v>6250</v>
      </c>
      <c r="R1737" s="239" t="s">
        <v>4326</v>
      </c>
      <c r="S1737" s="238" t="s">
        <v>4327</v>
      </c>
      <c r="T1737" s="238" t="s">
        <v>1471</v>
      </c>
      <c r="U1737" s="238" t="s">
        <v>6251</v>
      </c>
      <c r="V1737" s="238" t="s">
        <v>6164</v>
      </c>
      <c r="W1737" s="236">
        <v>16862.8</v>
      </c>
      <c r="X1737" s="233">
        <v>41376</v>
      </c>
      <c r="Y1737" s="238" t="s">
        <v>6165</v>
      </c>
      <c r="AB1737" s="1" t="s">
        <v>1561</v>
      </c>
    </row>
    <row r="1738" spans="1:28">
      <c r="A1738" s="233">
        <v>41379</v>
      </c>
      <c r="B1738" s="1" t="s">
        <v>1569</v>
      </c>
      <c r="C1738" s="1" t="s">
        <v>162</v>
      </c>
      <c r="D1738" s="1" t="s">
        <v>1213</v>
      </c>
      <c r="E1738" s="1" t="s">
        <v>6052</v>
      </c>
      <c r="F1738" s="1">
        <v>60</v>
      </c>
      <c r="G1738" s="1" t="s">
        <v>6058</v>
      </c>
      <c r="H1738" s="234">
        <v>13.2</v>
      </c>
      <c r="I1738" s="235">
        <f t="shared" si="174"/>
        <v>792</v>
      </c>
      <c r="K1738" s="250">
        <f>12.3*60</f>
        <v>738</v>
      </c>
      <c r="L1738" s="237">
        <v>41411</v>
      </c>
      <c r="M1738" s="1" t="s">
        <v>166</v>
      </c>
      <c r="N1738" s="235">
        <f t="shared" ref="N1738:N1751" si="175">I1738</f>
        <v>792</v>
      </c>
      <c r="O1738" s="235">
        <f t="shared" ref="O1738:O1756" si="176">I1738-N1738</f>
        <v>0</v>
      </c>
      <c r="P1738" s="238" t="s">
        <v>6259</v>
      </c>
      <c r="Q1738" s="1" t="s">
        <v>6035</v>
      </c>
      <c r="R1738" s="239" t="s">
        <v>1570</v>
      </c>
      <c r="S1738" s="238">
        <v>13368068212</v>
      </c>
      <c r="T1738" s="238" t="s">
        <v>167</v>
      </c>
      <c r="U1738" s="238" t="s">
        <v>167</v>
      </c>
      <c r="V1738" s="238" t="s">
        <v>6540</v>
      </c>
      <c r="W1738" s="236">
        <v>33461.35</v>
      </c>
      <c r="X1738" s="233">
        <v>41390</v>
      </c>
      <c r="Y1738" s="238" t="s">
        <v>3866</v>
      </c>
      <c r="AB1738" s="5" t="s">
        <v>1561</v>
      </c>
    </row>
    <row r="1739" spans="1:28">
      <c r="A1739" s="233">
        <v>41379</v>
      </c>
      <c r="B1739" s="1" t="s">
        <v>1569</v>
      </c>
      <c r="C1739" s="1" t="s">
        <v>162</v>
      </c>
      <c r="D1739" s="5" t="s">
        <v>983</v>
      </c>
      <c r="E1739" s="1">
        <v>6800</v>
      </c>
      <c r="F1739" s="1">
        <v>30</v>
      </c>
      <c r="G1739" s="1" t="s">
        <v>6057</v>
      </c>
      <c r="H1739" s="234">
        <v>450</v>
      </c>
      <c r="I1739" s="235">
        <f t="shared" si="174"/>
        <v>13500</v>
      </c>
      <c r="K1739" s="250">
        <f>420*30</f>
        <v>12600</v>
      </c>
      <c r="L1739" s="237">
        <v>41411</v>
      </c>
      <c r="M1739" s="1" t="s">
        <v>166</v>
      </c>
      <c r="N1739" s="235">
        <f t="shared" si="175"/>
        <v>13500</v>
      </c>
      <c r="O1739" s="235">
        <f t="shared" si="176"/>
        <v>0</v>
      </c>
      <c r="P1739" s="238" t="s">
        <v>6259</v>
      </c>
      <c r="Q1739" s="1" t="s">
        <v>6035</v>
      </c>
      <c r="R1739" s="239" t="s">
        <v>1570</v>
      </c>
      <c r="S1739" s="238">
        <v>13368068212</v>
      </c>
      <c r="T1739" s="238" t="s">
        <v>167</v>
      </c>
      <c r="U1739" s="238" t="s">
        <v>167</v>
      </c>
      <c r="V1739" s="238" t="s">
        <v>6540</v>
      </c>
      <c r="W1739" s="236">
        <v>33461.35</v>
      </c>
      <c r="X1739" s="233">
        <v>41390</v>
      </c>
      <c r="Y1739" s="238" t="s">
        <v>3866</v>
      </c>
      <c r="AB1739" s="5" t="s">
        <v>1561</v>
      </c>
    </row>
    <row r="1740" spans="1:28">
      <c r="A1740" s="233">
        <v>41379</v>
      </c>
      <c r="B1740" s="1" t="s">
        <v>1569</v>
      </c>
      <c r="C1740" s="1" t="s">
        <v>162</v>
      </c>
      <c r="D1740" s="348" t="s">
        <v>593</v>
      </c>
      <c r="E1740" s="1">
        <v>3200</v>
      </c>
      <c r="F1740" s="1">
        <v>50</v>
      </c>
      <c r="G1740" s="1" t="s">
        <v>170</v>
      </c>
      <c r="H1740" s="234">
        <v>27.5</v>
      </c>
      <c r="I1740" s="235">
        <f t="shared" si="174"/>
        <v>1375</v>
      </c>
      <c r="K1740" s="250">
        <f>23.94*50</f>
        <v>1197</v>
      </c>
      <c r="L1740" s="237">
        <v>41411</v>
      </c>
      <c r="M1740" s="1" t="s">
        <v>166</v>
      </c>
      <c r="N1740" s="235">
        <f t="shared" si="175"/>
        <v>1375</v>
      </c>
      <c r="O1740" s="235">
        <f t="shared" si="176"/>
        <v>0</v>
      </c>
      <c r="P1740" s="238" t="s">
        <v>6259</v>
      </c>
      <c r="Q1740" s="1" t="s">
        <v>6035</v>
      </c>
      <c r="R1740" s="239" t="s">
        <v>1570</v>
      </c>
      <c r="S1740" s="238">
        <v>13368068212</v>
      </c>
      <c r="T1740" s="238" t="s">
        <v>167</v>
      </c>
      <c r="U1740" s="238" t="s">
        <v>167</v>
      </c>
      <c r="V1740" s="238" t="s">
        <v>6540</v>
      </c>
      <c r="W1740" s="236">
        <v>33461.35</v>
      </c>
      <c r="X1740" s="233">
        <v>41390</v>
      </c>
      <c r="Y1740" s="238" t="s">
        <v>3866</v>
      </c>
      <c r="AB1740" s="5" t="s">
        <v>1561</v>
      </c>
    </row>
    <row r="1741" spans="1:28">
      <c r="A1741" s="233">
        <v>41379</v>
      </c>
      <c r="B1741" s="1" t="s">
        <v>1569</v>
      </c>
      <c r="C1741" s="1" t="s">
        <v>162</v>
      </c>
      <c r="D1741" s="5" t="s">
        <v>346</v>
      </c>
      <c r="E1741" s="1">
        <v>3700</v>
      </c>
      <c r="F1741" s="1">
        <v>20</v>
      </c>
      <c r="G1741" s="1" t="s">
        <v>170</v>
      </c>
      <c r="H1741" s="234">
        <v>4</v>
      </c>
      <c r="I1741" s="235">
        <f t="shared" si="174"/>
        <v>80</v>
      </c>
      <c r="K1741" s="250">
        <f>3.65*20</f>
        <v>73</v>
      </c>
      <c r="L1741" s="237">
        <v>41411</v>
      </c>
      <c r="M1741" s="1" t="s">
        <v>166</v>
      </c>
      <c r="N1741" s="235">
        <f t="shared" si="175"/>
        <v>80</v>
      </c>
      <c r="O1741" s="235">
        <f t="shared" si="176"/>
        <v>0</v>
      </c>
      <c r="P1741" s="238" t="s">
        <v>6259</v>
      </c>
      <c r="Q1741" s="1" t="s">
        <v>6035</v>
      </c>
      <c r="R1741" s="239" t="s">
        <v>1570</v>
      </c>
      <c r="S1741" s="238">
        <v>13368068212</v>
      </c>
      <c r="T1741" s="238" t="s">
        <v>167</v>
      </c>
      <c r="U1741" s="238" t="s">
        <v>167</v>
      </c>
      <c r="V1741" s="238" t="s">
        <v>6540</v>
      </c>
      <c r="W1741" s="236">
        <v>33461.35</v>
      </c>
      <c r="X1741" s="233">
        <v>41390</v>
      </c>
      <c r="Y1741" s="238" t="s">
        <v>3866</v>
      </c>
      <c r="AB1741" s="5" t="s">
        <v>1561</v>
      </c>
    </row>
    <row r="1742" spans="1:28">
      <c r="A1742" s="233">
        <v>41379</v>
      </c>
      <c r="B1742" s="1" t="s">
        <v>1569</v>
      </c>
      <c r="C1742" s="1" t="s">
        <v>162</v>
      </c>
      <c r="D1742" s="5" t="s">
        <v>182</v>
      </c>
      <c r="E1742" s="1" t="s">
        <v>186</v>
      </c>
      <c r="F1742" s="1">
        <v>200</v>
      </c>
      <c r="G1742" s="1" t="s">
        <v>171</v>
      </c>
      <c r="H1742" s="234">
        <v>1.65</v>
      </c>
      <c r="I1742" s="235">
        <f t="shared" si="174"/>
        <v>330</v>
      </c>
      <c r="K1742" s="250">
        <f>1.54*200</f>
        <v>308</v>
      </c>
      <c r="L1742" s="237">
        <v>41411</v>
      </c>
      <c r="M1742" s="1" t="s">
        <v>166</v>
      </c>
      <c r="N1742" s="235">
        <f t="shared" si="175"/>
        <v>330</v>
      </c>
      <c r="O1742" s="235">
        <f t="shared" si="176"/>
        <v>0</v>
      </c>
      <c r="P1742" s="238" t="s">
        <v>6259</v>
      </c>
      <c r="Q1742" s="1" t="s">
        <v>6035</v>
      </c>
      <c r="R1742" s="239" t="s">
        <v>1570</v>
      </c>
      <c r="S1742" s="238">
        <v>13368068212</v>
      </c>
      <c r="T1742" s="238" t="s">
        <v>167</v>
      </c>
      <c r="U1742" s="238" t="s">
        <v>167</v>
      </c>
      <c r="V1742" s="238" t="s">
        <v>6540</v>
      </c>
      <c r="W1742" s="236">
        <v>33461.35</v>
      </c>
      <c r="X1742" s="233">
        <v>41390</v>
      </c>
      <c r="Y1742" s="238" t="s">
        <v>3866</v>
      </c>
      <c r="AB1742" s="5" t="s">
        <v>1561</v>
      </c>
    </row>
    <row r="1743" spans="1:28">
      <c r="A1743" s="233">
        <v>41379</v>
      </c>
      <c r="B1743" s="1" t="s">
        <v>1569</v>
      </c>
      <c r="C1743" s="1" t="s">
        <v>162</v>
      </c>
      <c r="D1743" s="1" t="s">
        <v>664</v>
      </c>
      <c r="E1743" s="1">
        <v>8246</v>
      </c>
      <c r="F1743" s="1">
        <v>20</v>
      </c>
      <c r="G1743" s="1" t="s">
        <v>170</v>
      </c>
      <c r="H1743" s="234">
        <v>13.5</v>
      </c>
      <c r="I1743" s="235">
        <f t="shared" si="174"/>
        <v>270</v>
      </c>
      <c r="K1743" s="250">
        <f>11.7*20</f>
        <v>234</v>
      </c>
      <c r="L1743" s="237">
        <v>41411</v>
      </c>
      <c r="M1743" s="1" t="s">
        <v>166</v>
      </c>
      <c r="N1743" s="235">
        <f t="shared" si="175"/>
        <v>270</v>
      </c>
      <c r="O1743" s="235">
        <f t="shared" si="176"/>
        <v>0</v>
      </c>
      <c r="P1743" s="238" t="s">
        <v>6259</v>
      </c>
      <c r="Q1743" s="1" t="s">
        <v>6035</v>
      </c>
      <c r="R1743" s="239" t="s">
        <v>1570</v>
      </c>
      <c r="S1743" s="238">
        <v>13368068212</v>
      </c>
      <c r="T1743" s="238" t="s">
        <v>167</v>
      </c>
      <c r="U1743" s="238" t="s">
        <v>167</v>
      </c>
      <c r="V1743" s="238" t="s">
        <v>6540</v>
      </c>
      <c r="W1743" s="236">
        <v>33461.35</v>
      </c>
      <c r="X1743" s="233">
        <v>41390</v>
      </c>
      <c r="Y1743" s="238" t="s">
        <v>3866</v>
      </c>
      <c r="AB1743" s="5" t="s">
        <v>1561</v>
      </c>
    </row>
    <row r="1744" spans="1:28">
      <c r="A1744" s="233">
        <v>41379</v>
      </c>
      <c r="B1744" s="1" t="s">
        <v>1569</v>
      </c>
      <c r="C1744" s="1" t="s">
        <v>162</v>
      </c>
      <c r="D1744" s="1" t="s">
        <v>353</v>
      </c>
      <c r="E1744" s="1" t="s">
        <v>145</v>
      </c>
      <c r="F1744" s="1">
        <v>20</v>
      </c>
      <c r="G1744" s="1" t="s">
        <v>170</v>
      </c>
      <c r="H1744" s="234">
        <v>18.350000000000001</v>
      </c>
      <c r="I1744" s="235">
        <f t="shared" si="174"/>
        <v>367</v>
      </c>
      <c r="K1744" s="250">
        <f>17.25*20</f>
        <v>345</v>
      </c>
      <c r="L1744" s="237">
        <v>41411</v>
      </c>
      <c r="M1744" s="1" t="s">
        <v>166</v>
      </c>
      <c r="N1744" s="235">
        <f t="shared" si="175"/>
        <v>367</v>
      </c>
      <c r="O1744" s="235">
        <f t="shared" si="176"/>
        <v>0</v>
      </c>
      <c r="P1744" s="238" t="s">
        <v>6259</v>
      </c>
      <c r="Q1744" s="1" t="s">
        <v>6035</v>
      </c>
      <c r="R1744" s="239" t="s">
        <v>1570</v>
      </c>
      <c r="S1744" s="238">
        <v>13368068212</v>
      </c>
      <c r="T1744" s="238" t="s">
        <v>167</v>
      </c>
      <c r="U1744" s="238" t="s">
        <v>167</v>
      </c>
      <c r="V1744" s="238" t="s">
        <v>6540</v>
      </c>
      <c r="W1744" s="236">
        <v>33461.35</v>
      </c>
      <c r="X1744" s="233">
        <v>41390</v>
      </c>
      <c r="Y1744" s="238" t="s">
        <v>3866</v>
      </c>
      <c r="AB1744" s="5" t="s">
        <v>1561</v>
      </c>
    </row>
    <row r="1745" spans="1:28">
      <c r="A1745" s="233">
        <v>41379</v>
      </c>
      <c r="B1745" s="1" t="s">
        <v>1569</v>
      </c>
      <c r="C1745" s="1" t="s">
        <v>162</v>
      </c>
      <c r="D1745" s="1" t="s">
        <v>1218</v>
      </c>
      <c r="E1745" s="1">
        <v>6004</v>
      </c>
      <c r="F1745" s="1">
        <v>20</v>
      </c>
      <c r="G1745" s="1" t="s">
        <v>170</v>
      </c>
      <c r="H1745" s="234">
        <v>42.2</v>
      </c>
      <c r="I1745" s="235">
        <f t="shared" si="174"/>
        <v>844</v>
      </c>
      <c r="K1745" s="250">
        <f>37.9*20</f>
        <v>758</v>
      </c>
      <c r="L1745" s="237">
        <v>41411</v>
      </c>
      <c r="M1745" s="1" t="s">
        <v>166</v>
      </c>
      <c r="N1745" s="235">
        <f t="shared" si="175"/>
        <v>844</v>
      </c>
      <c r="O1745" s="235">
        <f t="shared" si="176"/>
        <v>0</v>
      </c>
      <c r="P1745" s="238" t="s">
        <v>6259</v>
      </c>
      <c r="Q1745" s="1" t="s">
        <v>6035</v>
      </c>
      <c r="R1745" s="239" t="s">
        <v>1570</v>
      </c>
      <c r="S1745" s="238">
        <v>13368068212</v>
      </c>
      <c r="T1745" s="238" t="s">
        <v>167</v>
      </c>
      <c r="U1745" s="238" t="s">
        <v>167</v>
      </c>
      <c r="V1745" s="238" t="s">
        <v>6540</v>
      </c>
      <c r="W1745" s="236">
        <v>33461.35</v>
      </c>
      <c r="X1745" s="233">
        <v>41390</v>
      </c>
      <c r="Y1745" s="238" t="s">
        <v>3866</v>
      </c>
      <c r="AB1745" s="5" t="s">
        <v>1561</v>
      </c>
    </row>
    <row r="1746" spans="1:28">
      <c r="A1746" s="233">
        <v>41379</v>
      </c>
      <c r="B1746" s="1" t="s">
        <v>1569</v>
      </c>
      <c r="C1746" s="1" t="s">
        <v>162</v>
      </c>
      <c r="D1746" s="1" t="s">
        <v>1220</v>
      </c>
      <c r="E1746" s="1">
        <v>6005</v>
      </c>
      <c r="F1746" s="1">
        <v>20</v>
      </c>
      <c r="G1746" s="1" t="s">
        <v>170</v>
      </c>
      <c r="H1746" s="234">
        <v>42.2</v>
      </c>
      <c r="I1746" s="235">
        <f t="shared" si="174"/>
        <v>844</v>
      </c>
      <c r="K1746" s="250">
        <f>37.9*20</f>
        <v>758</v>
      </c>
      <c r="L1746" s="237">
        <v>41411</v>
      </c>
      <c r="M1746" s="1" t="s">
        <v>166</v>
      </c>
      <c r="N1746" s="235">
        <f t="shared" si="175"/>
        <v>844</v>
      </c>
      <c r="O1746" s="235">
        <f t="shared" si="176"/>
        <v>0</v>
      </c>
      <c r="P1746" s="238" t="s">
        <v>6259</v>
      </c>
      <c r="Q1746" s="1" t="s">
        <v>6035</v>
      </c>
      <c r="R1746" s="239" t="s">
        <v>1570</v>
      </c>
      <c r="S1746" s="238">
        <v>13368068212</v>
      </c>
      <c r="T1746" s="238" t="s">
        <v>167</v>
      </c>
      <c r="U1746" s="238" t="s">
        <v>167</v>
      </c>
      <c r="V1746" s="238" t="s">
        <v>6540</v>
      </c>
      <c r="W1746" s="236">
        <v>33461.35</v>
      </c>
      <c r="X1746" s="233">
        <v>41390</v>
      </c>
      <c r="Y1746" s="238" t="s">
        <v>3866</v>
      </c>
      <c r="AB1746" s="5" t="s">
        <v>1561</v>
      </c>
    </row>
    <row r="1747" spans="1:28">
      <c r="A1747" s="233">
        <v>41379</v>
      </c>
      <c r="B1747" s="1" t="s">
        <v>1569</v>
      </c>
      <c r="C1747" s="1" t="s">
        <v>162</v>
      </c>
      <c r="D1747" s="1" t="s">
        <v>1867</v>
      </c>
      <c r="E1747" s="1">
        <v>6006</v>
      </c>
      <c r="F1747" s="1">
        <v>20</v>
      </c>
      <c r="G1747" s="1" t="s">
        <v>170</v>
      </c>
      <c r="H1747" s="234">
        <v>50.5</v>
      </c>
      <c r="I1747" s="235">
        <f t="shared" si="174"/>
        <v>1010</v>
      </c>
      <c r="K1747" s="250">
        <f>47.5*20</f>
        <v>950</v>
      </c>
      <c r="L1747" s="237">
        <v>41411</v>
      </c>
      <c r="M1747" s="1" t="s">
        <v>166</v>
      </c>
      <c r="N1747" s="235">
        <f t="shared" si="175"/>
        <v>1010</v>
      </c>
      <c r="O1747" s="235">
        <f t="shared" si="176"/>
        <v>0</v>
      </c>
      <c r="P1747" s="238" t="s">
        <v>6259</v>
      </c>
      <c r="Q1747" s="1" t="s">
        <v>6035</v>
      </c>
      <c r="R1747" s="239" t="s">
        <v>1570</v>
      </c>
      <c r="S1747" s="238">
        <v>13368068212</v>
      </c>
      <c r="T1747" s="238" t="s">
        <v>167</v>
      </c>
      <c r="U1747" s="238" t="s">
        <v>167</v>
      </c>
      <c r="V1747" s="238" t="s">
        <v>6540</v>
      </c>
      <c r="W1747" s="236">
        <v>33461.35</v>
      </c>
      <c r="X1747" s="233">
        <v>41390</v>
      </c>
      <c r="Y1747" s="238" t="s">
        <v>3866</v>
      </c>
      <c r="AB1747" s="5" t="s">
        <v>1561</v>
      </c>
    </row>
    <row r="1748" spans="1:28">
      <c r="A1748" s="233">
        <v>41379</v>
      </c>
      <c r="B1748" s="1" t="s">
        <v>1569</v>
      </c>
      <c r="C1748" s="1" t="s">
        <v>162</v>
      </c>
      <c r="D1748" s="1" t="s">
        <v>660</v>
      </c>
      <c r="E1748" s="1" t="s">
        <v>6053</v>
      </c>
      <c r="F1748" s="1">
        <v>10</v>
      </c>
      <c r="G1748" s="1" t="s">
        <v>170</v>
      </c>
      <c r="H1748" s="234">
        <v>133.94</v>
      </c>
      <c r="I1748" s="235">
        <f t="shared" si="174"/>
        <v>1339.4</v>
      </c>
      <c r="K1748" s="250">
        <f>115*10</f>
        <v>1150</v>
      </c>
      <c r="L1748" s="237">
        <v>41411</v>
      </c>
      <c r="M1748" s="1" t="s">
        <v>166</v>
      </c>
      <c r="N1748" s="235">
        <f t="shared" si="175"/>
        <v>1339.4</v>
      </c>
      <c r="O1748" s="235">
        <f t="shared" si="176"/>
        <v>0</v>
      </c>
      <c r="P1748" s="238" t="s">
        <v>6259</v>
      </c>
      <c r="Q1748" s="1" t="s">
        <v>6035</v>
      </c>
      <c r="R1748" s="239" t="s">
        <v>1570</v>
      </c>
      <c r="S1748" s="238">
        <v>13368068212</v>
      </c>
      <c r="T1748" s="238" t="s">
        <v>167</v>
      </c>
      <c r="U1748" s="238" t="s">
        <v>167</v>
      </c>
      <c r="V1748" s="238" t="s">
        <v>6540</v>
      </c>
      <c r="W1748" s="236">
        <v>33461.35</v>
      </c>
      <c r="X1748" s="233">
        <v>41390</v>
      </c>
      <c r="Y1748" s="238" t="s">
        <v>3866</v>
      </c>
      <c r="AB1748" s="5" t="s">
        <v>1561</v>
      </c>
    </row>
    <row r="1749" spans="1:28">
      <c r="A1749" s="233">
        <v>41379</v>
      </c>
      <c r="B1749" s="1" t="s">
        <v>1569</v>
      </c>
      <c r="C1749" s="1" t="s">
        <v>6055</v>
      </c>
      <c r="D1749" s="1" t="s">
        <v>6064</v>
      </c>
      <c r="E1749" s="1" t="s">
        <v>6054</v>
      </c>
      <c r="F1749" s="1">
        <v>4</v>
      </c>
      <c r="G1749" s="1" t="s">
        <v>6056</v>
      </c>
      <c r="H1749" s="234">
        <v>68</v>
      </c>
      <c r="I1749" s="235">
        <f t="shared" si="174"/>
        <v>272</v>
      </c>
      <c r="K1749" s="250">
        <f>58*4</f>
        <v>232</v>
      </c>
      <c r="L1749" s="237">
        <v>41411</v>
      </c>
      <c r="M1749" s="1" t="s">
        <v>166</v>
      </c>
      <c r="N1749" s="235">
        <f t="shared" si="175"/>
        <v>272</v>
      </c>
      <c r="O1749" s="235">
        <f t="shared" si="176"/>
        <v>0</v>
      </c>
      <c r="P1749" s="238" t="s">
        <v>6259</v>
      </c>
      <c r="Q1749" s="1" t="s">
        <v>6035</v>
      </c>
      <c r="R1749" s="239" t="s">
        <v>1570</v>
      </c>
      <c r="S1749" s="238">
        <v>13368068212</v>
      </c>
      <c r="T1749" s="238" t="s">
        <v>167</v>
      </c>
      <c r="U1749" s="238" t="s">
        <v>167</v>
      </c>
      <c r="V1749" s="238" t="s">
        <v>6540</v>
      </c>
      <c r="W1749" s="236">
        <v>33461.35</v>
      </c>
      <c r="X1749" s="233">
        <v>41390</v>
      </c>
      <c r="Y1749" s="238" t="s">
        <v>3866</v>
      </c>
      <c r="AB1749" s="5" t="s">
        <v>1561</v>
      </c>
    </row>
    <row r="1750" spans="1:28">
      <c r="A1750" s="233">
        <v>41379</v>
      </c>
      <c r="B1750" s="1" t="s">
        <v>1569</v>
      </c>
      <c r="C1750" s="1" t="s">
        <v>6055</v>
      </c>
      <c r="D1750" s="1" t="s">
        <v>6065</v>
      </c>
      <c r="E1750" s="1">
        <v>91115802</v>
      </c>
      <c r="F1750" s="1">
        <v>4</v>
      </c>
      <c r="G1750" s="1" t="s">
        <v>6056</v>
      </c>
      <c r="H1750" s="234">
        <v>100</v>
      </c>
      <c r="I1750" s="235">
        <f t="shared" si="174"/>
        <v>400</v>
      </c>
      <c r="K1750" s="250">
        <f>90*4</f>
        <v>360</v>
      </c>
      <c r="L1750" s="237">
        <v>41411</v>
      </c>
      <c r="M1750" s="1" t="s">
        <v>166</v>
      </c>
      <c r="N1750" s="235">
        <f t="shared" si="175"/>
        <v>400</v>
      </c>
      <c r="O1750" s="235">
        <f t="shared" si="176"/>
        <v>0</v>
      </c>
      <c r="P1750" s="238" t="s">
        <v>6259</v>
      </c>
      <c r="Q1750" s="1" t="s">
        <v>6035</v>
      </c>
      <c r="R1750" s="239" t="s">
        <v>1570</v>
      </c>
      <c r="S1750" s="238">
        <v>13368068212</v>
      </c>
      <c r="T1750" s="238" t="s">
        <v>167</v>
      </c>
      <c r="U1750" s="238" t="s">
        <v>167</v>
      </c>
      <c r="V1750" s="238" t="s">
        <v>6540</v>
      </c>
      <c r="W1750" s="236">
        <v>33461.35</v>
      </c>
      <c r="X1750" s="233">
        <v>41390</v>
      </c>
      <c r="Y1750" s="238" t="s">
        <v>3866</v>
      </c>
      <c r="AB1750" s="5" t="s">
        <v>1561</v>
      </c>
    </row>
    <row r="1751" spans="1:28">
      <c r="A1751" s="233">
        <v>41379</v>
      </c>
      <c r="B1751" s="1" t="s">
        <v>1569</v>
      </c>
      <c r="C1751" s="1" t="s">
        <v>162</v>
      </c>
      <c r="D1751" s="1" t="s">
        <v>353</v>
      </c>
      <c r="E1751" s="1" t="s">
        <v>926</v>
      </c>
      <c r="F1751" s="1">
        <v>3</v>
      </c>
      <c r="G1751" s="1" t="s">
        <v>170</v>
      </c>
      <c r="H1751" s="234">
        <v>12.93</v>
      </c>
      <c r="I1751" s="235">
        <f t="shared" si="174"/>
        <v>38.79</v>
      </c>
      <c r="K1751" s="250">
        <f>10.94*3</f>
        <v>32.82</v>
      </c>
      <c r="L1751" s="237">
        <v>41411</v>
      </c>
      <c r="M1751" s="1" t="s">
        <v>166</v>
      </c>
      <c r="N1751" s="235">
        <f t="shared" si="175"/>
        <v>38.79</v>
      </c>
      <c r="O1751" s="235">
        <f>I1751-N1751</f>
        <v>0</v>
      </c>
      <c r="P1751" s="238" t="s">
        <v>6259</v>
      </c>
      <c r="Q1751" s="1" t="s">
        <v>1562</v>
      </c>
      <c r="R1751" s="239" t="s">
        <v>1570</v>
      </c>
      <c r="S1751" s="238">
        <v>13368068212</v>
      </c>
      <c r="T1751" s="238" t="s">
        <v>167</v>
      </c>
      <c r="U1751" s="238" t="s">
        <v>167</v>
      </c>
      <c r="V1751" s="238" t="s">
        <v>6540</v>
      </c>
      <c r="W1751" s="236">
        <v>33461.35</v>
      </c>
      <c r="X1751" s="233">
        <v>41390</v>
      </c>
      <c r="Y1751" s="238" t="s">
        <v>3866</v>
      </c>
      <c r="AB1751" s="5" t="s">
        <v>1561</v>
      </c>
    </row>
    <row r="1752" spans="1:28">
      <c r="A1752" s="233">
        <v>41379</v>
      </c>
      <c r="B1752" s="1" t="s">
        <v>5079</v>
      </c>
      <c r="C1752" s="1" t="s">
        <v>162</v>
      </c>
      <c r="D1752" s="1" t="s">
        <v>353</v>
      </c>
      <c r="E1752" s="1" t="s">
        <v>145</v>
      </c>
      <c r="F1752" s="1">
        <v>20</v>
      </c>
      <c r="G1752" s="1" t="s">
        <v>6221</v>
      </c>
      <c r="H1752" s="234">
        <v>18</v>
      </c>
      <c r="I1752" s="235">
        <f t="shared" si="174"/>
        <v>360</v>
      </c>
      <c r="K1752" s="250">
        <f>17.25*20</f>
        <v>345</v>
      </c>
      <c r="N1752" s="235">
        <v>0</v>
      </c>
      <c r="O1752" s="235">
        <f>I1752-N1752</f>
        <v>360</v>
      </c>
      <c r="P1752" s="238" t="s">
        <v>6222</v>
      </c>
      <c r="Q1752" s="1" t="s">
        <v>391</v>
      </c>
      <c r="R1752" s="265" t="s">
        <v>5140</v>
      </c>
      <c r="S1752" s="265">
        <v>13883590995</v>
      </c>
      <c r="T1752" s="265" t="s">
        <v>5141</v>
      </c>
      <c r="U1752" s="238" t="s">
        <v>167</v>
      </c>
      <c r="V1752" s="238" t="s">
        <v>6899</v>
      </c>
      <c r="W1752" s="236">
        <v>8443</v>
      </c>
      <c r="X1752" s="233">
        <v>41410</v>
      </c>
      <c r="Y1752" s="238" t="s">
        <v>167</v>
      </c>
      <c r="AB1752" s="1" t="s">
        <v>1561</v>
      </c>
    </row>
    <row r="1753" spans="1:28">
      <c r="A1753" s="233">
        <v>41380</v>
      </c>
      <c r="B1753" s="228" t="s">
        <v>1488</v>
      </c>
      <c r="C1753" s="1" t="s">
        <v>162</v>
      </c>
      <c r="D1753" s="1" t="s">
        <v>1899</v>
      </c>
      <c r="E1753" s="1">
        <v>3100</v>
      </c>
      <c r="F1753" s="1">
        <v>60</v>
      </c>
      <c r="G1753" s="1" t="s">
        <v>229</v>
      </c>
      <c r="H1753" s="234">
        <v>32.65</v>
      </c>
      <c r="I1753" s="235">
        <f t="shared" si="174"/>
        <v>1959</v>
      </c>
      <c r="K1753" s="250">
        <f>31.2*60</f>
        <v>1872</v>
      </c>
      <c r="L1753" s="237">
        <v>41375</v>
      </c>
      <c r="M1753" s="1" t="s">
        <v>166</v>
      </c>
      <c r="N1753" s="235">
        <f>I1753</f>
        <v>1959</v>
      </c>
      <c r="O1753" s="235">
        <f>I1753-N1753</f>
        <v>0</v>
      </c>
      <c r="P1753" s="238" t="s">
        <v>6068</v>
      </c>
      <c r="Q1753" s="1" t="s">
        <v>2272</v>
      </c>
      <c r="R1753" s="239" t="s">
        <v>4326</v>
      </c>
      <c r="S1753" s="238" t="s">
        <v>4327</v>
      </c>
      <c r="T1753" s="238" t="s">
        <v>1471</v>
      </c>
      <c r="U1753" s="238" t="s">
        <v>6272</v>
      </c>
      <c r="V1753" s="238" t="s">
        <v>6164</v>
      </c>
      <c r="W1753" s="236">
        <v>16862.8</v>
      </c>
      <c r="X1753" s="233">
        <v>41376</v>
      </c>
      <c r="Y1753" s="238" t="s">
        <v>6165</v>
      </c>
      <c r="AB1753" s="1" t="s">
        <v>1561</v>
      </c>
    </row>
    <row r="1754" spans="1:28">
      <c r="A1754" s="233">
        <v>41380</v>
      </c>
      <c r="B1754" s="1" t="s">
        <v>5254</v>
      </c>
      <c r="C1754" s="1" t="s">
        <v>7</v>
      </c>
      <c r="D1754" s="369" t="s">
        <v>4977</v>
      </c>
      <c r="E1754" s="1" t="s">
        <v>4974</v>
      </c>
      <c r="F1754" s="1">
        <v>1000</v>
      </c>
      <c r="G1754" s="1" t="s">
        <v>172</v>
      </c>
      <c r="H1754" s="234">
        <v>1.42</v>
      </c>
      <c r="I1754" s="235">
        <f t="shared" si="174"/>
        <v>1420</v>
      </c>
      <c r="K1754" s="250">
        <f>1.32*1000</f>
        <v>1320</v>
      </c>
      <c r="L1754" s="237">
        <v>41389</v>
      </c>
      <c r="M1754" s="1" t="s">
        <v>166</v>
      </c>
      <c r="N1754" s="235">
        <f t="shared" ref="N1754" si="177">I1754</f>
        <v>1420</v>
      </c>
      <c r="O1754" s="235">
        <f>I1754-N1754</f>
        <v>0</v>
      </c>
      <c r="P1754" s="238" t="s">
        <v>167</v>
      </c>
      <c r="Q1754" s="1" t="s">
        <v>2272</v>
      </c>
      <c r="R1754" s="239" t="s">
        <v>6095</v>
      </c>
      <c r="S1754" s="238" t="s">
        <v>6096</v>
      </c>
      <c r="T1754" s="238" t="s">
        <v>5255</v>
      </c>
      <c r="U1754" s="238" t="s">
        <v>6273</v>
      </c>
      <c r="V1754" s="238" t="s">
        <v>6903</v>
      </c>
      <c r="W1754" s="236">
        <v>11090</v>
      </c>
      <c r="X1754" s="233">
        <v>41411</v>
      </c>
      <c r="Y1754" s="238" t="s">
        <v>6904</v>
      </c>
      <c r="AB1754" s="1" t="s">
        <v>1561</v>
      </c>
    </row>
    <row r="1755" spans="1:28">
      <c r="A1755" s="233">
        <v>41380</v>
      </c>
      <c r="B1755" s="1" t="s">
        <v>2111</v>
      </c>
      <c r="C1755" s="1" t="s">
        <v>162</v>
      </c>
      <c r="D1755" s="391" t="s">
        <v>5047</v>
      </c>
      <c r="E1755" s="1">
        <v>8210</v>
      </c>
      <c r="F1755" s="1">
        <v>160</v>
      </c>
      <c r="G1755" s="1" t="s">
        <v>6108</v>
      </c>
      <c r="H1755" s="234">
        <v>4.32</v>
      </c>
      <c r="I1755" s="235">
        <f t="shared" si="174"/>
        <v>691.2</v>
      </c>
      <c r="K1755" s="250">
        <f>3.78*160</f>
        <v>604.79999999999995</v>
      </c>
      <c r="L1755" s="237">
        <v>41250</v>
      </c>
      <c r="M1755" s="1" t="s">
        <v>165</v>
      </c>
      <c r="N1755" s="235">
        <f t="shared" ref="N1755:N1771" si="178">I1755</f>
        <v>691.2</v>
      </c>
      <c r="O1755" s="235">
        <f t="shared" si="176"/>
        <v>0</v>
      </c>
      <c r="P1755" s="238" t="s">
        <v>6109</v>
      </c>
      <c r="Q1755" s="1" t="s">
        <v>6265</v>
      </c>
      <c r="R1755" s="239" t="s">
        <v>414</v>
      </c>
      <c r="S1755" s="238" t="s">
        <v>415</v>
      </c>
      <c r="T1755" s="238" t="s">
        <v>3788</v>
      </c>
      <c r="U1755" s="238" t="s">
        <v>6266</v>
      </c>
      <c r="V1755" s="246" t="s">
        <v>175</v>
      </c>
      <c r="AB1755" s="1" t="s">
        <v>1561</v>
      </c>
    </row>
    <row r="1756" spans="1:28">
      <c r="A1756" s="233">
        <v>41380</v>
      </c>
      <c r="B1756" s="1" t="s">
        <v>2111</v>
      </c>
      <c r="C1756" s="1" t="s">
        <v>162</v>
      </c>
      <c r="D1756" s="1" t="s">
        <v>2023</v>
      </c>
      <c r="E1756" s="1" t="s">
        <v>6105</v>
      </c>
      <c r="F1756" s="1">
        <v>50</v>
      </c>
      <c r="G1756" s="1" t="s">
        <v>6108</v>
      </c>
      <c r="H1756" s="234">
        <v>4.5</v>
      </c>
      <c r="I1756" s="235">
        <f t="shared" si="174"/>
        <v>225</v>
      </c>
      <c r="K1756" s="250">
        <f>3.69*50</f>
        <v>184.5</v>
      </c>
      <c r="L1756" s="237">
        <v>41250</v>
      </c>
      <c r="M1756" s="1" t="s">
        <v>165</v>
      </c>
      <c r="N1756" s="235">
        <f t="shared" si="178"/>
        <v>225</v>
      </c>
      <c r="O1756" s="235">
        <f t="shared" si="176"/>
        <v>0</v>
      </c>
      <c r="P1756" s="238" t="s">
        <v>6109</v>
      </c>
      <c r="Q1756" s="1" t="s">
        <v>6265</v>
      </c>
      <c r="R1756" s="239" t="s">
        <v>414</v>
      </c>
      <c r="S1756" s="238" t="s">
        <v>415</v>
      </c>
      <c r="T1756" s="238" t="s">
        <v>3788</v>
      </c>
      <c r="U1756" s="238" t="s">
        <v>6266</v>
      </c>
      <c r="V1756" s="246" t="s">
        <v>175</v>
      </c>
      <c r="AB1756" s="1" t="s">
        <v>1561</v>
      </c>
    </row>
    <row r="1757" spans="1:28">
      <c r="A1757" s="233">
        <v>41380</v>
      </c>
      <c r="B1757" s="1" t="s">
        <v>5246</v>
      </c>
      <c r="C1757" s="5" t="s">
        <v>162</v>
      </c>
      <c r="D1757" s="5" t="s">
        <v>983</v>
      </c>
      <c r="E1757" s="1">
        <v>6800</v>
      </c>
      <c r="F1757" s="1">
        <v>4</v>
      </c>
      <c r="G1757" s="1" t="s">
        <v>6152</v>
      </c>
      <c r="H1757" s="234">
        <v>460</v>
      </c>
      <c r="I1757" s="235">
        <f t="shared" si="174"/>
        <v>1840</v>
      </c>
      <c r="K1757" s="250">
        <f>420*4</f>
        <v>1680</v>
      </c>
      <c r="L1757" s="237">
        <v>41375</v>
      </c>
      <c r="M1757" s="1" t="s">
        <v>166</v>
      </c>
      <c r="N1757" s="235">
        <f t="shared" si="178"/>
        <v>1840</v>
      </c>
      <c r="O1757" s="235">
        <f t="shared" ref="O1757:O1766" si="179">I1757-N1757</f>
        <v>0</v>
      </c>
      <c r="P1757" s="238" t="s">
        <v>6264</v>
      </c>
      <c r="Q1757" s="1" t="s">
        <v>3664</v>
      </c>
      <c r="R1757" s="239" t="s">
        <v>6153</v>
      </c>
      <c r="S1757" s="238" t="s">
        <v>6155</v>
      </c>
      <c r="T1757" s="238" t="s">
        <v>6154</v>
      </c>
      <c r="U1757" s="238" t="s">
        <v>6271</v>
      </c>
      <c r="V1757" s="238" t="s">
        <v>6562</v>
      </c>
      <c r="W1757" s="236">
        <v>9040</v>
      </c>
      <c r="X1757" s="233">
        <v>41391</v>
      </c>
      <c r="Y1757" s="238" t="s">
        <v>6563</v>
      </c>
      <c r="AB1757" s="1" t="s">
        <v>1561</v>
      </c>
    </row>
    <row r="1758" spans="1:28">
      <c r="A1758" s="233">
        <v>41380</v>
      </c>
      <c r="B1758" s="1" t="s">
        <v>6168</v>
      </c>
      <c r="C1758" s="1" t="s">
        <v>162</v>
      </c>
      <c r="D1758" s="391" t="s">
        <v>5047</v>
      </c>
      <c r="E1758" s="1">
        <v>8210</v>
      </c>
      <c r="F1758" s="1">
        <v>500</v>
      </c>
      <c r="G1758" s="1" t="s">
        <v>170</v>
      </c>
      <c r="H1758" s="234">
        <v>4.32</v>
      </c>
      <c r="I1758" s="235">
        <f t="shared" si="174"/>
        <v>2160</v>
      </c>
      <c r="K1758" s="250">
        <f>3.78*500</f>
        <v>1890</v>
      </c>
      <c r="L1758" s="237">
        <v>41376</v>
      </c>
      <c r="M1758" s="1" t="s">
        <v>165</v>
      </c>
      <c r="N1758" s="1">
        <f t="shared" si="178"/>
        <v>2160</v>
      </c>
      <c r="O1758" s="236">
        <f t="shared" si="179"/>
        <v>0</v>
      </c>
      <c r="P1758" s="238" t="s">
        <v>6267</v>
      </c>
      <c r="Q1758" s="1" t="s">
        <v>2272</v>
      </c>
      <c r="R1758" s="239" t="s">
        <v>6173</v>
      </c>
      <c r="S1758" s="238" t="s">
        <v>6174</v>
      </c>
      <c r="T1758" s="238" t="s">
        <v>6187</v>
      </c>
      <c r="U1758" s="238" t="s">
        <v>6268</v>
      </c>
      <c r="AB1758" s="1" t="s">
        <v>1561</v>
      </c>
    </row>
    <row r="1759" spans="1:28">
      <c r="A1759" s="233">
        <v>41380</v>
      </c>
      <c r="B1759" s="1" t="s">
        <v>6168</v>
      </c>
      <c r="C1759" s="1" t="s">
        <v>162</v>
      </c>
      <c r="D1759" s="5" t="s">
        <v>6218</v>
      </c>
      <c r="E1759" s="1" t="s">
        <v>6169</v>
      </c>
      <c r="F1759" s="1">
        <v>35</v>
      </c>
      <c r="G1759" s="1" t="s">
        <v>174</v>
      </c>
      <c r="H1759" s="234">
        <v>28.4</v>
      </c>
      <c r="I1759" s="235">
        <f t="shared" si="174"/>
        <v>994</v>
      </c>
      <c r="K1759" s="250">
        <f>23.2*35</f>
        <v>812</v>
      </c>
      <c r="L1759" s="237">
        <v>41376</v>
      </c>
      <c r="M1759" s="1" t="s">
        <v>165</v>
      </c>
      <c r="N1759" s="1">
        <f t="shared" si="178"/>
        <v>994</v>
      </c>
      <c r="O1759" s="236">
        <f t="shared" si="179"/>
        <v>0</v>
      </c>
      <c r="P1759" s="238" t="s">
        <v>6267</v>
      </c>
      <c r="Q1759" s="1" t="s">
        <v>2272</v>
      </c>
      <c r="R1759" s="239" t="s">
        <v>6173</v>
      </c>
      <c r="S1759" s="238" t="s">
        <v>6174</v>
      </c>
      <c r="T1759" s="238" t="s">
        <v>6175</v>
      </c>
      <c r="U1759" s="238" t="s">
        <v>6268</v>
      </c>
      <c r="AB1759" s="1" t="s">
        <v>1561</v>
      </c>
    </row>
    <row r="1760" spans="1:28">
      <c r="A1760" s="233">
        <v>41380</v>
      </c>
      <c r="B1760" s="1" t="s">
        <v>6168</v>
      </c>
      <c r="C1760" s="1" t="s">
        <v>162</v>
      </c>
      <c r="D1760" s="5" t="s">
        <v>6301</v>
      </c>
      <c r="E1760" s="1">
        <v>4620</v>
      </c>
      <c r="F1760" s="1">
        <v>43</v>
      </c>
      <c r="G1760" s="1" t="s">
        <v>174</v>
      </c>
      <c r="H1760" s="234">
        <v>18.7</v>
      </c>
      <c r="I1760" s="235">
        <f t="shared" si="174"/>
        <v>804.1</v>
      </c>
      <c r="K1760" s="250">
        <f>17.79*43</f>
        <v>764.96999999999991</v>
      </c>
      <c r="L1760" s="237">
        <v>41376</v>
      </c>
      <c r="M1760" s="1" t="s">
        <v>165</v>
      </c>
      <c r="N1760" s="1">
        <f t="shared" si="178"/>
        <v>804.1</v>
      </c>
      <c r="O1760" s="236">
        <f t="shared" si="179"/>
        <v>0</v>
      </c>
      <c r="P1760" s="238" t="s">
        <v>6267</v>
      </c>
      <c r="Q1760" s="1" t="s">
        <v>2272</v>
      </c>
      <c r="R1760" s="239" t="s">
        <v>6173</v>
      </c>
      <c r="S1760" s="238" t="s">
        <v>6174</v>
      </c>
      <c r="T1760" s="238" t="s">
        <v>6175</v>
      </c>
      <c r="U1760" s="238" t="s">
        <v>6268</v>
      </c>
      <c r="AB1760" s="1" t="s">
        <v>1561</v>
      </c>
    </row>
    <row r="1761" spans="1:28">
      <c r="A1761" s="233">
        <v>41380</v>
      </c>
      <c r="B1761" s="1" t="s">
        <v>6168</v>
      </c>
      <c r="C1761" s="1" t="s">
        <v>162</v>
      </c>
      <c r="D1761" s="372" t="s">
        <v>6245</v>
      </c>
      <c r="E1761" s="372" t="s">
        <v>6246</v>
      </c>
      <c r="F1761" s="1">
        <v>2</v>
      </c>
      <c r="G1761" s="1" t="s">
        <v>170</v>
      </c>
      <c r="H1761" s="234">
        <v>95</v>
      </c>
      <c r="I1761" s="235">
        <f t="shared" si="174"/>
        <v>190</v>
      </c>
      <c r="K1761" s="250">
        <f>87*2</f>
        <v>174</v>
      </c>
      <c r="L1761" s="237">
        <v>41376</v>
      </c>
      <c r="M1761" s="1" t="s">
        <v>165</v>
      </c>
      <c r="N1761" s="1">
        <f t="shared" si="178"/>
        <v>190</v>
      </c>
      <c r="O1761" s="236">
        <f t="shared" si="179"/>
        <v>0</v>
      </c>
      <c r="P1761" s="238" t="s">
        <v>6267</v>
      </c>
      <c r="Q1761" s="1" t="s">
        <v>2272</v>
      </c>
      <c r="R1761" s="239" t="s">
        <v>6173</v>
      </c>
      <c r="S1761" s="238" t="s">
        <v>6174</v>
      </c>
      <c r="T1761" s="238" t="s">
        <v>6175</v>
      </c>
      <c r="U1761" s="238" t="s">
        <v>6268</v>
      </c>
      <c r="AB1761" s="1" t="s">
        <v>1561</v>
      </c>
    </row>
    <row r="1762" spans="1:28">
      <c r="A1762" s="233">
        <v>41380</v>
      </c>
      <c r="B1762" s="1" t="s">
        <v>6194</v>
      </c>
      <c r="C1762" s="1" t="s">
        <v>162</v>
      </c>
      <c r="D1762" s="368" t="s">
        <v>593</v>
      </c>
      <c r="E1762" s="1">
        <v>3200</v>
      </c>
      <c r="F1762" s="1">
        <v>20</v>
      </c>
      <c r="G1762" s="1" t="s">
        <v>170</v>
      </c>
      <c r="H1762" s="234">
        <v>32</v>
      </c>
      <c r="I1762" s="235">
        <f t="shared" si="174"/>
        <v>640</v>
      </c>
      <c r="K1762" s="250">
        <f>27.4*20</f>
        <v>548</v>
      </c>
      <c r="L1762" s="237">
        <v>41376</v>
      </c>
      <c r="M1762" s="1" t="s">
        <v>165</v>
      </c>
      <c r="N1762" s="1">
        <f t="shared" si="178"/>
        <v>640</v>
      </c>
      <c r="O1762" s="236">
        <f t="shared" si="179"/>
        <v>0</v>
      </c>
      <c r="P1762" s="238" t="s">
        <v>6264</v>
      </c>
      <c r="Q1762" s="1" t="s">
        <v>6274</v>
      </c>
      <c r="R1762" s="239" t="s">
        <v>6195</v>
      </c>
      <c r="S1762" s="238" t="s">
        <v>6196</v>
      </c>
      <c r="T1762" s="238" t="s">
        <v>6197</v>
      </c>
      <c r="U1762" s="238" t="s">
        <v>6275</v>
      </c>
      <c r="AB1762" s="1" t="s">
        <v>6176</v>
      </c>
    </row>
    <row r="1763" spans="1:28">
      <c r="A1763" s="233">
        <v>41380</v>
      </c>
      <c r="B1763" s="1" t="s">
        <v>6159</v>
      </c>
      <c r="C1763" s="1" t="s">
        <v>162</v>
      </c>
      <c r="D1763" s="5" t="s">
        <v>346</v>
      </c>
      <c r="E1763" s="1">
        <v>3700</v>
      </c>
      <c r="F1763" s="1">
        <v>10</v>
      </c>
      <c r="G1763" s="1" t="s">
        <v>170</v>
      </c>
      <c r="H1763" s="234">
        <v>4.21</v>
      </c>
      <c r="I1763" s="235">
        <f t="shared" si="174"/>
        <v>42.1</v>
      </c>
      <c r="K1763" s="250">
        <f>3.65*10</f>
        <v>36.5</v>
      </c>
      <c r="L1763" s="237">
        <v>41376</v>
      </c>
      <c r="M1763" s="1" t="s">
        <v>165</v>
      </c>
      <c r="N1763" s="1">
        <f t="shared" si="178"/>
        <v>42.1</v>
      </c>
      <c r="O1763" s="236">
        <f t="shared" si="179"/>
        <v>0</v>
      </c>
      <c r="P1763" s="238" t="s">
        <v>6264</v>
      </c>
      <c r="Q1763" s="1" t="s">
        <v>6274</v>
      </c>
      <c r="R1763" s="239" t="s">
        <v>6195</v>
      </c>
      <c r="S1763" s="238" t="s">
        <v>6196</v>
      </c>
      <c r="T1763" s="238" t="s">
        <v>6197</v>
      </c>
      <c r="U1763" s="238" t="s">
        <v>6275</v>
      </c>
      <c r="AB1763" s="1" t="s">
        <v>6176</v>
      </c>
    </row>
    <row r="1764" spans="1:28">
      <c r="A1764" s="233">
        <v>41380</v>
      </c>
      <c r="B1764" s="1" t="s">
        <v>6170</v>
      </c>
      <c r="C1764" s="1" t="s">
        <v>162</v>
      </c>
      <c r="D1764" s="5" t="s">
        <v>182</v>
      </c>
      <c r="E1764" s="1" t="s">
        <v>186</v>
      </c>
      <c r="F1764" s="1">
        <v>50</v>
      </c>
      <c r="G1764" s="1" t="s">
        <v>171</v>
      </c>
      <c r="H1764" s="234">
        <v>1.79</v>
      </c>
      <c r="I1764" s="235">
        <f t="shared" si="174"/>
        <v>89.5</v>
      </c>
      <c r="K1764" s="250">
        <f>1.54*50</f>
        <v>77</v>
      </c>
      <c r="L1764" s="237">
        <v>41376</v>
      </c>
      <c r="M1764" s="1" t="s">
        <v>165</v>
      </c>
      <c r="N1764" s="1">
        <f t="shared" si="178"/>
        <v>89.5</v>
      </c>
      <c r="O1764" s="236">
        <f t="shared" si="179"/>
        <v>0</v>
      </c>
      <c r="P1764" s="238" t="s">
        <v>6264</v>
      </c>
      <c r="Q1764" s="1" t="s">
        <v>6274</v>
      </c>
      <c r="R1764" s="239" t="s">
        <v>6195</v>
      </c>
      <c r="S1764" s="238" t="s">
        <v>6196</v>
      </c>
      <c r="T1764" s="238" t="s">
        <v>6197</v>
      </c>
      <c r="U1764" s="238" t="s">
        <v>6275</v>
      </c>
      <c r="AB1764" s="1" t="s">
        <v>6176</v>
      </c>
    </row>
    <row r="1765" spans="1:28">
      <c r="A1765" s="233">
        <v>41380</v>
      </c>
      <c r="B1765" s="1" t="s">
        <v>955</v>
      </c>
      <c r="C1765" s="276" t="s">
        <v>678</v>
      </c>
      <c r="D1765" s="1" t="s">
        <v>1213</v>
      </c>
      <c r="E1765" s="5" t="s">
        <v>127</v>
      </c>
      <c r="F1765" s="1">
        <v>50</v>
      </c>
      <c r="G1765" s="1" t="s">
        <v>6215</v>
      </c>
      <c r="H1765" s="234">
        <v>21</v>
      </c>
      <c r="I1765" s="235">
        <f t="shared" ref="I1765:I1770" si="180">F1765*H1765</f>
        <v>1050</v>
      </c>
      <c r="K1765" s="250">
        <f>12.3*50</f>
        <v>615</v>
      </c>
      <c r="L1765" s="237">
        <v>41380</v>
      </c>
      <c r="M1765" s="1" t="s">
        <v>6262</v>
      </c>
      <c r="N1765" s="1">
        <f t="shared" si="178"/>
        <v>1050</v>
      </c>
      <c r="O1765" s="236">
        <f t="shared" si="179"/>
        <v>0</v>
      </c>
      <c r="P1765" s="238" t="s">
        <v>6220</v>
      </c>
      <c r="Q1765" s="1" t="s">
        <v>726</v>
      </c>
      <c r="R1765" s="239" t="s">
        <v>3565</v>
      </c>
      <c r="S1765" s="238" t="s">
        <v>957</v>
      </c>
      <c r="T1765" s="238" t="s">
        <v>958</v>
      </c>
      <c r="U1765" s="238" t="s">
        <v>6280</v>
      </c>
      <c r="AB1765" s="1" t="s">
        <v>1561</v>
      </c>
    </row>
    <row r="1766" spans="1:28">
      <c r="A1766" s="233">
        <v>41380</v>
      </c>
      <c r="B1766" s="1" t="s">
        <v>6248</v>
      </c>
      <c r="C1766" s="5" t="s">
        <v>833</v>
      </c>
      <c r="D1766" s="391" t="s">
        <v>5047</v>
      </c>
      <c r="E1766" s="1">
        <v>8210</v>
      </c>
      <c r="F1766" s="1">
        <v>400</v>
      </c>
      <c r="G1766" s="1" t="s">
        <v>170</v>
      </c>
      <c r="H1766" s="234">
        <v>6.9</v>
      </c>
      <c r="I1766" s="235">
        <f t="shared" si="180"/>
        <v>2760</v>
      </c>
      <c r="K1766" s="250">
        <f>3.78*400</f>
        <v>1512</v>
      </c>
      <c r="L1766" s="237">
        <v>41380</v>
      </c>
      <c r="M1766" s="1" t="s">
        <v>6262</v>
      </c>
      <c r="N1766" s="1">
        <f t="shared" si="178"/>
        <v>2760</v>
      </c>
      <c r="O1766" s="236">
        <f t="shared" si="179"/>
        <v>0</v>
      </c>
      <c r="P1766" s="238" t="s">
        <v>6220</v>
      </c>
      <c r="Q1766" s="1" t="s">
        <v>726</v>
      </c>
      <c r="R1766" s="239" t="s">
        <v>3565</v>
      </c>
      <c r="S1766" s="238" t="s">
        <v>957</v>
      </c>
      <c r="T1766" s="238" t="s">
        <v>958</v>
      </c>
      <c r="U1766" s="238" t="s">
        <v>6280</v>
      </c>
      <c r="AB1766" s="1" t="s">
        <v>1561</v>
      </c>
    </row>
    <row r="1767" spans="1:28">
      <c r="A1767" s="233">
        <v>41380</v>
      </c>
      <c r="B1767" s="1" t="s">
        <v>6224</v>
      </c>
      <c r="C1767" s="1" t="s">
        <v>162</v>
      </c>
      <c r="D1767" s="5" t="s">
        <v>182</v>
      </c>
      <c r="E1767" s="1" t="s">
        <v>186</v>
      </c>
      <c r="F1767" s="1">
        <v>2560</v>
      </c>
      <c r="G1767" s="1" t="s">
        <v>6225</v>
      </c>
      <c r="H1767" s="234">
        <v>1.72</v>
      </c>
      <c r="I1767" s="235">
        <f t="shared" si="180"/>
        <v>4403.2</v>
      </c>
      <c r="K1767" s="250">
        <f>1.54*2560</f>
        <v>3942.4</v>
      </c>
      <c r="L1767" s="237">
        <v>41379</v>
      </c>
      <c r="M1767" s="1" t="s">
        <v>165</v>
      </c>
      <c r="N1767" s="236">
        <f t="shared" si="178"/>
        <v>4403.2</v>
      </c>
      <c r="O1767" s="235">
        <v>0</v>
      </c>
      <c r="P1767" s="238" t="s">
        <v>6269</v>
      </c>
      <c r="Q1767" s="1" t="s">
        <v>3664</v>
      </c>
      <c r="R1767" s="239" t="s">
        <v>6228</v>
      </c>
      <c r="S1767" s="238" t="s">
        <v>6227</v>
      </c>
      <c r="T1767" s="238" t="s">
        <v>6229</v>
      </c>
      <c r="U1767" s="238" t="s">
        <v>6270</v>
      </c>
      <c r="V1767" s="238" t="s">
        <v>6894</v>
      </c>
      <c r="W1767" s="236">
        <v>10385.75</v>
      </c>
      <c r="X1767" s="233">
        <v>41410</v>
      </c>
      <c r="Y1767" s="238" t="s">
        <v>6895</v>
      </c>
      <c r="AB1767" s="1" t="s">
        <v>1561</v>
      </c>
    </row>
    <row r="1768" spans="1:28">
      <c r="A1768" s="233">
        <v>41380</v>
      </c>
      <c r="B1768" s="1" t="s">
        <v>6224</v>
      </c>
      <c r="C1768" s="1" t="s">
        <v>162</v>
      </c>
      <c r="D1768" s="1" t="s">
        <v>353</v>
      </c>
      <c r="E1768" s="1" t="s">
        <v>6243</v>
      </c>
      <c r="F1768" s="1">
        <v>15</v>
      </c>
      <c r="G1768" s="1" t="s">
        <v>170</v>
      </c>
      <c r="H1768" s="234">
        <v>14.92</v>
      </c>
      <c r="I1768" s="235">
        <f t="shared" si="180"/>
        <v>223.8</v>
      </c>
      <c r="K1768" s="250">
        <f>10.94*15</f>
        <v>164.1</v>
      </c>
      <c r="L1768" s="237">
        <v>41382</v>
      </c>
      <c r="M1768" s="1" t="s">
        <v>165</v>
      </c>
      <c r="N1768" s="236">
        <f t="shared" si="178"/>
        <v>223.8</v>
      </c>
      <c r="O1768" s="235">
        <v>0</v>
      </c>
      <c r="P1768" s="238" t="s">
        <v>6269</v>
      </c>
      <c r="Q1768" s="1" t="s">
        <v>3664</v>
      </c>
      <c r="R1768" s="239" t="s">
        <v>6228</v>
      </c>
      <c r="S1768" s="238" t="s">
        <v>6227</v>
      </c>
      <c r="T1768" s="238" t="s">
        <v>2557</v>
      </c>
      <c r="U1768" s="238" t="s">
        <v>6270</v>
      </c>
      <c r="V1768" s="238" t="s">
        <v>6894</v>
      </c>
      <c r="W1768" s="236">
        <v>10385.75</v>
      </c>
      <c r="X1768" s="233">
        <v>41410</v>
      </c>
      <c r="Y1768" s="238" t="s">
        <v>6895</v>
      </c>
      <c r="AB1768" s="1" t="s">
        <v>1561</v>
      </c>
    </row>
    <row r="1769" spans="1:28">
      <c r="A1769" s="233">
        <v>41380</v>
      </c>
      <c r="B1769" s="1" t="s">
        <v>6224</v>
      </c>
      <c r="C1769" s="1" t="s">
        <v>162</v>
      </c>
      <c r="D1769" s="5" t="s">
        <v>1866</v>
      </c>
      <c r="E1769" s="1" t="s">
        <v>6244</v>
      </c>
      <c r="F1769" s="1">
        <v>100</v>
      </c>
      <c r="G1769" s="1" t="s">
        <v>171</v>
      </c>
      <c r="H1769" s="234">
        <v>1.59</v>
      </c>
      <c r="I1769" s="235">
        <f t="shared" si="180"/>
        <v>159</v>
      </c>
      <c r="K1769" s="250">
        <f>1.17*100</f>
        <v>117</v>
      </c>
      <c r="L1769" s="237">
        <v>41382</v>
      </c>
      <c r="M1769" s="1" t="s">
        <v>165</v>
      </c>
      <c r="N1769" s="236">
        <f t="shared" si="178"/>
        <v>159</v>
      </c>
      <c r="O1769" s="235">
        <v>0</v>
      </c>
      <c r="P1769" s="238" t="s">
        <v>6269</v>
      </c>
      <c r="Q1769" s="1" t="s">
        <v>3664</v>
      </c>
      <c r="R1769" s="239" t="s">
        <v>6228</v>
      </c>
      <c r="S1769" s="238" t="s">
        <v>6227</v>
      </c>
      <c r="T1769" s="238" t="s">
        <v>2557</v>
      </c>
      <c r="U1769" s="238" t="s">
        <v>6270</v>
      </c>
      <c r="V1769" s="238" t="s">
        <v>6894</v>
      </c>
      <c r="W1769" s="236">
        <v>10385.75</v>
      </c>
      <c r="X1769" s="233">
        <v>41410</v>
      </c>
      <c r="Y1769" s="238" t="s">
        <v>6895</v>
      </c>
      <c r="AB1769" s="1" t="s">
        <v>1561</v>
      </c>
    </row>
    <row r="1770" spans="1:28">
      <c r="A1770" s="233">
        <v>41380</v>
      </c>
      <c r="B1770" s="1" t="s">
        <v>6224</v>
      </c>
      <c r="C1770" s="1" t="s">
        <v>162</v>
      </c>
      <c r="D1770" s="1" t="s">
        <v>263</v>
      </c>
      <c r="E1770" s="1" t="s">
        <v>197</v>
      </c>
      <c r="F1770" s="1">
        <v>15</v>
      </c>
      <c r="G1770" s="1" t="s">
        <v>170</v>
      </c>
      <c r="H1770" s="234">
        <v>2.15</v>
      </c>
      <c r="I1770" s="235">
        <f t="shared" si="180"/>
        <v>32.25</v>
      </c>
      <c r="K1770" s="250">
        <f>1.58*15</f>
        <v>23.700000000000003</v>
      </c>
      <c r="L1770" s="237">
        <v>41382</v>
      </c>
      <c r="M1770" s="1" t="s">
        <v>165</v>
      </c>
      <c r="N1770" s="236">
        <f t="shared" si="178"/>
        <v>32.25</v>
      </c>
      <c r="O1770" s="235">
        <v>0</v>
      </c>
      <c r="P1770" s="238" t="s">
        <v>6269</v>
      </c>
      <c r="Q1770" s="1" t="s">
        <v>3664</v>
      </c>
      <c r="R1770" s="239" t="s">
        <v>6228</v>
      </c>
      <c r="S1770" s="238" t="s">
        <v>6227</v>
      </c>
      <c r="T1770" s="238" t="s">
        <v>2557</v>
      </c>
      <c r="U1770" s="238" t="s">
        <v>6270</v>
      </c>
      <c r="V1770" s="238" t="s">
        <v>6894</v>
      </c>
      <c r="W1770" s="236">
        <v>10385.75</v>
      </c>
      <c r="X1770" s="233">
        <v>41410</v>
      </c>
      <c r="Y1770" s="238" t="s">
        <v>6895</v>
      </c>
      <c r="AB1770" s="1" t="s">
        <v>1561</v>
      </c>
    </row>
    <row r="1771" spans="1:28">
      <c r="A1771" s="233">
        <v>41380</v>
      </c>
      <c r="B1771" s="5" t="s">
        <v>2105</v>
      </c>
      <c r="C1771" s="383" t="s">
        <v>1013</v>
      </c>
      <c r="D1771" s="372" t="s">
        <v>1906</v>
      </c>
      <c r="E1771" s="372" t="s">
        <v>1014</v>
      </c>
      <c r="F1771" s="372">
        <v>1</v>
      </c>
      <c r="G1771" s="372" t="s">
        <v>1015</v>
      </c>
      <c r="H1771" s="31">
        <v>800</v>
      </c>
      <c r="I1771" s="235">
        <f>F1771*H1771</f>
        <v>800</v>
      </c>
      <c r="K1771" s="250">
        <f>708*1</f>
        <v>708</v>
      </c>
      <c r="L1771" s="237">
        <v>41419</v>
      </c>
      <c r="M1771" s="1" t="s">
        <v>165</v>
      </c>
      <c r="N1771" s="235">
        <f t="shared" si="178"/>
        <v>800</v>
      </c>
      <c r="O1771" s="235">
        <f>I1771-N1771</f>
        <v>0</v>
      </c>
      <c r="P1771" s="238" t="s">
        <v>6264</v>
      </c>
      <c r="Q1771" s="1" t="s">
        <v>6278</v>
      </c>
      <c r="R1771" s="247" t="s">
        <v>2470</v>
      </c>
      <c r="S1771" s="246" t="s">
        <v>2103</v>
      </c>
      <c r="T1771" s="246" t="s">
        <v>3694</v>
      </c>
      <c r="U1771" s="238" t="s">
        <v>6279</v>
      </c>
      <c r="V1771" s="238" t="s">
        <v>175</v>
      </c>
      <c r="AB1771" s="1" t="s">
        <v>1561</v>
      </c>
    </row>
    <row r="1772" spans="1:28">
      <c r="A1772" s="233">
        <v>41381</v>
      </c>
      <c r="B1772" s="1" t="s">
        <v>6290</v>
      </c>
      <c r="C1772" s="1" t="s">
        <v>6291</v>
      </c>
      <c r="D1772" s="1" t="s">
        <v>240</v>
      </c>
      <c r="E1772" s="1">
        <v>6200</v>
      </c>
      <c r="F1772" s="1">
        <v>1</v>
      </c>
      <c r="G1772" s="1" t="s">
        <v>6288</v>
      </c>
      <c r="H1772" s="234">
        <v>50</v>
      </c>
      <c r="I1772" s="235">
        <f t="shared" ref="I1772:I1785" si="181">F1772*H1772</f>
        <v>50</v>
      </c>
      <c r="K1772" s="250">
        <f>44.5*1</f>
        <v>44.5</v>
      </c>
      <c r="L1772" s="237">
        <v>41381</v>
      </c>
      <c r="M1772" s="1" t="s">
        <v>6312</v>
      </c>
      <c r="N1772" s="236">
        <f>I1772</f>
        <v>50</v>
      </c>
      <c r="O1772" s="235">
        <f t="shared" ref="O1772:O1785" si="182">I1772-N1772</f>
        <v>0</v>
      </c>
      <c r="P1772" s="238" t="s">
        <v>6310</v>
      </c>
      <c r="Q1772" s="1" t="s">
        <v>6313</v>
      </c>
      <c r="R1772" s="239" t="s">
        <v>6310</v>
      </c>
      <c r="S1772" s="238" t="s">
        <v>6314</v>
      </c>
      <c r="T1772" s="238" t="s">
        <v>6315</v>
      </c>
      <c r="U1772" s="238" t="s">
        <v>6310</v>
      </c>
      <c r="V1772" s="238" t="s">
        <v>6316</v>
      </c>
      <c r="W1772" s="236">
        <v>590</v>
      </c>
      <c r="X1772" s="233">
        <v>41381</v>
      </c>
      <c r="Y1772" s="238" t="s">
        <v>6310</v>
      </c>
      <c r="AB1772" s="1" t="s">
        <v>6317</v>
      </c>
    </row>
    <row r="1773" spans="1:28">
      <c r="A1773" s="233">
        <v>41381</v>
      </c>
      <c r="B1773" s="1" t="s">
        <v>6290</v>
      </c>
      <c r="C1773" s="1" t="s">
        <v>6291</v>
      </c>
      <c r="D1773" s="1" t="s">
        <v>353</v>
      </c>
      <c r="E1773" s="1" t="s">
        <v>145</v>
      </c>
      <c r="F1773" s="1">
        <v>4</v>
      </c>
      <c r="G1773" s="1" t="s">
        <v>6288</v>
      </c>
      <c r="H1773" s="234">
        <v>22</v>
      </c>
      <c r="I1773" s="235">
        <f t="shared" si="181"/>
        <v>88</v>
      </c>
      <c r="K1773" s="250">
        <f>17.25*4</f>
        <v>69</v>
      </c>
      <c r="L1773" s="237">
        <v>41381</v>
      </c>
      <c r="M1773" s="1" t="s">
        <v>6312</v>
      </c>
      <c r="N1773" s="236">
        <f t="shared" ref="N1773:N1785" si="183">I1773</f>
        <v>88</v>
      </c>
      <c r="O1773" s="235">
        <f t="shared" si="182"/>
        <v>0</v>
      </c>
      <c r="P1773" s="238" t="s">
        <v>6310</v>
      </c>
      <c r="Q1773" s="1" t="s">
        <v>6313</v>
      </c>
      <c r="R1773" s="239" t="s">
        <v>6310</v>
      </c>
      <c r="S1773" s="238" t="s">
        <v>6314</v>
      </c>
      <c r="T1773" s="238" t="s">
        <v>6315</v>
      </c>
      <c r="U1773" s="238" t="s">
        <v>6310</v>
      </c>
      <c r="V1773" s="238" t="s">
        <v>6316</v>
      </c>
      <c r="W1773" s="236">
        <v>590</v>
      </c>
      <c r="X1773" s="233">
        <v>41381</v>
      </c>
      <c r="Y1773" s="238" t="s">
        <v>6310</v>
      </c>
      <c r="AB1773" s="1" t="s">
        <v>6317</v>
      </c>
    </row>
    <row r="1774" spans="1:28">
      <c r="A1774" s="233">
        <v>41381</v>
      </c>
      <c r="B1774" s="1" t="s">
        <v>6290</v>
      </c>
      <c r="C1774" s="1" t="s">
        <v>6291</v>
      </c>
      <c r="D1774" s="5" t="s">
        <v>1869</v>
      </c>
      <c r="E1774" s="1">
        <v>501</v>
      </c>
      <c r="F1774" s="1">
        <v>2</v>
      </c>
      <c r="G1774" s="1" t="s">
        <v>6288</v>
      </c>
      <c r="H1774" s="234">
        <v>2</v>
      </c>
      <c r="I1774" s="235">
        <f t="shared" si="181"/>
        <v>4</v>
      </c>
      <c r="K1774" s="250">
        <f>1.39*2</f>
        <v>2.78</v>
      </c>
      <c r="L1774" s="237">
        <v>41381</v>
      </c>
      <c r="M1774" s="1" t="s">
        <v>6312</v>
      </c>
      <c r="N1774" s="236">
        <f t="shared" si="183"/>
        <v>4</v>
      </c>
      <c r="O1774" s="235">
        <f t="shared" si="182"/>
        <v>0</v>
      </c>
      <c r="P1774" s="238" t="s">
        <v>6310</v>
      </c>
      <c r="Q1774" s="1" t="s">
        <v>6313</v>
      </c>
      <c r="R1774" s="239" t="s">
        <v>6310</v>
      </c>
      <c r="S1774" s="238" t="s">
        <v>6314</v>
      </c>
      <c r="T1774" s="238" t="s">
        <v>6315</v>
      </c>
      <c r="U1774" s="238" t="s">
        <v>6310</v>
      </c>
      <c r="V1774" s="238" t="s">
        <v>6316</v>
      </c>
      <c r="W1774" s="236">
        <v>590</v>
      </c>
      <c r="X1774" s="233">
        <v>41381</v>
      </c>
      <c r="Y1774" s="238" t="s">
        <v>6310</v>
      </c>
      <c r="AB1774" s="1" t="s">
        <v>6317</v>
      </c>
    </row>
    <row r="1775" spans="1:28">
      <c r="A1775" s="233">
        <v>41381</v>
      </c>
      <c r="B1775" s="1" t="s">
        <v>6290</v>
      </c>
      <c r="C1775" s="1" t="s">
        <v>6291</v>
      </c>
      <c r="D1775" s="5" t="s">
        <v>182</v>
      </c>
      <c r="E1775" s="1" t="s">
        <v>194</v>
      </c>
      <c r="F1775" s="1">
        <v>4</v>
      </c>
      <c r="G1775" s="1" t="s">
        <v>6293</v>
      </c>
      <c r="H1775" s="234">
        <v>5.5</v>
      </c>
      <c r="I1775" s="235">
        <f t="shared" si="181"/>
        <v>22</v>
      </c>
      <c r="K1775" s="250">
        <f>4.5*4</f>
        <v>18</v>
      </c>
      <c r="L1775" s="237">
        <v>41381</v>
      </c>
      <c r="M1775" s="1" t="s">
        <v>6312</v>
      </c>
      <c r="N1775" s="236">
        <f t="shared" si="183"/>
        <v>22</v>
      </c>
      <c r="O1775" s="235">
        <f t="shared" si="182"/>
        <v>0</v>
      </c>
      <c r="P1775" s="238" t="s">
        <v>6310</v>
      </c>
      <c r="Q1775" s="1" t="s">
        <v>6313</v>
      </c>
      <c r="R1775" s="239" t="s">
        <v>6310</v>
      </c>
      <c r="S1775" s="238" t="s">
        <v>6314</v>
      </c>
      <c r="T1775" s="238" t="s">
        <v>6315</v>
      </c>
      <c r="U1775" s="238" t="s">
        <v>6310</v>
      </c>
      <c r="V1775" s="238" t="s">
        <v>6316</v>
      </c>
      <c r="W1775" s="236">
        <v>590</v>
      </c>
      <c r="X1775" s="233">
        <v>41381</v>
      </c>
      <c r="Y1775" s="238" t="s">
        <v>6310</v>
      </c>
      <c r="AB1775" s="1" t="s">
        <v>6317</v>
      </c>
    </row>
    <row r="1776" spans="1:28">
      <c r="A1776" s="233">
        <v>41381</v>
      </c>
      <c r="B1776" s="1" t="s">
        <v>6290</v>
      </c>
      <c r="C1776" s="1" t="s">
        <v>6291</v>
      </c>
      <c r="D1776" s="1" t="s">
        <v>681</v>
      </c>
      <c r="E1776" s="1" t="s">
        <v>6292</v>
      </c>
      <c r="F1776" s="1">
        <v>1</v>
      </c>
      <c r="G1776" s="1" t="s">
        <v>6294</v>
      </c>
      <c r="H1776" s="234">
        <v>4</v>
      </c>
      <c r="I1776" s="235">
        <f t="shared" si="181"/>
        <v>4</v>
      </c>
      <c r="K1776" s="250">
        <f>3.31*1</f>
        <v>3.31</v>
      </c>
      <c r="L1776" s="237">
        <v>41381</v>
      </c>
      <c r="M1776" s="1" t="s">
        <v>6312</v>
      </c>
      <c r="N1776" s="236">
        <f t="shared" si="183"/>
        <v>4</v>
      </c>
      <c r="O1776" s="235">
        <f t="shared" si="182"/>
        <v>0</v>
      </c>
      <c r="P1776" s="238" t="s">
        <v>6310</v>
      </c>
      <c r="Q1776" s="1" t="s">
        <v>6313</v>
      </c>
      <c r="R1776" s="239" t="s">
        <v>6310</v>
      </c>
      <c r="S1776" s="238" t="s">
        <v>6314</v>
      </c>
      <c r="T1776" s="238" t="s">
        <v>6315</v>
      </c>
      <c r="U1776" s="238" t="s">
        <v>6310</v>
      </c>
      <c r="V1776" s="238" t="s">
        <v>6316</v>
      </c>
      <c r="W1776" s="236">
        <v>590</v>
      </c>
      <c r="X1776" s="233">
        <v>41381</v>
      </c>
      <c r="Y1776" s="238" t="s">
        <v>6310</v>
      </c>
      <c r="AB1776" s="1" t="s">
        <v>6317</v>
      </c>
    </row>
    <row r="1777" spans="1:28">
      <c r="A1777" s="233">
        <v>41381</v>
      </c>
      <c r="B1777" s="1" t="s">
        <v>6290</v>
      </c>
      <c r="C1777" s="1" t="s">
        <v>6291</v>
      </c>
      <c r="D1777" s="5" t="s">
        <v>6299</v>
      </c>
      <c r="E1777" s="1">
        <v>4680</v>
      </c>
      <c r="F1777" s="1">
        <v>1</v>
      </c>
      <c r="G1777" s="1" t="s">
        <v>6295</v>
      </c>
      <c r="H1777" s="234">
        <v>85</v>
      </c>
      <c r="I1777" s="235">
        <v>82</v>
      </c>
      <c r="K1777" s="282">
        <f>81.5</f>
        <v>81.5</v>
      </c>
      <c r="L1777" s="237">
        <v>41381</v>
      </c>
      <c r="M1777" s="1" t="s">
        <v>6312</v>
      </c>
      <c r="N1777" s="236">
        <f t="shared" si="183"/>
        <v>82</v>
      </c>
      <c r="O1777" s="235">
        <f t="shared" si="182"/>
        <v>0</v>
      </c>
      <c r="P1777" s="238" t="s">
        <v>6310</v>
      </c>
      <c r="Q1777" s="1" t="s">
        <v>6313</v>
      </c>
      <c r="R1777" s="239" t="s">
        <v>6310</v>
      </c>
      <c r="S1777" s="238" t="s">
        <v>6314</v>
      </c>
      <c r="T1777" s="238" t="s">
        <v>6315</v>
      </c>
      <c r="U1777" s="238" t="s">
        <v>6310</v>
      </c>
      <c r="V1777" s="238" t="s">
        <v>6316</v>
      </c>
      <c r="W1777" s="236">
        <v>590</v>
      </c>
      <c r="X1777" s="233">
        <v>41381</v>
      </c>
      <c r="Y1777" s="238" t="s">
        <v>6310</v>
      </c>
      <c r="Z1777" s="255" t="s">
        <v>6302</v>
      </c>
      <c r="AB1777" s="1" t="s">
        <v>6317</v>
      </c>
    </row>
    <row r="1778" spans="1:28">
      <c r="A1778" s="233">
        <v>41381</v>
      </c>
      <c r="B1778" s="1" t="s">
        <v>6290</v>
      </c>
      <c r="C1778" s="1" t="s">
        <v>6291</v>
      </c>
      <c r="D1778" s="1" t="s">
        <v>1213</v>
      </c>
      <c r="E1778" s="1" t="s">
        <v>178</v>
      </c>
      <c r="F1778" s="1">
        <v>1</v>
      </c>
      <c r="G1778" s="1" t="s">
        <v>6294</v>
      </c>
      <c r="H1778" s="234">
        <v>15</v>
      </c>
      <c r="I1778" s="235">
        <f t="shared" si="181"/>
        <v>15</v>
      </c>
      <c r="K1778" s="250">
        <f>12.6*1</f>
        <v>12.6</v>
      </c>
      <c r="L1778" s="237">
        <v>41381</v>
      </c>
      <c r="M1778" s="1" t="s">
        <v>6312</v>
      </c>
      <c r="N1778" s="236">
        <f t="shared" si="183"/>
        <v>15</v>
      </c>
      <c r="O1778" s="235">
        <f t="shared" si="182"/>
        <v>0</v>
      </c>
      <c r="P1778" s="238" t="s">
        <v>6310</v>
      </c>
      <c r="Q1778" s="1" t="s">
        <v>6313</v>
      </c>
      <c r="R1778" s="239" t="s">
        <v>6310</v>
      </c>
      <c r="S1778" s="238" t="s">
        <v>6314</v>
      </c>
      <c r="T1778" s="238" t="s">
        <v>6315</v>
      </c>
      <c r="U1778" s="238" t="s">
        <v>6310</v>
      </c>
      <c r="V1778" s="238" t="s">
        <v>6316</v>
      </c>
      <c r="W1778" s="236">
        <v>590</v>
      </c>
      <c r="X1778" s="233">
        <v>41381</v>
      </c>
      <c r="Y1778" s="238" t="s">
        <v>6310</v>
      </c>
      <c r="AB1778" s="1" t="s">
        <v>6317</v>
      </c>
    </row>
    <row r="1779" spans="1:28">
      <c r="A1779" s="233">
        <v>41381</v>
      </c>
      <c r="B1779" s="1" t="s">
        <v>6290</v>
      </c>
      <c r="C1779" s="1" t="s">
        <v>6291</v>
      </c>
      <c r="D1779" s="1" t="s">
        <v>2010</v>
      </c>
      <c r="E1779" s="1">
        <v>10434</v>
      </c>
      <c r="F1779" s="1">
        <v>1</v>
      </c>
      <c r="G1779" s="1" t="s">
        <v>6294</v>
      </c>
      <c r="H1779" s="234">
        <v>30</v>
      </c>
      <c r="I1779" s="235">
        <f t="shared" si="181"/>
        <v>30</v>
      </c>
      <c r="K1779" s="250">
        <f>14.2*1</f>
        <v>14.2</v>
      </c>
      <c r="L1779" s="237">
        <v>41381</v>
      </c>
      <c r="M1779" s="1" t="s">
        <v>6312</v>
      </c>
      <c r="N1779" s="236">
        <f t="shared" si="183"/>
        <v>30</v>
      </c>
      <c r="O1779" s="235">
        <f t="shared" si="182"/>
        <v>0</v>
      </c>
      <c r="P1779" s="238" t="s">
        <v>6310</v>
      </c>
      <c r="Q1779" s="1" t="s">
        <v>6313</v>
      </c>
      <c r="R1779" s="239" t="s">
        <v>6310</v>
      </c>
      <c r="S1779" s="238" t="s">
        <v>6314</v>
      </c>
      <c r="T1779" s="238" t="s">
        <v>6315</v>
      </c>
      <c r="U1779" s="238" t="s">
        <v>6310</v>
      </c>
      <c r="V1779" s="238" t="s">
        <v>6316</v>
      </c>
      <c r="W1779" s="236">
        <v>590</v>
      </c>
      <c r="X1779" s="233">
        <v>41381</v>
      </c>
      <c r="Y1779" s="238" t="s">
        <v>6310</v>
      </c>
      <c r="AB1779" s="1" t="s">
        <v>6317</v>
      </c>
    </row>
    <row r="1780" spans="1:28">
      <c r="A1780" s="233">
        <v>41381</v>
      </c>
      <c r="B1780" s="1" t="s">
        <v>6290</v>
      </c>
      <c r="C1780" s="1" t="s">
        <v>6291</v>
      </c>
      <c r="D1780" s="1" t="s">
        <v>5764</v>
      </c>
      <c r="E1780" s="1" t="s">
        <v>6296</v>
      </c>
      <c r="F1780" s="1">
        <v>3</v>
      </c>
      <c r="G1780" s="1" t="s">
        <v>6298</v>
      </c>
      <c r="H1780" s="234">
        <v>45</v>
      </c>
      <c r="I1780" s="235">
        <f t="shared" si="181"/>
        <v>135</v>
      </c>
      <c r="K1780" s="250">
        <f>33.111*3</f>
        <v>99.332999999999998</v>
      </c>
      <c r="L1780" s="237">
        <v>41381</v>
      </c>
      <c r="M1780" s="1" t="s">
        <v>6312</v>
      </c>
      <c r="N1780" s="236">
        <f t="shared" si="183"/>
        <v>135</v>
      </c>
      <c r="O1780" s="235">
        <f t="shared" si="182"/>
        <v>0</v>
      </c>
      <c r="P1780" s="238" t="s">
        <v>6310</v>
      </c>
      <c r="Q1780" s="1" t="s">
        <v>6313</v>
      </c>
      <c r="R1780" s="239" t="s">
        <v>6310</v>
      </c>
      <c r="S1780" s="238" t="s">
        <v>6314</v>
      </c>
      <c r="T1780" s="238" t="s">
        <v>6315</v>
      </c>
      <c r="U1780" s="238" t="s">
        <v>6310</v>
      </c>
      <c r="V1780" s="238" t="s">
        <v>6316</v>
      </c>
      <c r="W1780" s="236">
        <v>590</v>
      </c>
      <c r="X1780" s="233">
        <v>41381</v>
      </c>
      <c r="Y1780" s="238" t="s">
        <v>6310</v>
      </c>
      <c r="AB1780" s="1" t="s">
        <v>6317</v>
      </c>
    </row>
    <row r="1781" spans="1:28">
      <c r="A1781" s="233">
        <v>41381</v>
      </c>
      <c r="B1781" s="1" t="s">
        <v>6290</v>
      </c>
      <c r="C1781" s="1" t="s">
        <v>7</v>
      </c>
      <c r="D1781" s="1" t="s">
        <v>2041</v>
      </c>
      <c r="E1781" s="1" t="s">
        <v>6297</v>
      </c>
      <c r="F1781" s="1">
        <v>1</v>
      </c>
      <c r="G1781" s="1" t="s">
        <v>6289</v>
      </c>
      <c r="H1781" s="234">
        <v>15</v>
      </c>
      <c r="I1781" s="235">
        <f t="shared" si="181"/>
        <v>15</v>
      </c>
      <c r="K1781" s="282">
        <v>0</v>
      </c>
      <c r="L1781" s="237">
        <v>41381</v>
      </c>
      <c r="M1781" s="1" t="s">
        <v>6312</v>
      </c>
      <c r="N1781" s="236">
        <f t="shared" si="183"/>
        <v>15</v>
      </c>
      <c r="O1781" s="235">
        <f t="shared" si="182"/>
        <v>0</v>
      </c>
      <c r="P1781" s="238" t="s">
        <v>6310</v>
      </c>
      <c r="Q1781" s="1" t="s">
        <v>6313</v>
      </c>
      <c r="R1781" s="239" t="s">
        <v>6310</v>
      </c>
      <c r="S1781" s="238" t="s">
        <v>6314</v>
      </c>
      <c r="T1781" s="238" t="s">
        <v>6315</v>
      </c>
      <c r="U1781" s="238" t="s">
        <v>6310</v>
      </c>
      <c r="V1781" s="238" t="s">
        <v>6316</v>
      </c>
      <c r="W1781" s="236">
        <v>590</v>
      </c>
      <c r="X1781" s="233">
        <v>41381</v>
      </c>
      <c r="Y1781" s="238" t="s">
        <v>6310</v>
      </c>
      <c r="Z1781" s="255" t="s">
        <v>6303</v>
      </c>
      <c r="AB1781" s="1" t="s">
        <v>6317</v>
      </c>
    </row>
    <row r="1782" spans="1:28">
      <c r="A1782" s="233">
        <v>41381</v>
      </c>
      <c r="B1782" s="1" t="s">
        <v>6290</v>
      </c>
      <c r="C1782" s="1" t="s">
        <v>6291</v>
      </c>
      <c r="D1782" s="5" t="s">
        <v>2994</v>
      </c>
      <c r="E1782" s="1">
        <v>4620</v>
      </c>
      <c r="F1782" s="1">
        <v>1</v>
      </c>
      <c r="G1782" s="1" t="s">
        <v>6295</v>
      </c>
      <c r="H1782" s="234">
        <v>40</v>
      </c>
      <c r="I1782" s="235">
        <f t="shared" si="181"/>
        <v>40</v>
      </c>
      <c r="K1782" s="250">
        <f>17.79*1</f>
        <v>17.79</v>
      </c>
      <c r="L1782" s="237">
        <v>41381</v>
      </c>
      <c r="M1782" s="1" t="s">
        <v>6312</v>
      </c>
      <c r="N1782" s="236">
        <f t="shared" si="183"/>
        <v>40</v>
      </c>
      <c r="O1782" s="235">
        <f t="shared" si="182"/>
        <v>0</v>
      </c>
      <c r="P1782" s="238" t="s">
        <v>6310</v>
      </c>
      <c r="Q1782" s="1" t="s">
        <v>6313</v>
      </c>
      <c r="R1782" s="239" t="s">
        <v>6310</v>
      </c>
      <c r="S1782" s="238" t="s">
        <v>6314</v>
      </c>
      <c r="T1782" s="238" t="s">
        <v>6315</v>
      </c>
      <c r="U1782" s="238" t="s">
        <v>6310</v>
      </c>
      <c r="V1782" s="238" t="s">
        <v>6316</v>
      </c>
      <c r="W1782" s="236">
        <v>590</v>
      </c>
      <c r="X1782" s="233">
        <v>41381</v>
      </c>
      <c r="Y1782" s="238" t="s">
        <v>6310</v>
      </c>
      <c r="AB1782" s="1" t="s">
        <v>6317</v>
      </c>
    </row>
    <row r="1783" spans="1:28">
      <c r="A1783" s="233">
        <v>41381</v>
      </c>
      <c r="B1783" s="1" t="s">
        <v>6290</v>
      </c>
      <c r="C1783" s="1" t="s">
        <v>6291</v>
      </c>
      <c r="D1783" s="5" t="s">
        <v>182</v>
      </c>
      <c r="E1783" s="1" t="s">
        <v>2049</v>
      </c>
      <c r="F1783" s="1">
        <v>10</v>
      </c>
      <c r="G1783" s="1" t="s">
        <v>6293</v>
      </c>
      <c r="H1783" s="234">
        <v>3.5</v>
      </c>
      <c r="I1783" s="235">
        <f t="shared" si="181"/>
        <v>35</v>
      </c>
      <c r="K1783" s="250">
        <f>1.24*10</f>
        <v>12.4</v>
      </c>
      <c r="L1783" s="237">
        <v>41381</v>
      </c>
      <c r="M1783" s="1" t="s">
        <v>6312</v>
      </c>
      <c r="N1783" s="236">
        <f t="shared" si="183"/>
        <v>35</v>
      </c>
      <c r="O1783" s="235">
        <f t="shared" si="182"/>
        <v>0</v>
      </c>
      <c r="P1783" s="238" t="s">
        <v>6310</v>
      </c>
      <c r="Q1783" s="1" t="s">
        <v>6313</v>
      </c>
      <c r="R1783" s="239" t="s">
        <v>6310</v>
      </c>
      <c r="S1783" s="238" t="s">
        <v>6314</v>
      </c>
      <c r="T1783" s="238" t="s">
        <v>6315</v>
      </c>
      <c r="U1783" s="238" t="s">
        <v>6310</v>
      </c>
      <c r="V1783" s="238" t="s">
        <v>6316</v>
      </c>
      <c r="W1783" s="236">
        <v>590</v>
      </c>
      <c r="X1783" s="233">
        <v>41381</v>
      </c>
      <c r="Y1783" s="238" t="s">
        <v>6310</v>
      </c>
      <c r="AB1783" s="1" t="s">
        <v>6317</v>
      </c>
    </row>
    <row r="1784" spans="1:28">
      <c r="A1784" s="233">
        <v>41381</v>
      </c>
      <c r="B1784" s="1" t="s">
        <v>6290</v>
      </c>
      <c r="C1784" s="1" t="s">
        <v>6291</v>
      </c>
      <c r="D1784" s="5" t="s">
        <v>4614</v>
      </c>
      <c r="E1784" s="1" t="s">
        <v>1613</v>
      </c>
      <c r="F1784" s="1">
        <v>2</v>
      </c>
      <c r="G1784" s="1" t="s">
        <v>6288</v>
      </c>
      <c r="H1784" s="234">
        <v>35</v>
      </c>
      <c r="I1784" s="235">
        <f t="shared" si="181"/>
        <v>70</v>
      </c>
      <c r="K1784" s="250">
        <f>19.8*2</f>
        <v>39.6</v>
      </c>
      <c r="L1784" s="237">
        <v>41381</v>
      </c>
      <c r="M1784" s="1" t="s">
        <v>6312</v>
      </c>
      <c r="N1784" s="236">
        <f t="shared" si="183"/>
        <v>70</v>
      </c>
      <c r="O1784" s="235">
        <f t="shared" si="182"/>
        <v>0</v>
      </c>
      <c r="P1784" s="238" t="s">
        <v>6310</v>
      </c>
      <c r="Q1784" s="1" t="s">
        <v>6313</v>
      </c>
      <c r="R1784" s="239" t="s">
        <v>6310</v>
      </c>
      <c r="S1784" s="238" t="s">
        <v>6314</v>
      </c>
      <c r="T1784" s="238" t="s">
        <v>6315</v>
      </c>
      <c r="U1784" s="238" t="s">
        <v>6310</v>
      </c>
      <c r="V1784" s="238" t="s">
        <v>6316</v>
      </c>
      <c r="W1784" s="236">
        <v>590</v>
      </c>
      <c r="X1784" s="233">
        <v>41381</v>
      </c>
      <c r="Y1784" s="238" t="s">
        <v>6310</v>
      </c>
      <c r="AB1784" s="1" t="s">
        <v>6317</v>
      </c>
    </row>
    <row r="1785" spans="1:28">
      <c r="A1785" s="233">
        <v>41381</v>
      </c>
      <c r="B1785" s="1" t="s">
        <v>1979</v>
      </c>
      <c r="C1785" s="1" t="s">
        <v>162</v>
      </c>
      <c r="D1785" s="1" t="s">
        <v>307</v>
      </c>
      <c r="E1785" s="1">
        <v>1110</v>
      </c>
      <c r="F1785" s="1">
        <v>500</v>
      </c>
      <c r="G1785" s="1" t="s">
        <v>6294</v>
      </c>
      <c r="H1785" s="234">
        <v>0.72</v>
      </c>
      <c r="I1785" s="235">
        <f t="shared" si="181"/>
        <v>360</v>
      </c>
      <c r="K1785" s="250">
        <f>0.69*500</f>
        <v>345</v>
      </c>
      <c r="L1785" s="237">
        <v>41390</v>
      </c>
      <c r="M1785" s="1" t="s">
        <v>6312</v>
      </c>
      <c r="N1785" s="235">
        <f t="shared" si="183"/>
        <v>360</v>
      </c>
      <c r="O1785" s="235">
        <f t="shared" si="182"/>
        <v>0</v>
      </c>
      <c r="P1785" s="238" t="s">
        <v>6318</v>
      </c>
      <c r="Q1785" s="1" t="s">
        <v>1562</v>
      </c>
      <c r="R1785" s="265" t="s">
        <v>68</v>
      </c>
      <c r="S1785" s="265" t="s">
        <v>2973</v>
      </c>
      <c r="T1785" s="238" t="s">
        <v>67</v>
      </c>
      <c r="U1785" s="238" t="s">
        <v>6310</v>
      </c>
      <c r="AB1785" s="1" t="s">
        <v>1561</v>
      </c>
    </row>
    <row r="1786" spans="1:28">
      <c r="A1786" s="233">
        <v>41381</v>
      </c>
      <c r="B1786" s="1" t="s">
        <v>6146</v>
      </c>
      <c r="C1786" s="1" t="s">
        <v>162</v>
      </c>
      <c r="D1786" s="367" t="s">
        <v>1712</v>
      </c>
      <c r="E1786" s="1">
        <v>9010</v>
      </c>
      <c r="F1786" s="1">
        <v>500</v>
      </c>
      <c r="G1786" s="1" t="s">
        <v>170</v>
      </c>
      <c r="H1786" s="234">
        <v>2.8</v>
      </c>
      <c r="I1786" s="235">
        <f t="shared" ref="I1786:I1793" si="184">F1786*H1786</f>
        <v>1400</v>
      </c>
      <c r="K1786" s="250">
        <f>2.6*500</f>
        <v>1300</v>
      </c>
      <c r="L1786" s="237">
        <v>41381</v>
      </c>
      <c r="M1786" s="1" t="s">
        <v>6312</v>
      </c>
      <c r="N1786" s="235">
        <f>I1786</f>
        <v>1400</v>
      </c>
      <c r="O1786" s="235">
        <f t="shared" ref="O1786:O1791" si="185">I1786-N1786</f>
        <v>0</v>
      </c>
      <c r="P1786" s="238" t="s">
        <v>6319</v>
      </c>
      <c r="Q1786" s="1" t="s">
        <v>6313</v>
      </c>
      <c r="R1786" s="239" t="s">
        <v>6395</v>
      </c>
      <c r="T1786" s="238" t="s">
        <v>6147</v>
      </c>
      <c r="AB1786" s="1" t="s">
        <v>1561</v>
      </c>
    </row>
    <row r="1787" spans="1:28">
      <c r="A1787" s="233">
        <v>41382</v>
      </c>
      <c r="B1787" s="1" t="s">
        <v>6446</v>
      </c>
      <c r="C1787" s="5" t="s">
        <v>162</v>
      </c>
      <c r="D1787" s="1" t="s">
        <v>51</v>
      </c>
      <c r="E1787" s="1">
        <v>9031</v>
      </c>
      <c r="F1787" s="1">
        <v>500</v>
      </c>
      <c r="G1787" s="1" t="s">
        <v>170</v>
      </c>
      <c r="H1787" s="234">
        <v>2.2000000000000002</v>
      </c>
      <c r="I1787" s="235">
        <f t="shared" si="184"/>
        <v>1100</v>
      </c>
      <c r="K1787" s="250">
        <f>1.4929*500</f>
        <v>746.44999999999993</v>
      </c>
      <c r="L1787" s="237">
        <v>41383</v>
      </c>
      <c r="M1787" s="1" t="s">
        <v>6358</v>
      </c>
      <c r="N1787" s="235">
        <f>I1787</f>
        <v>1100</v>
      </c>
      <c r="O1787" s="236">
        <f t="shared" si="185"/>
        <v>0</v>
      </c>
      <c r="P1787" s="238" t="s">
        <v>6447</v>
      </c>
      <c r="Q1787" s="1" t="s">
        <v>6388</v>
      </c>
      <c r="R1787" s="239" t="s">
        <v>6360</v>
      </c>
      <c r="S1787" s="238" t="s">
        <v>6362</v>
      </c>
      <c r="T1787" s="238" t="s">
        <v>6361</v>
      </c>
      <c r="U1787" s="238" t="s">
        <v>6359</v>
      </c>
      <c r="V1787" s="238" t="s">
        <v>6363</v>
      </c>
      <c r="AB1787" s="1" t="s">
        <v>2064</v>
      </c>
    </row>
    <row r="1788" spans="1:28">
      <c r="A1788" s="233">
        <v>41383</v>
      </c>
      <c r="B1788" s="1" t="s">
        <v>2948</v>
      </c>
      <c r="C1788" s="1" t="s">
        <v>162</v>
      </c>
      <c r="D1788" s="5" t="s">
        <v>2012</v>
      </c>
      <c r="E1788" s="1" t="s">
        <v>180</v>
      </c>
      <c r="F1788" s="1">
        <v>200</v>
      </c>
      <c r="G1788" s="1" t="s">
        <v>170</v>
      </c>
      <c r="H1788" s="234">
        <v>2.68</v>
      </c>
      <c r="I1788" s="235">
        <f t="shared" si="184"/>
        <v>536</v>
      </c>
      <c r="K1788" s="250">
        <f>1.48*200</f>
        <v>296</v>
      </c>
      <c r="L1788" s="237">
        <v>41403</v>
      </c>
      <c r="M1788" s="1" t="s">
        <v>166</v>
      </c>
      <c r="N1788" s="235">
        <v>536</v>
      </c>
      <c r="O1788" s="235">
        <f t="shared" si="185"/>
        <v>0</v>
      </c>
      <c r="P1788" s="238" t="s">
        <v>6336</v>
      </c>
      <c r="Q1788" s="1" t="s">
        <v>5212</v>
      </c>
      <c r="R1788" s="239" t="s">
        <v>6332</v>
      </c>
      <c r="S1788" s="238" t="s">
        <v>6333</v>
      </c>
      <c r="T1788" s="238" t="s">
        <v>6334</v>
      </c>
      <c r="U1788" s="238" t="s">
        <v>6335</v>
      </c>
      <c r="V1788" s="238" t="s">
        <v>6337</v>
      </c>
      <c r="W1788" s="236">
        <v>536</v>
      </c>
      <c r="X1788" s="233">
        <v>41383</v>
      </c>
      <c r="Y1788" s="238" t="s">
        <v>6335</v>
      </c>
      <c r="AA1788" s="240" t="s">
        <v>2141</v>
      </c>
      <c r="AB1788" s="1" t="s">
        <v>2064</v>
      </c>
    </row>
    <row r="1789" spans="1:28">
      <c r="A1789" s="233">
        <v>41383</v>
      </c>
      <c r="B1789" s="1" t="s">
        <v>5907</v>
      </c>
      <c r="C1789" s="1" t="s">
        <v>162</v>
      </c>
      <c r="D1789" s="1" t="s">
        <v>2359</v>
      </c>
      <c r="E1789" s="1">
        <v>1711</v>
      </c>
      <c r="F1789" s="1">
        <v>1</v>
      </c>
      <c r="G1789" s="1" t="s">
        <v>6339</v>
      </c>
      <c r="H1789" s="234">
        <v>16</v>
      </c>
      <c r="I1789" s="235">
        <f t="shared" si="184"/>
        <v>16</v>
      </c>
      <c r="K1789" s="282">
        <f>11.78*1</f>
        <v>11.78</v>
      </c>
      <c r="L1789" s="237">
        <v>41383</v>
      </c>
      <c r="M1789" s="1" t="s">
        <v>698</v>
      </c>
      <c r="N1789" s="235">
        <f>I1789</f>
        <v>16</v>
      </c>
      <c r="O1789" s="235">
        <f t="shared" si="185"/>
        <v>0</v>
      </c>
      <c r="P1789" s="238" t="s">
        <v>6340</v>
      </c>
      <c r="Q1789" s="1" t="s">
        <v>1562</v>
      </c>
      <c r="R1789" s="239" t="s">
        <v>6341</v>
      </c>
      <c r="S1789" s="238" t="s">
        <v>6342</v>
      </c>
      <c r="T1789" s="238" t="s">
        <v>167</v>
      </c>
      <c r="U1789" s="238" t="s">
        <v>167</v>
      </c>
      <c r="V1789" s="238" t="s">
        <v>175</v>
      </c>
      <c r="Z1789" s="255" t="s">
        <v>6343</v>
      </c>
      <c r="AB1789" s="1" t="s">
        <v>1561</v>
      </c>
    </row>
    <row r="1790" spans="1:28">
      <c r="A1790" s="233">
        <v>41383</v>
      </c>
      <c r="B1790" s="1" t="s">
        <v>5907</v>
      </c>
      <c r="C1790" s="1" t="s">
        <v>162</v>
      </c>
      <c r="D1790" s="1" t="s">
        <v>1213</v>
      </c>
      <c r="E1790" s="1" t="s">
        <v>178</v>
      </c>
      <c r="F1790" s="1">
        <v>1</v>
      </c>
      <c r="G1790" s="1" t="s">
        <v>6338</v>
      </c>
      <c r="H1790" s="234">
        <v>15</v>
      </c>
      <c r="I1790" s="235">
        <f t="shared" si="184"/>
        <v>15</v>
      </c>
      <c r="K1790" s="250">
        <f>12.6</f>
        <v>12.6</v>
      </c>
      <c r="L1790" s="237">
        <v>41383</v>
      </c>
      <c r="M1790" s="1" t="s">
        <v>698</v>
      </c>
      <c r="N1790" s="235">
        <f>I1790</f>
        <v>15</v>
      </c>
      <c r="O1790" s="235">
        <f t="shared" si="185"/>
        <v>0</v>
      </c>
      <c r="P1790" s="238" t="s">
        <v>6340</v>
      </c>
      <c r="Q1790" s="1" t="s">
        <v>1562</v>
      </c>
      <c r="R1790" s="239" t="s">
        <v>6341</v>
      </c>
      <c r="S1790" s="238" t="s">
        <v>6342</v>
      </c>
      <c r="T1790" s="238" t="s">
        <v>167</v>
      </c>
      <c r="U1790" s="238" t="s">
        <v>167</v>
      </c>
      <c r="V1790" s="238" t="s">
        <v>175</v>
      </c>
      <c r="AB1790" s="1" t="s">
        <v>1561</v>
      </c>
    </row>
    <row r="1791" spans="1:28">
      <c r="A1791" s="233">
        <v>41383</v>
      </c>
      <c r="B1791" s="1" t="s">
        <v>5907</v>
      </c>
      <c r="C1791" s="1" t="s">
        <v>162</v>
      </c>
      <c r="D1791" s="5" t="s">
        <v>1944</v>
      </c>
      <c r="E1791" s="1">
        <v>8515</v>
      </c>
      <c r="F1791" s="1">
        <v>1</v>
      </c>
      <c r="G1791" s="1" t="s">
        <v>6339</v>
      </c>
      <c r="H1791" s="234">
        <v>22</v>
      </c>
      <c r="I1791" s="235">
        <f t="shared" si="184"/>
        <v>22</v>
      </c>
      <c r="K1791" s="250">
        <f>18.96</f>
        <v>18.96</v>
      </c>
      <c r="L1791" s="237">
        <v>41383</v>
      </c>
      <c r="M1791" s="1" t="s">
        <v>698</v>
      </c>
      <c r="N1791" s="235">
        <f>I1791</f>
        <v>22</v>
      </c>
      <c r="O1791" s="235">
        <f t="shared" si="185"/>
        <v>0</v>
      </c>
      <c r="P1791" s="238" t="s">
        <v>6340</v>
      </c>
      <c r="Q1791" s="1" t="s">
        <v>1562</v>
      </c>
      <c r="R1791" s="239" t="s">
        <v>6341</v>
      </c>
      <c r="S1791" s="238" t="s">
        <v>6342</v>
      </c>
      <c r="T1791" s="238" t="s">
        <v>167</v>
      </c>
      <c r="U1791" s="238" t="s">
        <v>167</v>
      </c>
      <c r="V1791" s="238" t="s">
        <v>175</v>
      </c>
      <c r="AB1791" s="1" t="s">
        <v>1561</v>
      </c>
    </row>
    <row r="1792" spans="1:28">
      <c r="A1792" s="233">
        <v>41383</v>
      </c>
      <c r="B1792" s="1" t="s">
        <v>5860</v>
      </c>
      <c r="C1792" s="1" t="s">
        <v>162</v>
      </c>
      <c r="D1792" s="1" t="s">
        <v>1186</v>
      </c>
      <c r="E1792" s="1">
        <v>8247</v>
      </c>
      <c r="F1792" s="1">
        <v>20</v>
      </c>
      <c r="G1792" s="1" t="s">
        <v>6339</v>
      </c>
      <c r="H1792" s="234">
        <v>20</v>
      </c>
      <c r="I1792" s="235">
        <f t="shared" si="184"/>
        <v>400</v>
      </c>
      <c r="K1792" s="250">
        <f>12.35*20</f>
        <v>247</v>
      </c>
      <c r="N1792" s="235">
        <v>0</v>
      </c>
      <c r="O1792" s="235">
        <f>I1792-N1792</f>
        <v>400</v>
      </c>
      <c r="P1792" s="238" t="s">
        <v>6365</v>
      </c>
      <c r="Q1792" s="1" t="s">
        <v>6364</v>
      </c>
      <c r="R1792" s="239" t="s">
        <v>5861</v>
      </c>
      <c r="S1792" s="238" t="s">
        <v>5862</v>
      </c>
      <c r="T1792" s="238" t="s">
        <v>5863</v>
      </c>
      <c r="U1792" s="238" t="s">
        <v>167</v>
      </c>
      <c r="AB1792" s="1" t="s">
        <v>2064</v>
      </c>
    </row>
    <row r="1793" spans="1:28">
      <c r="A1793" s="233">
        <v>41383</v>
      </c>
      <c r="B1793" s="1" t="s">
        <v>5860</v>
      </c>
      <c r="C1793" s="1" t="s">
        <v>162</v>
      </c>
      <c r="D1793" s="5" t="s">
        <v>51</v>
      </c>
      <c r="E1793" s="1">
        <v>9032</v>
      </c>
      <c r="F1793" s="1">
        <v>100</v>
      </c>
      <c r="G1793" s="1" t="s">
        <v>6339</v>
      </c>
      <c r="H1793" s="234">
        <v>2.7</v>
      </c>
      <c r="I1793" s="235">
        <f t="shared" si="184"/>
        <v>270</v>
      </c>
      <c r="K1793" s="250">
        <f>1.4929*100</f>
        <v>149.29</v>
      </c>
      <c r="N1793" s="235">
        <v>0</v>
      </c>
      <c r="O1793" s="235">
        <f>I1793-N1793</f>
        <v>270</v>
      </c>
      <c r="P1793" s="238" t="s">
        <v>6365</v>
      </c>
      <c r="Q1793" s="1" t="s">
        <v>6364</v>
      </c>
      <c r="R1793" s="239" t="s">
        <v>5861</v>
      </c>
      <c r="S1793" s="238" t="s">
        <v>5862</v>
      </c>
      <c r="T1793" s="238" t="s">
        <v>5863</v>
      </c>
      <c r="U1793" s="238" t="s">
        <v>167</v>
      </c>
      <c r="AB1793" s="1" t="s">
        <v>2064</v>
      </c>
    </row>
    <row r="1794" spans="1:28">
      <c r="A1794" s="233">
        <v>41383</v>
      </c>
      <c r="B1794" s="1" t="s">
        <v>5254</v>
      </c>
      <c r="C1794" s="1" t="s">
        <v>7</v>
      </c>
      <c r="D1794" s="376" t="s">
        <v>4977</v>
      </c>
      <c r="E1794" s="1" t="s">
        <v>4974</v>
      </c>
      <c r="F1794" s="1">
        <v>1000</v>
      </c>
      <c r="G1794" s="1" t="s">
        <v>172</v>
      </c>
      <c r="H1794" s="234">
        <v>1.42</v>
      </c>
      <c r="I1794" s="235">
        <f t="shared" ref="I1794:I1803" si="186">F1794*H1794</f>
        <v>1420</v>
      </c>
      <c r="J1794" s="235"/>
      <c r="K1794" s="250">
        <f>500*1.35+1.32*500</f>
        <v>1335</v>
      </c>
      <c r="L1794" s="237">
        <v>41389</v>
      </c>
      <c r="M1794" s="1" t="s">
        <v>166</v>
      </c>
      <c r="N1794" s="235">
        <f t="shared" ref="N1794" si="187">I1794</f>
        <v>1420</v>
      </c>
      <c r="O1794" s="235">
        <f t="shared" ref="O1794:O1805" si="188">I1794-N1794</f>
        <v>0</v>
      </c>
      <c r="P1794" s="238" t="s">
        <v>6388</v>
      </c>
      <c r="Q1794" s="1" t="s">
        <v>2272</v>
      </c>
      <c r="R1794" s="239" t="s">
        <v>6095</v>
      </c>
      <c r="S1794" s="238" t="s">
        <v>6096</v>
      </c>
      <c r="T1794" s="238" t="s">
        <v>5255</v>
      </c>
      <c r="U1794" s="238" t="s">
        <v>6389</v>
      </c>
      <c r="V1794" s="238" t="s">
        <v>6903</v>
      </c>
      <c r="W1794" s="236">
        <v>11090</v>
      </c>
      <c r="X1794" s="233">
        <v>41411</v>
      </c>
      <c r="Y1794" s="238" t="s">
        <v>6904</v>
      </c>
      <c r="AB1794" s="1" t="s">
        <v>1561</v>
      </c>
    </row>
    <row r="1795" spans="1:28">
      <c r="A1795" s="233">
        <v>41383</v>
      </c>
      <c r="B1795" s="1" t="s">
        <v>4551</v>
      </c>
      <c r="C1795" s="1" t="s">
        <v>162</v>
      </c>
      <c r="D1795" s="5" t="s">
        <v>182</v>
      </c>
      <c r="E1795" s="1" t="s">
        <v>194</v>
      </c>
      <c r="F1795" s="1">
        <v>600</v>
      </c>
      <c r="G1795" s="1" t="s">
        <v>171</v>
      </c>
      <c r="H1795" s="234">
        <v>5.0599999999999996</v>
      </c>
      <c r="I1795" s="235">
        <f t="shared" si="186"/>
        <v>3035.9999999999995</v>
      </c>
      <c r="K1795" s="250">
        <f>120*4.75+4.9*480</f>
        <v>2922</v>
      </c>
      <c r="L1795" s="237">
        <v>41383</v>
      </c>
      <c r="M1795" s="1" t="s">
        <v>6354</v>
      </c>
      <c r="N1795" s="236">
        <f>I1795</f>
        <v>3035.9999999999995</v>
      </c>
      <c r="O1795" s="236">
        <f t="shared" si="188"/>
        <v>0</v>
      </c>
      <c r="P1795" s="238" t="s">
        <v>6346</v>
      </c>
      <c r="Q1795" s="1" t="s">
        <v>5785</v>
      </c>
      <c r="R1795" s="239" t="s">
        <v>4528</v>
      </c>
      <c r="S1795" s="238" t="s">
        <v>4529</v>
      </c>
      <c r="T1795" s="238" t="s">
        <v>3174</v>
      </c>
      <c r="U1795" s="238" t="s">
        <v>6390</v>
      </c>
      <c r="V1795" s="238" t="s">
        <v>6356</v>
      </c>
      <c r="W1795" s="236">
        <v>3036</v>
      </c>
      <c r="X1795" s="233">
        <v>41383</v>
      </c>
      <c r="AB1795" s="1" t="s">
        <v>1561</v>
      </c>
    </row>
    <row r="1796" spans="1:28">
      <c r="A1796" s="233">
        <v>41383</v>
      </c>
      <c r="B1796" s="1" t="s">
        <v>2692</v>
      </c>
      <c r="C1796" s="1" t="s">
        <v>162</v>
      </c>
      <c r="D1796" s="1" t="s">
        <v>6351</v>
      </c>
      <c r="E1796" s="1">
        <v>6100</v>
      </c>
      <c r="F1796" s="1">
        <v>6</v>
      </c>
      <c r="G1796" s="1" t="s">
        <v>6339</v>
      </c>
      <c r="H1796" s="234">
        <v>47.5</v>
      </c>
      <c r="I1796" s="235">
        <f t="shared" si="186"/>
        <v>285</v>
      </c>
      <c r="K1796" s="282">
        <f>29.17*6</f>
        <v>175.02</v>
      </c>
      <c r="L1796" s="237">
        <v>41383</v>
      </c>
      <c r="M1796" s="1" t="s">
        <v>6354</v>
      </c>
      <c r="N1796" s="236">
        <f>I1796</f>
        <v>285</v>
      </c>
      <c r="O1796" s="236">
        <f t="shared" si="188"/>
        <v>0</v>
      </c>
      <c r="P1796" s="238" t="s">
        <v>6386</v>
      </c>
      <c r="Q1796" s="1" t="s">
        <v>3664</v>
      </c>
      <c r="R1796" s="239" t="s">
        <v>2688</v>
      </c>
      <c r="S1796" s="238" t="s">
        <v>2689</v>
      </c>
      <c r="T1796" s="238" t="s">
        <v>2557</v>
      </c>
      <c r="U1796" s="238" t="s">
        <v>6387</v>
      </c>
      <c r="V1796" s="238" t="s">
        <v>6997</v>
      </c>
      <c r="W1796" s="236">
        <v>6366.3</v>
      </c>
      <c r="X1796" s="233">
        <v>41417</v>
      </c>
      <c r="Y1796" s="238" t="s">
        <v>6998</v>
      </c>
      <c r="Z1796" s="255" t="s">
        <v>6373</v>
      </c>
      <c r="AB1796" s="1" t="s">
        <v>1561</v>
      </c>
    </row>
    <row r="1797" spans="1:28">
      <c r="A1797" s="233">
        <v>41383</v>
      </c>
      <c r="B1797" s="1" t="s">
        <v>2692</v>
      </c>
      <c r="C1797" s="1" t="s">
        <v>162</v>
      </c>
      <c r="D1797" s="1" t="s">
        <v>1867</v>
      </c>
      <c r="E1797" s="1">
        <v>6006</v>
      </c>
      <c r="F1797" s="1">
        <v>20</v>
      </c>
      <c r="G1797" s="1" t="s">
        <v>6339</v>
      </c>
      <c r="H1797" s="234">
        <v>57.7</v>
      </c>
      <c r="I1797" s="235">
        <f t="shared" si="186"/>
        <v>1154</v>
      </c>
      <c r="K1797" s="250">
        <f>55.3*20</f>
        <v>1106</v>
      </c>
      <c r="L1797" s="237">
        <v>41383</v>
      </c>
      <c r="M1797" s="1" t="s">
        <v>6354</v>
      </c>
      <c r="N1797" s="236">
        <f>I1797</f>
        <v>1154</v>
      </c>
      <c r="O1797" s="236">
        <f t="shared" si="188"/>
        <v>0</v>
      </c>
      <c r="P1797" s="238" t="s">
        <v>6386</v>
      </c>
      <c r="Q1797" s="1" t="s">
        <v>3664</v>
      </c>
      <c r="R1797" s="239" t="s">
        <v>2688</v>
      </c>
      <c r="S1797" s="238" t="s">
        <v>2689</v>
      </c>
      <c r="T1797" s="238" t="s">
        <v>2557</v>
      </c>
      <c r="U1797" s="238" t="s">
        <v>6387</v>
      </c>
      <c r="V1797" s="238" t="s">
        <v>6997</v>
      </c>
      <c r="W1797" s="236">
        <v>6366.3</v>
      </c>
      <c r="X1797" s="233">
        <v>41417</v>
      </c>
      <c r="Y1797" s="238" t="s">
        <v>6998</v>
      </c>
      <c r="AB1797" s="1" t="s">
        <v>1561</v>
      </c>
    </row>
    <row r="1798" spans="1:28">
      <c r="A1798" s="233">
        <v>41383</v>
      </c>
      <c r="B1798" s="1" t="s">
        <v>2692</v>
      </c>
      <c r="C1798" s="1" t="s">
        <v>162</v>
      </c>
      <c r="D1798" s="1" t="s">
        <v>1218</v>
      </c>
      <c r="E1798" s="1">
        <v>6004</v>
      </c>
      <c r="F1798" s="1">
        <v>10</v>
      </c>
      <c r="G1798" s="1" t="s">
        <v>6339</v>
      </c>
      <c r="H1798" s="234">
        <v>43.39</v>
      </c>
      <c r="I1798" s="235">
        <f t="shared" si="186"/>
        <v>433.9</v>
      </c>
      <c r="K1798" s="250">
        <f>41.6*10</f>
        <v>416</v>
      </c>
      <c r="L1798" s="237">
        <v>41383</v>
      </c>
      <c r="M1798" s="1" t="s">
        <v>6354</v>
      </c>
      <c r="N1798" s="236">
        <f>I1798</f>
        <v>433.9</v>
      </c>
      <c r="O1798" s="236">
        <f t="shared" si="188"/>
        <v>0</v>
      </c>
      <c r="P1798" s="238" t="s">
        <v>6386</v>
      </c>
      <c r="Q1798" s="1" t="s">
        <v>3664</v>
      </c>
      <c r="R1798" s="239" t="s">
        <v>2688</v>
      </c>
      <c r="S1798" s="238" t="s">
        <v>2689</v>
      </c>
      <c r="T1798" s="238" t="s">
        <v>2557</v>
      </c>
      <c r="U1798" s="238" t="s">
        <v>6387</v>
      </c>
      <c r="V1798" s="238" t="s">
        <v>6997</v>
      </c>
      <c r="W1798" s="236">
        <v>6366.3</v>
      </c>
      <c r="X1798" s="233">
        <v>41417</v>
      </c>
      <c r="Y1798" s="238" t="s">
        <v>6998</v>
      </c>
      <c r="AB1798" s="1" t="s">
        <v>1561</v>
      </c>
    </row>
    <row r="1799" spans="1:28">
      <c r="A1799" s="233">
        <v>41383</v>
      </c>
      <c r="B1799" s="1" t="s">
        <v>6377</v>
      </c>
      <c r="C1799" s="1" t="s">
        <v>162</v>
      </c>
      <c r="D1799" s="391" t="s">
        <v>5047</v>
      </c>
      <c r="E1799" s="1">
        <v>8210</v>
      </c>
      <c r="F1799" s="1">
        <v>800</v>
      </c>
      <c r="G1799" s="1" t="s">
        <v>170</v>
      </c>
      <c r="H1799" s="234">
        <v>5.5</v>
      </c>
      <c r="I1799" s="235">
        <f t="shared" si="186"/>
        <v>4400</v>
      </c>
      <c r="K1799" s="250">
        <f>3.78*800</f>
        <v>3024</v>
      </c>
      <c r="L1799" s="237">
        <v>41386</v>
      </c>
      <c r="M1799" s="1" t="s">
        <v>166</v>
      </c>
      <c r="N1799" s="236">
        <f>I1799</f>
        <v>4400</v>
      </c>
      <c r="O1799" s="236">
        <f t="shared" si="188"/>
        <v>0</v>
      </c>
      <c r="P1799" s="238" t="s">
        <v>6383</v>
      </c>
      <c r="Q1799" s="1" t="s">
        <v>6384</v>
      </c>
      <c r="R1799" s="239" t="s">
        <v>6380</v>
      </c>
      <c r="S1799" s="238" t="s">
        <v>6381</v>
      </c>
      <c r="T1799" s="238" t="s">
        <v>6379</v>
      </c>
      <c r="U1799" s="238" t="s">
        <v>6385</v>
      </c>
      <c r="V1799" s="238" t="s">
        <v>6896</v>
      </c>
      <c r="W1799" s="236">
        <v>13881</v>
      </c>
      <c r="X1799" s="233">
        <v>41410</v>
      </c>
      <c r="Y1799" s="238" t="s">
        <v>6897</v>
      </c>
      <c r="AB1799" s="1" t="s">
        <v>1561</v>
      </c>
    </row>
    <row r="1800" spans="1:28">
      <c r="A1800" s="233">
        <v>41383</v>
      </c>
      <c r="B1800" s="1" t="s">
        <v>6377</v>
      </c>
      <c r="C1800" s="1" t="s">
        <v>162</v>
      </c>
      <c r="D1800" s="5" t="s">
        <v>983</v>
      </c>
      <c r="E1800" s="1">
        <v>6800</v>
      </c>
      <c r="F1800" s="1">
        <v>1</v>
      </c>
      <c r="G1800" s="1" t="s">
        <v>170</v>
      </c>
      <c r="H1800" s="234">
        <v>460</v>
      </c>
      <c r="I1800" s="235">
        <f t="shared" si="186"/>
        <v>460</v>
      </c>
      <c r="K1800" s="250">
        <f>430*1</f>
        <v>430</v>
      </c>
      <c r="L1800" s="237">
        <v>41386</v>
      </c>
      <c r="M1800" s="1" t="s">
        <v>166</v>
      </c>
      <c r="N1800" s="236">
        <f t="shared" ref="N1800:N1805" si="189">I1800</f>
        <v>460</v>
      </c>
      <c r="O1800" s="236">
        <f t="shared" si="188"/>
        <v>0</v>
      </c>
      <c r="P1800" s="238" t="s">
        <v>6383</v>
      </c>
      <c r="Q1800" s="1" t="s">
        <v>6384</v>
      </c>
      <c r="R1800" s="239" t="s">
        <v>6380</v>
      </c>
      <c r="S1800" s="238" t="s">
        <v>6381</v>
      </c>
      <c r="T1800" s="238" t="s">
        <v>6379</v>
      </c>
      <c r="U1800" s="238" t="s">
        <v>6385</v>
      </c>
      <c r="V1800" s="238" t="s">
        <v>6896</v>
      </c>
      <c r="W1800" s="236">
        <v>13881</v>
      </c>
      <c r="X1800" s="233">
        <v>41410</v>
      </c>
      <c r="Y1800" s="238" t="s">
        <v>6897</v>
      </c>
      <c r="AB1800" s="1" t="s">
        <v>1561</v>
      </c>
    </row>
    <row r="1801" spans="1:28">
      <c r="A1801" s="233">
        <v>41383</v>
      </c>
      <c r="B1801" s="1" t="s">
        <v>6377</v>
      </c>
      <c r="C1801" s="1" t="s">
        <v>162</v>
      </c>
      <c r="D1801" s="1" t="s">
        <v>240</v>
      </c>
      <c r="E1801" s="1">
        <v>6200</v>
      </c>
      <c r="F1801" s="1">
        <v>1</v>
      </c>
      <c r="G1801" s="1" t="s">
        <v>170</v>
      </c>
      <c r="H1801" s="234">
        <v>60</v>
      </c>
      <c r="I1801" s="235">
        <f t="shared" si="186"/>
        <v>60</v>
      </c>
      <c r="K1801" s="250">
        <f>43.7*1</f>
        <v>43.7</v>
      </c>
      <c r="L1801" s="237">
        <v>41386</v>
      </c>
      <c r="M1801" s="1" t="s">
        <v>166</v>
      </c>
      <c r="N1801" s="236">
        <f t="shared" si="189"/>
        <v>60</v>
      </c>
      <c r="O1801" s="236">
        <f t="shared" si="188"/>
        <v>0</v>
      </c>
      <c r="P1801" s="238" t="s">
        <v>6383</v>
      </c>
      <c r="Q1801" s="1" t="s">
        <v>6384</v>
      </c>
      <c r="R1801" s="239" t="s">
        <v>6380</v>
      </c>
      <c r="S1801" s="238" t="s">
        <v>6381</v>
      </c>
      <c r="T1801" s="238" t="s">
        <v>6379</v>
      </c>
      <c r="U1801" s="238" t="s">
        <v>6385</v>
      </c>
      <c r="V1801" s="238" t="s">
        <v>6896</v>
      </c>
      <c r="W1801" s="236">
        <v>13881</v>
      </c>
      <c r="X1801" s="233">
        <v>41410</v>
      </c>
      <c r="Y1801" s="238" t="s">
        <v>6897</v>
      </c>
      <c r="AB1801" s="1" t="s">
        <v>1561</v>
      </c>
    </row>
    <row r="1802" spans="1:28">
      <c r="A1802" s="233">
        <v>41383</v>
      </c>
      <c r="B1802" s="1" t="s">
        <v>6377</v>
      </c>
      <c r="C1802" s="1" t="s">
        <v>162</v>
      </c>
      <c r="D1802" s="1" t="s">
        <v>353</v>
      </c>
      <c r="E1802" s="1" t="s">
        <v>145</v>
      </c>
      <c r="F1802" s="1">
        <v>2</v>
      </c>
      <c r="G1802" s="1" t="s">
        <v>170</v>
      </c>
      <c r="H1802" s="234">
        <v>25</v>
      </c>
      <c r="I1802" s="235">
        <f t="shared" si="186"/>
        <v>50</v>
      </c>
      <c r="K1802" s="250">
        <f>14*2</f>
        <v>28</v>
      </c>
      <c r="L1802" s="237">
        <v>41386</v>
      </c>
      <c r="M1802" s="1" t="s">
        <v>166</v>
      </c>
      <c r="N1802" s="236">
        <f t="shared" si="189"/>
        <v>50</v>
      </c>
      <c r="O1802" s="236">
        <f t="shared" si="188"/>
        <v>0</v>
      </c>
      <c r="P1802" s="238" t="s">
        <v>6383</v>
      </c>
      <c r="Q1802" s="1" t="s">
        <v>6384</v>
      </c>
      <c r="R1802" s="239" t="s">
        <v>6380</v>
      </c>
      <c r="S1802" s="238" t="s">
        <v>6381</v>
      </c>
      <c r="T1802" s="238" t="s">
        <v>6379</v>
      </c>
      <c r="U1802" s="238" t="s">
        <v>6385</v>
      </c>
      <c r="V1802" s="238" t="s">
        <v>6896</v>
      </c>
      <c r="W1802" s="236">
        <v>13881</v>
      </c>
      <c r="X1802" s="233">
        <v>41410</v>
      </c>
      <c r="Y1802" s="238" t="s">
        <v>6897</v>
      </c>
      <c r="AB1802" s="1" t="s">
        <v>1561</v>
      </c>
    </row>
    <row r="1803" spans="1:28">
      <c r="A1803" s="233">
        <v>41383</v>
      </c>
      <c r="B1803" s="1" t="s">
        <v>6377</v>
      </c>
      <c r="C1803" s="1" t="s">
        <v>162</v>
      </c>
      <c r="D1803" s="5" t="s">
        <v>1869</v>
      </c>
      <c r="E1803" s="1">
        <v>501</v>
      </c>
      <c r="F1803" s="1">
        <v>2</v>
      </c>
      <c r="G1803" s="1" t="s">
        <v>170</v>
      </c>
      <c r="H1803" s="234">
        <v>6</v>
      </c>
      <c r="I1803" s="235">
        <f t="shared" si="186"/>
        <v>12</v>
      </c>
      <c r="K1803" s="250">
        <f>1.39*2</f>
        <v>2.78</v>
      </c>
      <c r="L1803" s="237">
        <v>41386</v>
      </c>
      <c r="M1803" s="1" t="s">
        <v>166</v>
      </c>
      <c r="N1803" s="236">
        <f t="shared" si="189"/>
        <v>12</v>
      </c>
      <c r="O1803" s="236">
        <f t="shared" si="188"/>
        <v>0</v>
      </c>
      <c r="P1803" s="238" t="s">
        <v>6383</v>
      </c>
      <c r="Q1803" s="1" t="s">
        <v>6384</v>
      </c>
      <c r="R1803" s="239" t="s">
        <v>6380</v>
      </c>
      <c r="S1803" s="238" t="s">
        <v>6381</v>
      </c>
      <c r="T1803" s="238" t="s">
        <v>6379</v>
      </c>
      <c r="U1803" s="238" t="s">
        <v>6385</v>
      </c>
      <c r="V1803" s="238" t="s">
        <v>6896</v>
      </c>
      <c r="W1803" s="236">
        <v>13881</v>
      </c>
      <c r="X1803" s="233">
        <v>41410</v>
      </c>
      <c r="Y1803" s="238" t="s">
        <v>6897</v>
      </c>
      <c r="AB1803" s="1" t="s">
        <v>1561</v>
      </c>
    </row>
    <row r="1804" spans="1:28">
      <c r="A1804" s="233">
        <v>41383</v>
      </c>
      <c r="B1804" s="1" t="s">
        <v>6377</v>
      </c>
      <c r="C1804" s="1" t="s">
        <v>162</v>
      </c>
      <c r="D1804" s="5" t="s">
        <v>182</v>
      </c>
      <c r="E1804" s="1" t="s">
        <v>194</v>
      </c>
      <c r="F1804" s="1">
        <v>2</v>
      </c>
      <c r="G1804" s="1" t="s">
        <v>6382</v>
      </c>
      <c r="H1804" s="234">
        <v>6.5</v>
      </c>
      <c r="I1804" s="235">
        <f>F1804*H1804</f>
        <v>13</v>
      </c>
      <c r="K1804" s="250">
        <f>4.5*2</f>
        <v>9</v>
      </c>
      <c r="L1804" s="237">
        <v>41386</v>
      </c>
      <c r="M1804" s="1" t="s">
        <v>166</v>
      </c>
      <c r="N1804" s="236">
        <f t="shared" si="189"/>
        <v>13</v>
      </c>
      <c r="O1804" s="236">
        <f t="shared" si="188"/>
        <v>0</v>
      </c>
      <c r="P1804" s="238" t="s">
        <v>6383</v>
      </c>
      <c r="Q1804" s="1" t="s">
        <v>6384</v>
      </c>
      <c r="R1804" s="239" t="s">
        <v>6380</v>
      </c>
      <c r="S1804" s="238" t="s">
        <v>6381</v>
      </c>
      <c r="T1804" s="238" t="s">
        <v>6379</v>
      </c>
      <c r="U1804" s="238" t="s">
        <v>6385</v>
      </c>
      <c r="V1804" s="238" t="s">
        <v>6896</v>
      </c>
      <c r="W1804" s="236">
        <v>13881</v>
      </c>
      <c r="X1804" s="233">
        <v>41410</v>
      </c>
      <c r="Y1804" s="238" t="s">
        <v>6897</v>
      </c>
      <c r="AB1804" s="1" t="s">
        <v>1561</v>
      </c>
    </row>
    <row r="1805" spans="1:28">
      <c r="A1805" s="233">
        <v>41383</v>
      </c>
      <c r="B1805" s="1" t="s">
        <v>6377</v>
      </c>
      <c r="C1805" s="1" t="s">
        <v>7</v>
      </c>
      <c r="D1805" s="1" t="s">
        <v>5934</v>
      </c>
      <c r="E1805" s="1" t="s">
        <v>6378</v>
      </c>
      <c r="F1805" s="1">
        <v>12</v>
      </c>
      <c r="G1805" s="1" t="s">
        <v>6350</v>
      </c>
      <c r="H1805" s="234">
        <v>13</v>
      </c>
      <c r="I1805" s="235">
        <f t="shared" ref="I1805:I1813" si="190">F1805*H1805</f>
        <v>156</v>
      </c>
      <c r="K1805" s="282">
        <f>0</f>
        <v>0</v>
      </c>
      <c r="L1805" s="237">
        <v>41386</v>
      </c>
      <c r="M1805" s="1" t="s">
        <v>166</v>
      </c>
      <c r="N1805" s="236">
        <f t="shared" si="189"/>
        <v>156</v>
      </c>
      <c r="O1805" s="236">
        <f t="shared" si="188"/>
        <v>0</v>
      </c>
      <c r="P1805" s="238" t="s">
        <v>6383</v>
      </c>
      <c r="Q1805" s="1" t="s">
        <v>6384</v>
      </c>
      <c r="R1805" s="239" t="s">
        <v>6380</v>
      </c>
      <c r="S1805" s="238" t="s">
        <v>6381</v>
      </c>
      <c r="T1805" s="238" t="s">
        <v>6379</v>
      </c>
      <c r="U1805" s="238" t="s">
        <v>6385</v>
      </c>
      <c r="V1805" s="238" t="s">
        <v>6896</v>
      </c>
      <c r="W1805" s="236">
        <v>13881</v>
      </c>
      <c r="X1805" s="233">
        <v>41410</v>
      </c>
      <c r="Y1805" s="238" t="s">
        <v>6897</v>
      </c>
      <c r="AB1805" s="1" t="s">
        <v>1561</v>
      </c>
    </row>
    <row r="1806" spans="1:28">
      <c r="A1806" s="233">
        <v>41383</v>
      </c>
      <c r="B1806" s="1" t="s">
        <v>6377</v>
      </c>
      <c r="C1806" s="1" t="s">
        <v>861</v>
      </c>
      <c r="D1806" s="378" t="s">
        <v>6375</v>
      </c>
      <c r="E1806" s="65" t="s">
        <v>860</v>
      </c>
      <c r="F1806" s="378">
        <v>7</v>
      </c>
      <c r="G1806" s="378" t="s">
        <v>192</v>
      </c>
      <c r="H1806" s="234">
        <v>90</v>
      </c>
      <c r="I1806" s="235">
        <f t="shared" si="190"/>
        <v>630</v>
      </c>
      <c r="K1806" s="250">
        <f>85*7</f>
        <v>595</v>
      </c>
      <c r="L1806" s="237">
        <v>41386</v>
      </c>
      <c r="M1806" s="1" t="s">
        <v>166</v>
      </c>
      <c r="N1806" s="236">
        <f>I1806</f>
        <v>630</v>
      </c>
      <c r="O1806" s="236">
        <f t="shared" ref="O1806:O2135" si="191">I1806-N1806</f>
        <v>0</v>
      </c>
      <c r="P1806" s="238" t="s">
        <v>6383</v>
      </c>
      <c r="Q1806" s="1" t="s">
        <v>3664</v>
      </c>
      <c r="R1806" s="239" t="s">
        <v>6380</v>
      </c>
      <c r="S1806" s="238" t="s">
        <v>6381</v>
      </c>
      <c r="T1806" s="238" t="s">
        <v>6379</v>
      </c>
      <c r="U1806" s="238" t="s">
        <v>6385</v>
      </c>
      <c r="V1806" s="238" t="s">
        <v>6896</v>
      </c>
      <c r="W1806" s="236">
        <v>13881</v>
      </c>
      <c r="X1806" s="233">
        <v>41410</v>
      </c>
      <c r="Y1806" s="238" t="s">
        <v>6897</v>
      </c>
      <c r="AB1806" s="1" t="s">
        <v>1561</v>
      </c>
    </row>
    <row r="1807" spans="1:28">
      <c r="A1807" s="233">
        <v>41383</v>
      </c>
      <c r="B1807" s="1" t="s">
        <v>1979</v>
      </c>
      <c r="C1807" s="1" t="s">
        <v>162</v>
      </c>
      <c r="D1807" s="5" t="s">
        <v>1930</v>
      </c>
      <c r="E1807" s="1" t="s">
        <v>6391</v>
      </c>
      <c r="F1807" s="1">
        <v>60</v>
      </c>
      <c r="G1807" s="1" t="s">
        <v>6392</v>
      </c>
      <c r="H1807" s="234">
        <v>5</v>
      </c>
      <c r="I1807" s="235">
        <f t="shared" si="190"/>
        <v>300</v>
      </c>
      <c r="K1807" s="250">
        <f>4.9*60</f>
        <v>294</v>
      </c>
      <c r="L1807" s="237">
        <v>41390</v>
      </c>
      <c r="M1807" s="1" t="s">
        <v>6067</v>
      </c>
      <c r="N1807" s="235">
        <f t="shared" ref="N1807:N1808" si="192">I1807</f>
        <v>300</v>
      </c>
      <c r="O1807" s="235">
        <f t="shared" si="191"/>
        <v>0</v>
      </c>
      <c r="P1807" s="238" t="s">
        <v>6393</v>
      </c>
      <c r="Q1807" s="1" t="s">
        <v>1562</v>
      </c>
      <c r="R1807" s="265" t="s">
        <v>68</v>
      </c>
      <c r="S1807" s="265" t="s">
        <v>2973</v>
      </c>
      <c r="T1807" s="238" t="s">
        <v>67</v>
      </c>
      <c r="U1807" s="238" t="s">
        <v>167</v>
      </c>
      <c r="AB1807" s="1" t="s">
        <v>1561</v>
      </c>
    </row>
    <row r="1808" spans="1:28">
      <c r="A1808" s="233">
        <v>41386</v>
      </c>
      <c r="B1808" s="1" t="s">
        <v>1979</v>
      </c>
      <c r="C1808" s="1" t="s">
        <v>162</v>
      </c>
      <c r="D1808" s="5" t="s">
        <v>346</v>
      </c>
      <c r="E1808" s="1">
        <v>3700</v>
      </c>
      <c r="F1808" s="1">
        <v>100</v>
      </c>
      <c r="G1808" s="1" t="s">
        <v>170</v>
      </c>
      <c r="H1808" s="234">
        <v>3.95</v>
      </c>
      <c r="I1808" s="235">
        <f t="shared" si="190"/>
        <v>395</v>
      </c>
      <c r="K1808" s="250">
        <f>3.65*100</f>
        <v>365</v>
      </c>
      <c r="L1808" s="237">
        <v>41390</v>
      </c>
      <c r="M1808" s="1" t="s">
        <v>6067</v>
      </c>
      <c r="N1808" s="235">
        <f t="shared" si="192"/>
        <v>395</v>
      </c>
      <c r="O1808" s="236">
        <f t="shared" si="191"/>
        <v>0</v>
      </c>
      <c r="P1808" s="238" t="s">
        <v>6394</v>
      </c>
      <c r="Q1808" s="1" t="s">
        <v>1562</v>
      </c>
      <c r="R1808" s="265" t="s">
        <v>68</v>
      </c>
      <c r="S1808" s="265" t="s">
        <v>2973</v>
      </c>
      <c r="T1808" s="238" t="s">
        <v>67</v>
      </c>
      <c r="U1808" s="238" t="s">
        <v>167</v>
      </c>
      <c r="AB1808" s="1" t="s">
        <v>1561</v>
      </c>
    </row>
    <row r="1809" spans="1:28">
      <c r="A1809" s="233">
        <v>41386</v>
      </c>
      <c r="B1809" s="136" t="s">
        <v>5974</v>
      </c>
      <c r="C1809" s="1" t="s">
        <v>6216</v>
      </c>
      <c r="D1809" s="1" t="s">
        <v>6214</v>
      </c>
      <c r="E1809" s="372">
        <v>110110</v>
      </c>
      <c r="F1809" s="1">
        <v>200</v>
      </c>
      <c r="G1809" s="1" t="s">
        <v>6215</v>
      </c>
      <c r="H1809" s="234">
        <v>18</v>
      </c>
      <c r="I1809" s="235">
        <f t="shared" si="190"/>
        <v>3600</v>
      </c>
      <c r="K1809" s="250">
        <f>13.12*200</f>
        <v>2624</v>
      </c>
      <c r="N1809" s="235">
        <v>0</v>
      </c>
      <c r="O1809" s="235">
        <f t="shared" si="191"/>
        <v>3600</v>
      </c>
      <c r="P1809" s="238" t="s">
        <v>6408</v>
      </c>
      <c r="Q1809" s="1" t="s">
        <v>2505</v>
      </c>
      <c r="R1809" s="239" t="s">
        <v>5318</v>
      </c>
      <c r="S1809" s="238" t="s">
        <v>5319</v>
      </c>
      <c r="T1809" s="238" t="s">
        <v>5317</v>
      </c>
      <c r="U1809" s="238" t="s">
        <v>6198</v>
      </c>
      <c r="V1809" s="238" t="s">
        <v>6858</v>
      </c>
      <c r="W1809" s="236">
        <v>10988</v>
      </c>
      <c r="X1809" s="233">
        <v>41410</v>
      </c>
      <c r="AB1809" s="1" t="s">
        <v>2064</v>
      </c>
    </row>
    <row r="1810" spans="1:28">
      <c r="A1810" s="233">
        <v>41386</v>
      </c>
      <c r="B1810" s="136" t="s">
        <v>5974</v>
      </c>
      <c r="C1810" s="1" t="s">
        <v>167</v>
      </c>
      <c r="D1810" s="1" t="s">
        <v>5679</v>
      </c>
      <c r="E1810" s="1" t="s">
        <v>167</v>
      </c>
      <c r="F1810" s="1">
        <v>20</v>
      </c>
      <c r="G1810" s="1" t="s">
        <v>1071</v>
      </c>
      <c r="H1810" s="234">
        <v>38</v>
      </c>
      <c r="I1810" s="235">
        <f t="shared" si="190"/>
        <v>760</v>
      </c>
      <c r="K1810" s="250">
        <f>30*20</f>
        <v>600</v>
      </c>
      <c r="N1810" s="235">
        <v>0</v>
      </c>
      <c r="O1810" s="235">
        <f t="shared" si="191"/>
        <v>760</v>
      </c>
      <c r="P1810" s="238" t="s">
        <v>6408</v>
      </c>
      <c r="Q1810" s="1" t="s">
        <v>2505</v>
      </c>
      <c r="R1810" s="239" t="s">
        <v>5318</v>
      </c>
      <c r="S1810" s="238" t="s">
        <v>5319</v>
      </c>
      <c r="T1810" s="238" t="s">
        <v>5317</v>
      </c>
      <c r="U1810" s="238" t="s">
        <v>6198</v>
      </c>
      <c r="V1810" s="238" t="s">
        <v>6858</v>
      </c>
      <c r="W1810" s="236">
        <v>10988</v>
      </c>
      <c r="X1810" s="233">
        <v>41410</v>
      </c>
      <c r="AB1810" s="1" t="s">
        <v>2064</v>
      </c>
    </row>
    <row r="1811" spans="1:28">
      <c r="A1811" s="233">
        <v>41386</v>
      </c>
      <c r="B1811" s="136" t="s">
        <v>5974</v>
      </c>
      <c r="C1811" s="1" t="s">
        <v>7</v>
      </c>
      <c r="D1811" s="1" t="s">
        <v>5769</v>
      </c>
      <c r="E1811" s="1" t="s">
        <v>5357</v>
      </c>
      <c r="F1811" s="1">
        <v>200</v>
      </c>
      <c r="G1811" s="1" t="s">
        <v>827</v>
      </c>
      <c r="H1811" s="234">
        <v>9</v>
      </c>
      <c r="I1811" s="235">
        <f t="shared" si="190"/>
        <v>1800</v>
      </c>
      <c r="K1811" s="282">
        <f>0</f>
        <v>0</v>
      </c>
      <c r="N1811" s="235">
        <v>0</v>
      </c>
      <c r="O1811" s="235">
        <f t="shared" si="191"/>
        <v>1800</v>
      </c>
      <c r="P1811" s="238" t="s">
        <v>6408</v>
      </c>
      <c r="Q1811" s="1" t="s">
        <v>2505</v>
      </c>
      <c r="R1811" s="239" t="s">
        <v>5318</v>
      </c>
      <c r="S1811" s="238" t="s">
        <v>5319</v>
      </c>
      <c r="T1811" s="238" t="s">
        <v>5317</v>
      </c>
      <c r="U1811" s="238" t="s">
        <v>6198</v>
      </c>
      <c r="V1811" s="238" t="s">
        <v>6858</v>
      </c>
      <c r="W1811" s="236">
        <v>10988</v>
      </c>
      <c r="X1811" s="233">
        <v>41410</v>
      </c>
      <c r="Z1811" s="255" t="s">
        <v>6406</v>
      </c>
      <c r="AB1811" s="1" t="s">
        <v>2064</v>
      </c>
    </row>
    <row r="1812" spans="1:28">
      <c r="A1812" s="233">
        <v>41386</v>
      </c>
      <c r="B1812" s="136" t="s">
        <v>5974</v>
      </c>
      <c r="C1812" s="1" t="s">
        <v>7</v>
      </c>
      <c r="D1812" s="1" t="s">
        <v>5681</v>
      </c>
      <c r="E1812" s="1">
        <v>3985</v>
      </c>
      <c r="F1812" s="1">
        <v>400</v>
      </c>
      <c r="G1812" s="1" t="s">
        <v>827</v>
      </c>
      <c r="H1812" s="234">
        <v>8</v>
      </c>
      <c r="I1812" s="235">
        <f t="shared" si="190"/>
        <v>3200</v>
      </c>
      <c r="K1812" s="282">
        <f>6.8*200+0*200</f>
        <v>1360</v>
      </c>
      <c r="N1812" s="235">
        <v>0</v>
      </c>
      <c r="O1812" s="235">
        <f t="shared" si="191"/>
        <v>3200</v>
      </c>
      <c r="P1812" s="238" t="s">
        <v>6408</v>
      </c>
      <c r="Q1812" s="1" t="s">
        <v>2505</v>
      </c>
      <c r="R1812" s="239" t="s">
        <v>5318</v>
      </c>
      <c r="S1812" s="238" t="s">
        <v>5319</v>
      </c>
      <c r="T1812" s="238" t="s">
        <v>5317</v>
      </c>
      <c r="U1812" s="238" t="s">
        <v>6198</v>
      </c>
      <c r="V1812" s="238" t="s">
        <v>6858</v>
      </c>
      <c r="W1812" s="236">
        <v>10988</v>
      </c>
      <c r="X1812" s="233">
        <v>41410</v>
      </c>
      <c r="Z1812" s="255" t="s">
        <v>6407</v>
      </c>
      <c r="AB1812" s="1" t="s">
        <v>2064</v>
      </c>
    </row>
    <row r="1813" spans="1:28">
      <c r="A1813" s="233">
        <v>41386</v>
      </c>
      <c r="B1813" s="136" t="s">
        <v>5974</v>
      </c>
      <c r="C1813" s="1" t="s">
        <v>167</v>
      </c>
      <c r="D1813" s="1" t="s">
        <v>5682</v>
      </c>
      <c r="E1813" s="1" t="s">
        <v>167</v>
      </c>
      <c r="F1813" s="1">
        <v>40</v>
      </c>
      <c r="G1813" s="1" t="s">
        <v>1071</v>
      </c>
      <c r="H1813" s="234">
        <v>5</v>
      </c>
      <c r="I1813" s="235">
        <f t="shared" si="190"/>
        <v>200</v>
      </c>
      <c r="K1813" s="250">
        <f>3.8*40</f>
        <v>152</v>
      </c>
      <c r="N1813" s="235">
        <v>0</v>
      </c>
      <c r="O1813" s="235">
        <f t="shared" si="191"/>
        <v>200</v>
      </c>
      <c r="P1813" s="238" t="s">
        <v>6408</v>
      </c>
      <c r="Q1813" s="1" t="s">
        <v>2505</v>
      </c>
      <c r="R1813" s="239" t="s">
        <v>5318</v>
      </c>
      <c r="S1813" s="238" t="s">
        <v>5319</v>
      </c>
      <c r="T1813" s="238" t="s">
        <v>5317</v>
      </c>
      <c r="U1813" s="238" t="s">
        <v>6198</v>
      </c>
      <c r="V1813" s="238" t="s">
        <v>6858</v>
      </c>
      <c r="W1813" s="236">
        <v>10988</v>
      </c>
      <c r="X1813" s="233">
        <v>41410</v>
      </c>
      <c r="AB1813" s="1" t="s">
        <v>2064</v>
      </c>
    </row>
    <row r="1814" spans="1:28">
      <c r="A1814" s="233">
        <v>41386</v>
      </c>
      <c r="B1814" s="1" t="s">
        <v>2692</v>
      </c>
      <c r="C1814" s="1" t="s">
        <v>6347</v>
      </c>
      <c r="D1814" s="1" t="s">
        <v>6349</v>
      </c>
      <c r="E1814" s="1" t="s">
        <v>6348</v>
      </c>
      <c r="F1814" s="1">
        <v>4</v>
      </c>
      <c r="G1814" s="1" t="s">
        <v>6350</v>
      </c>
      <c r="H1814" s="234">
        <v>135</v>
      </c>
      <c r="I1814" s="235">
        <f t="shared" ref="I1814:I2135" si="193">F1814*H1814</f>
        <v>540</v>
      </c>
      <c r="K1814" s="250">
        <f>96.2*4</f>
        <v>384.8</v>
      </c>
      <c r="L1814" s="237">
        <v>41382</v>
      </c>
      <c r="M1814" s="1" t="s">
        <v>165</v>
      </c>
      <c r="N1814" s="236">
        <f>I1814</f>
        <v>540</v>
      </c>
      <c r="O1814" s="236">
        <f t="shared" si="191"/>
        <v>0</v>
      </c>
      <c r="P1814" s="238" t="s">
        <v>6413</v>
      </c>
      <c r="Q1814" s="1" t="s">
        <v>4010</v>
      </c>
      <c r="R1814" s="239" t="s">
        <v>2688</v>
      </c>
      <c r="S1814" s="238" t="s">
        <v>2689</v>
      </c>
      <c r="T1814" s="238" t="s">
        <v>2557</v>
      </c>
      <c r="U1814" s="238" t="s">
        <v>6414</v>
      </c>
      <c r="V1814" s="238" t="s">
        <v>6997</v>
      </c>
      <c r="W1814" s="236">
        <v>6366.3</v>
      </c>
      <c r="X1814" s="233">
        <v>41417</v>
      </c>
      <c r="Y1814" s="238" t="s">
        <v>6998</v>
      </c>
      <c r="AB1814" s="1" t="s">
        <v>1561</v>
      </c>
    </row>
    <row r="1815" spans="1:28">
      <c r="A1815" s="233">
        <v>41386</v>
      </c>
      <c r="B1815" s="1" t="s">
        <v>2174</v>
      </c>
      <c r="C1815" s="1" t="s">
        <v>162</v>
      </c>
      <c r="D1815" s="391" t="s">
        <v>5047</v>
      </c>
      <c r="E1815" s="1">
        <v>8210</v>
      </c>
      <c r="F1815" s="1">
        <v>30</v>
      </c>
      <c r="G1815" s="1" t="s">
        <v>170</v>
      </c>
      <c r="H1815" s="234">
        <v>4.5</v>
      </c>
      <c r="I1815" s="235">
        <f t="shared" si="193"/>
        <v>135</v>
      </c>
      <c r="K1815" s="250">
        <f>3.78*30</f>
        <v>113.39999999999999</v>
      </c>
      <c r="L1815" s="237">
        <v>41386</v>
      </c>
      <c r="M1815" s="1" t="s">
        <v>698</v>
      </c>
      <c r="N1815" s="235">
        <f>I1815</f>
        <v>135</v>
      </c>
      <c r="O1815" s="236">
        <f t="shared" si="191"/>
        <v>0</v>
      </c>
      <c r="P1815" s="238" t="s">
        <v>6409</v>
      </c>
      <c r="Q1815" s="1" t="s">
        <v>2505</v>
      </c>
      <c r="R1815" s="239" t="s">
        <v>2176</v>
      </c>
      <c r="S1815" s="238" t="s">
        <v>2177</v>
      </c>
      <c r="T1815" s="238" t="s">
        <v>3533</v>
      </c>
      <c r="U1815" s="238" t="s">
        <v>167</v>
      </c>
      <c r="V1815" s="246" t="s">
        <v>175</v>
      </c>
      <c r="W1815" s="236" t="s">
        <v>167</v>
      </c>
      <c r="X1815" s="233" t="s">
        <v>167</v>
      </c>
      <c r="Y1815" s="238" t="s">
        <v>167</v>
      </c>
      <c r="AB1815" s="5" t="s">
        <v>1561</v>
      </c>
    </row>
    <row r="1816" spans="1:28">
      <c r="A1816" s="233">
        <v>41386</v>
      </c>
      <c r="B1816" s="1" t="s">
        <v>5907</v>
      </c>
      <c r="C1816" s="1" t="s">
        <v>162</v>
      </c>
      <c r="D1816" s="391" t="s">
        <v>5047</v>
      </c>
      <c r="E1816" s="1">
        <v>8210</v>
      </c>
      <c r="F1816" s="1">
        <v>50</v>
      </c>
      <c r="G1816" s="1" t="s">
        <v>6415</v>
      </c>
      <c r="H1816" s="234">
        <v>4.3499999999999996</v>
      </c>
      <c r="I1816" s="235">
        <f t="shared" si="193"/>
        <v>217.49999999999997</v>
      </c>
      <c r="K1816" s="250">
        <f>3.78*50</f>
        <v>189</v>
      </c>
      <c r="L1816" s="237">
        <v>41386</v>
      </c>
      <c r="M1816" s="1" t="s">
        <v>698</v>
      </c>
      <c r="N1816" s="1">
        <f>I1816</f>
        <v>217.49999999999997</v>
      </c>
      <c r="O1816" s="236">
        <f t="shared" si="191"/>
        <v>0</v>
      </c>
      <c r="P1816" s="238" t="s">
        <v>6417</v>
      </c>
      <c r="Q1816" s="1" t="s">
        <v>1562</v>
      </c>
      <c r="R1816" s="239" t="s">
        <v>6341</v>
      </c>
      <c r="S1816" s="238" t="s">
        <v>6342</v>
      </c>
      <c r="T1816" s="238" t="s">
        <v>167</v>
      </c>
      <c r="V1816" s="238" t="s">
        <v>6987</v>
      </c>
      <c r="W1816" s="236">
        <v>1329.4</v>
      </c>
      <c r="X1816" s="233">
        <v>41416</v>
      </c>
      <c r="Y1816" s="238" t="s">
        <v>6988</v>
      </c>
      <c r="AB1816" s="1" t="s">
        <v>1561</v>
      </c>
    </row>
    <row r="1817" spans="1:28">
      <c r="A1817" s="233">
        <v>41386</v>
      </c>
      <c r="B1817" s="1" t="s">
        <v>5907</v>
      </c>
      <c r="C1817" s="1" t="s">
        <v>162</v>
      </c>
      <c r="D1817" s="1" t="s">
        <v>1749</v>
      </c>
      <c r="E1817" s="1">
        <v>1621</v>
      </c>
      <c r="F1817" s="1">
        <v>100</v>
      </c>
      <c r="G1817" s="1" t="s">
        <v>6416</v>
      </c>
      <c r="H1817" s="234">
        <v>10</v>
      </c>
      <c r="I1817" s="235">
        <f t="shared" si="193"/>
        <v>1000</v>
      </c>
      <c r="K1817" s="250">
        <f>8.84*100</f>
        <v>884</v>
      </c>
      <c r="L1817" s="237">
        <v>41386</v>
      </c>
      <c r="M1817" s="1" t="s">
        <v>698</v>
      </c>
      <c r="N1817" s="1">
        <f>I1817</f>
        <v>1000</v>
      </c>
      <c r="O1817" s="236">
        <f t="shared" si="191"/>
        <v>0</v>
      </c>
      <c r="P1817" s="238" t="s">
        <v>6417</v>
      </c>
      <c r="Q1817" s="1" t="s">
        <v>1562</v>
      </c>
      <c r="R1817" s="239" t="s">
        <v>6341</v>
      </c>
      <c r="S1817" s="238" t="s">
        <v>6342</v>
      </c>
      <c r="T1817" s="238" t="s">
        <v>167</v>
      </c>
      <c r="V1817" s="238" t="s">
        <v>6987</v>
      </c>
      <c r="W1817" s="236">
        <v>1329.4</v>
      </c>
      <c r="X1817" s="233">
        <v>41416</v>
      </c>
      <c r="Y1817" s="238" t="s">
        <v>6988</v>
      </c>
      <c r="AB1817" s="1" t="s">
        <v>1561</v>
      </c>
    </row>
    <row r="1818" spans="1:28">
      <c r="A1818" s="233">
        <v>41387</v>
      </c>
      <c r="B1818" s="1" t="s">
        <v>4058</v>
      </c>
      <c r="C1818" s="5" t="s">
        <v>833</v>
      </c>
      <c r="D1818" s="391" t="s">
        <v>5047</v>
      </c>
      <c r="E1818" s="1">
        <v>8210</v>
      </c>
      <c r="F1818" s="1">
        <v>360</v>
      </c>
      <c r="G1818" s="1" t="s">
        <v>170</v>
      </c>
      <c r="H1818" s="234">
        <v>6.9</v>
      </c>
      <c r="I1818" s="235">
        <f>F1818*H1818</f>
        <v>2484</v>
      </c>
      <c r="K1818" s="250">
        <f>3.78*360</f>
        <v>1360.8</v>
      </c>
      <c r="N1818" s="235">
        <v>0</v>
      </c>
      <c r="O1818" s="235">
        <f>I1818-N1818</f>
        <v>2484</v>
      </c>
      <c r="P1818" s="238" t="s">
        <v>6445</v>
      </c>
      <c r="Q1818" s="1" t="s">
        <v>2505</v>
      </c>
      <c r="R1818" s="239" t="s">
        <v>3858</v>
      </c>
      <c r="S1818" s="238" t="s">
        <v>3859</v>
      </c>
      <c r="T1818" s="238" t="s">
        <v>3924</v>
      </c>
      <c r="U1818" s="238" t="s">
        <v>167</v>
      </c>
      <c r="V1818" s="246" t="s">
        <v>6863</v>
      </c>
      <c r="W1818" s="235">
        <v>26992</v>
      </c>
      <c r="X1818" s="7">
        <v>41410</v>
      </c>
      <c r="Y1818" s="246" t="s">
        <v>6885</v>
      </c>
      <c r="AB1818" s="1" t="s">
        <v>2064</v>
      </c>
    </row>
    <row r="1819" spans="1:28">
      <c r="A1819" s="233">
        <v>41387</v>
      </c>
      <c r="B1819" s="1" t="s">
        <v>4058</v>
      </c>
      <c r="C1819" s="5" t="s">
        <v>833</v>
      </c>
      <c r="D1819" s="5" t="s">
        <v>51</v>
      </c>
      <c r="E1819" s="1">
        <v>9032</v>
      </c>
      <c r="F1819" s="1">
        <v>1500</v>
      </c>
      <c r="G1819" s="1" t="s">
        <v>170</v>
      </c>
      <c r="H1819" s="234">
        <v>2.7</v>
      </c>
      <c r="I1819" s="235">
        <f>F1819*H1819</f>
        <v>4050.0000000000005</v>
      </c>
      <c r="K1819" s="250">
        <f>1.4929*1500</f>
        <v>2239.35</v>
      </c>
      <c r="N1819" s="235">
        <v>0</v>
      </c>
      <c r="O1819" s="235">
        <f>I1819-N1819</f>
        <v>4050.0000000000005</v>
      </c>
      <c r="P1819" s="238" t="s">
        <v>6445</v>
      </c>
      <c r="Q1819" s="1" t="s">
        <v>2505</v>
      </c>
      <c r="R1819" s="239" t="s">
        <v>3858</v>
      </c>
      <c r="S1819" s="238" t="s">
        <v>3859</v>
      </c>
      <c r="T1819" s="238" t="s">
        <v>3924</v>
      </c>
      <c r="U1819" s="238" t="s">
        <v>167</v>
      </c>
      <c r="V1819" s="246" t="s">
        <v>6863</v>
      </c>
      <c r="W1819" s="235">
        <v>26992</v>
      </c>
      <c r="X1819" s="7">
        <v>41410</v>
      </c>
      <c r="Y1819" s="246" t="s">
        <v>6885</v>
      </c>
      <c r="AB1819" s="1" t="s">
        <v>2064</v>
      </c>
    </row>
    <row r="1820" spans="1:28">
      <c r="A1820" s="233">
        <v>41387</v>
      </c>
      <c r="B1820" s="1" t="s">
        <v>4058</v>
      </c>
      <c r="C1820" s="5" t="s">
        <v>833</v>
      </c>
      <c r="D1820" s="230" t="s">
        <v>1916</v>
      </c>
      <c r="E1820" s="1">
        <v>6800</v>
      </c>
      <c r="F1820" s="1">
        <v>1</v>
      </c>
      <c r="G1820" s="1" t="s">
        <v>170</v>
      </c>
      <c r="H1820" s="234">
        <v>898</v>
      </c>
      <c r="I1820" s="235">
        <f>F1820*H1820</f>
        <v>898</v>
      </c>
      <c r="K1820" s="250">
        <f>415*1</f>
        <v>415</v>
      </c>
      <c r="N1820" s="235">
        <v>0</v>
      </c>
      <c r="O1820" s="235">
        <f>I1820-N1820</f>
        <v>898</v>
      </c>
      <c r="P1820" s="238" t="s">
        <v>6445</v>
      </c>
      <c r="Q1820" s="1" t="s">
        <v>2505</v>
      </c>
      <c r="R1820" s="239" t="s">
        <v>3858</v>
      </c>
      <c r="S1820" s="238" t="s">
        <v>3859</v>
      </c>
      <c r="T1820" s="238" t="s">
        <v>3924</v>
      </c>
      <c r="U1820" s="238" t="s">
        <v>167</v>
      </c>
      <c r="V1820" s="246" t="s">
        <v>6863</v>
      </c>
      <c r="W1820" s="235">
        <v>26992</v>
      </c>
      <c r="X1820" s="7">
        <v>41410</v>
      </c>
      <c r="Y1820" s="246" t="s">
        <v>6885</v>
      </c>
      <c r="AB1820" s="1" t="s">
        <v>2064</v>
      </c>
    </row>
    <row r="1821" spans="1:28">
      <c r="A1821" s="233">
        <v>41387</v>
      </c>
      <c r="B1821" s="379" t="s">
        <v>2734</v>
      </c>
      <c r="C1821" s="383" t="s">
        <v>162</v>
      </c>
      <c r="D1821" s="1" t="s">
        <v>1213</v>
      </c>
      <c r="E1821" s="1" t="s">
        <v>6421</v>
      </c>
      <c r="F1821" s="1">
        <v>200</v>
      </c>
      <c r="G1821" s="232" t="s">
        <v>3101</v>
      </c>
      <c r="H1821" s="234">
        <v>13.5</v>
      </c>
      <c r="I1821" s="235">
        <f t="shared" si="193"/>
        <v>2700</v>
      </c>
      <c r="K1821" s="250">
        <f>12.4*200</f>
        <v>2480</v>
      </c>
      <c r="L1821" s="237">
        <v>41388</v>
      </c>
      <c r="M1821" s="381" t="s">
        <v>166</v>
      </c>
      <c r="N1821" s="235">
        <f t="shared" ref="N1821:N1823" si="194">I1821</f>
        <v>2700</v>
      </c>
      <c r="O1821" s="235">
        <f t="shared" si="191"/>
        <v>0</v>
      </c>
      <c r="P1821" s="238" t="s">
        <v>6423</v>
      </c>
      <c r="Q1821" s="1" t="s">
        <v>5785</v>
      </c>
      <c r="R1821" s="29" t="s">
        <v>2736</v>
      </c>
      <c r="S1821" s="10">
        <v>13888391766</v>
      </c>
      <c r="T1821" s="28" t="s">
        <v>3095</v>
      </c>
      <c r="U1821" s="238" t="s">
        <v>6460</v>
      </c>
      <c r="V1821" s="238" t="s">
        <v>6995</v>
      </c>
      <c r="W1821" s="236">
        <v>10400</v>
      </c>
      <c r="X1821" s="233">
        <v>41417</v>
      </c>
      <c r="Y1821" s="238" t="s">
        <v>6996</v>
      </c>
      <c r="AB1821" s="379" t="s">
        <v>377</v>
      </c>
    </row>
    <row r="1822" spans="1:28">
      <c r="A1822" s="233">
        <v>41387</v>
      </c>
      <c r="B1822" s="379" t="s">
        <v>2734</v>
      </c>
      <c r="C1822" s="383" t="s">
        <v>162</v>
      </c>
      <c r="D1822" s="1" t="s">
        <v>240</v>
      </c>
      <c r="E1822" s="1">
        <v>6200</v>
      </c>
      <c r="F1822" s="1">
        <v>120</v>
      </c>
      <c r="G1822" s="232" t="s">
        <v>3101</v>
      </c>
      <c r="H1822" s="234">
        <v>47.5</v>
      </c>
      <c r="I1822" s="235">
        <f t="shared" ref="I1822:I1832" si="195">F1822*H1822</f>
        <v>5700</v>
      </c>
      <c r="K1822" s="250">
        <f>44.5*120</f>
        <v>5340</v>
      </c>
      <c r="L1822" s="237">
        <v>41388</v>
      </c>
      <c r="M1822" s="381" t="s">
        <v>166</v>
      </c>
      <c r="N1822" s="235">
        <f t="shared" si="194"/>
        <v>5700</v>
      </c>
      <c r="O1822" s="235">
        <f t="shared" ref="O1822:O1832" si="196">I1822-N1822</f>
        <v>0</v>
      </c>
      <c r="P1822" s="238" t="s">
        <v>6423</v>
      </c>
      <c r="Q1822" s="1" t="s">
        <v>5785</v>
      </c>
      <c r="R1822" s="29" t="s">
        <v>2736</v>
      </c>
      <c r="S1822" s="10">
        <v>13888391766</v>
      </c>
      <c r="T1822" s="28" t="s">
        <v>3095</v>
      </c>
      <c r="U1822" s="238" t="s">
        <v>6460</v>
      </c>
      <c r="V1822" s="238" t="s">
        <v>6995</v>
      </c>
      <c r="W1822" s="236">
        <v>10400</v>
      </c>
      <c r="X1822" s="233">
        <v>41417</v>
      </c>
      <c r="Y1822" s="238" t="s">
        <v>6996</v>
      </c>
      <c r="AB1822" s="379" t="s">
        <v>377</v>
      </c>
    </row>
    <row r="1823" spans="1:28">
      <c r="A1823" s="233">
        <v>41387</v>
      </c>
      <c r="B1823" s="380" t="s">
        <v>2734</v>
      </c>
      <c r="C1823" s="383" t="s">
        <v>162</v>
      </c>
      <c r="D1823" s="380" t="s">
        <v>6451</v>
      </c>
      <c r="E1823" s="1">
        <v>6281</v>
      </c>
      <c r="F1823" s="1">
        <v>30</v>
      </c>
      <c r="G1823" s="232" t="s">
        <v>3101</v>
      </c>
      <c r="H1823" s="234">
        <v>16</v>
      </c>
      <c r="I1823" s="235">
        <f t="shared" si="195"/>
        <v>480</v>
      </c>
      <c r="K1823" s="250">
        <f>15.5*30</f>
        <v>465</v>
      </c>
      <c r="L1823" s="237">
        <v>41390</v>
      </c>
      <c r="M1823" s="1" t="s">
        <v>165</v>
      </c>
      <c r="N1823" s="235">
        <f t="shared" si="194"/>
        <v>480</v>
      </c>
      <c r="O1823" s="235">
        <f t="shared" si="196"/>
        <v>0</v>
      </c>
      <c r="P1823" s="238" t="s">
        <v>6423</v>
      </c>
      <c r="Q1823" s="1" t="s">
        <v>5785</v>
      </c>
      <c r="R1823" s="29" t="s">
        <v>2736</v>
      </c>
      <c r="S1823" s="10">
        <v>13888391766</v>
      </c>
      <c r="T1823" s="28" t="s">
        <v>3095</v>
      </c>
      <c r="U1823" s="238" t="s">
        <v>6460</v>
      </c>
      <c r="V1823" s="238" t="s">
        <v>6437</v>
      </c>
      <c r="AB1823" s="380" t="s">
        <v>377</v>
      </c>
    </row>
    <row r="1824" spans="1:28">
      <c r="A1824" s="233">
        <v>41387</v>
      </c>
      <c r="B1824" s="1" t="s">
        <v>6433</v>
      </c>
      <c r="C1824" s="386" t="s">
        <v>7</v>
      </c>
      <c r="D1824" s="379" t="s">
        <v>6430</v>
      </c>
      <c r="E1824" s="1" t="s">
        <v>6428</v>
      </c>
      <c r="F1824" s="1">
        <v>30</v>
      </c>
      <c r="G1824" s="1" t="s">
        <v>6429</v>
      </c>
      <c r="H1824" s="234">
        <v>8.5</v>
      </c>
      <c r="I1824" s="235">
        <f t="shared" si="195"/>
        <v>255</v>
      </c>
      <c r="K1824" s="250">
        <f>7.8*30</f>
        <v>234</v>
      </c>
      <c r="L1824" s="237">
        <v>41387</v>
      </c>
      <c r="M1824" s="1" t="s">
        <v>6448</v>
      </c>
      <c r="N1824" s="236">
        <f>I1824</f>
        <v>255</v>
      </c>
      <c r="O1824" s="235">
        <f t="shared" si="196"/>
        <v>0</v>
      </c>
      <c r="P1824" s="238" t="s">
        <v>6413</v>
      </c>
      <c r="Q1824" s="1" t="s">
        <v>6455</v>
      </c>
      <c r="R1824" s="239" t="s">
        <v>6449</v>
      </c>
      <c r="S1824" s="238" t="s">
        <v>6450</v>
      </c>
      <c r="T1824" s="238" t="s">
        <v>6434</v>
      </c>
      <c r="U1824" s="238" t="s">
        <v>6456</v>
      </c>
      <c r="AB1824" s="379" t="s">
        <v>377</v>
      </c>
    </row>
    <row r="1825" spans="1:28">
      <c r="A1825" s="233">
        <v>41387</v>
      </c>
      <c r="B1825" s="1" t="s">
        <v>5860</v>
      </c>
      <c r="C1825" s="1" t="s">
        <v>162</v>
      </c>
      <c r="D1825" s="1" t="s">
        <v>681</v>
      </c>
      <c r="E1825" s="1" t="s">
        <v>17</v>
      </c>
      <c r="F1825" s="1">
        <v>30</v>
      </c>
      <c r="G1825" s="1" t="s">
        <v>172</v>
      </c>
      <c r="H1825" s="234">
        <v>5</v>
      </c>
      <c r="I1825" s="235">
        <f t="shared" si="195"/>
        <v>150</v>
      </c>
      <c r="K1825" s="250">
        <f>3.31*30</f>
        <v>99.3</v>
      </c>
      <c r="N1825" s="235">
        <v>0</v>
      </c>
      <c r="O1825" s="235">
        <f t="shared" si="196"/>
        <v>150</v>
      </c>
      <c r="P1825" s="238" t="s">
        <v>6439</v>
      </c>
      <c r="Q1825" s="1" t="s">
        <v>5212</v>
      </c>
      <c r="R1825" s="239" t="s">
        <v>5861</v>
      </c>
      <c r="S1825" s="238" t="s">
        <v>5862</v>
      </c>
      <c r="T1825" s="238" t="s">
        <v>5863</v>
      </c>
      <c r="U1825" s="238" t="s">
        <v>6440</v>
      </c>
      <c r="AB1825" s="1" t="s">
        <v>2064</v>
      </c>
    </row>
    <row r="1826" spans="1:28">
      <c r="A1826" s="233">
        <v>41387</v>
      </c>
      <c r="B1826" s="228" t="s">
        <v>1488</v>
      </c>
      <c r="C1826" s="1" t="s">
        <v>162</v>
      </c>
      <c r="D1826" s="391" t="s">
        <v>5047</v>
      </c>
      <c r="E1826" s="1">
        <v>8210</v>
      </c>
      <c r="F1826" s="1">
        <v>100</v>
      </c>
      <c r="G1826" s="1" t="s">
        <v>229</v>
      </c>
      <c r="H1826" s="234">
        <v>4.32</v>
      </c>
      <c r="I1826" s="235">
        <f t="shared" si="195"/>
        <v>432</v>
      </c>
      <c r="K1826" s="250">
        <f>3.78*100</f>
        <v>378</v>
      </c>
      <c r="L1826" s="237">
        <v>41387</v>
      </c>
      <c r="M1826" s="1" t="s">
        <v>166</v>
      </c>
      <c r="N1826" s="1">
        <f t="shared" ref="N1826:N1838" si="197">I1826</f>
        <v>432</v>
      </c>
      <c r="O1826" s="236">
        <f t="shared" si="196"/>
        <v>0</v>
      </c>
      <c r="P1826" s="238" t="s">
        <v>6420</v>
      </c>
      <c r="Q1826" s="1" t="s">
        <v>2272</v>
      </c>
      <c r="R1826" s="239" t="s">
        <v>4326</v>
      </c>
      <c r="S1826" s="238" t="s">
        <v>4327</v>
      </c>
      <c r="T1826" s="238" t="s">
        <v>1471</v>
      </c>
      <c r="U1826" s="238" t="s">
        <v>6457</v>
      </c>
      <c r="V1826" s="238" t="s">
        <v>6999</v>
      </c>
      <c r="W1826" s="236">
        <v>21820.05</v>
      </c>
      <c r="X1826" s="233">
        <v>41417</v>
      </c>
      <c r="AB1826" s="1" t="s">
        <v>1561</v>
      </c>
    </row>
    <row r="1827" spans="1:28">
      <c r="A1827" s="233">
        <v>41387</v>
      </c>
      <c r="B1827" s="228" t="s">
        <v>1488</v>
      </c>
      <c r="C1827" s="1" t="s">
        <v>162</v>
      </c>
      <c r="D1827" s="379" t="s">
        <v>1916</v>
      </c>
      <c r="E1827" s="1">
        <v>6800</v>
      </c>
      <c r="F1827" s="1">
        <v>5</v>
      </c>
      <c r="G1827" s="1" t="s">
        <v>229</v>
      </c>
      <c r="H1827" s="234">
        <v>455</v>
      </c>
      <c r="I1827" s="235">
        <f t="shared" si="195"/>
        <v>2275</v>
      </c>
      <c r="K1827" s="250">
        <f>429*3+420*2</f>
        <v>2127</v>
      </c>
      <c r="L1827" s="237">
        <v>41387</v>
      </c>
      <c r="M1827" s="1" t="s">
        <v>166</v>
      </c>
      <c r="N1827" s="1">
        <f t="shared" si="197"/>
        <v>2275</v>
      </c>
      <c r="O1827" s="236">
        <f t="shared" si="196"/>
        <v>0</v>
      </c>
      <c r="P1827" s="238" t="s">
        <v>6420</v>
      </c>
      <c r="Q1827" s="1" t="s">
        <v>2272</v>
      </c>
      <c r="R1827" s="239" t="s">
        <v>4326</v>
      </c>
      <c r="S1827" s="238" t="s">
        <v>4327</v>
      </c>
      <c r="T1827" s="238" t="s">
        <v>1471</v>
      </c>
      <c r="U1827" s="238" t="s">
        <v>6457</v>
      </c>
      <c r="V1827" s="238" t="s">
        <v>6999</v>
      </c>
      <c r="W1827" s="236">
        <v>21820.05</v>
      </c>
      <c r="X1827" s="233">
        <v>41417</v>
      </c>
      <c r="AB1827" s="1" t="s">
        <v>1561</v>
      </c>
    </row>
    <row r="1828" spans="1:28">
      <c r="A1828" s="279">
        <v>41387</v>
      </c>
      <c r="B1828" s="1" t="s">
        <v>6438</v>
      </c>
      <c r="C1828" s="383" t="s">
        <v>162</v>
      </c>
      <c r="D1828" s="5" t="s">
        <v>2012</v>
      </c>
      <c r="E1828" s="1" t="s">
        <v>180</v>
      </c>
      <c r="F1828" s="1">
        <v>2500</v>
      </c>
      <c r="G1828" s="1" t="s">
        <v>6415</v>
      </c>
      <c r="H1828" s="234">
        <v>1.6</v>
      </c>
      <c r="I1828" s="235">
        <f t="shared" si="195"/>
        <v>4000</v>
      </c>
      <c r="K1828" s="250">
        <f>1.44*2500</f>
        <v>3600</v>
      </c>
      <c r="L1828" s="237">
        <v>41387</v>
      </c>
      <c r="M1828" s="1" t="s">
        <v>165</v>
      </c>
      <c r="N1828" s="236">
        <f t="shared" si="197"/>
        <v>4000</v>
      </c>
      <c r="O1828" s="235">
        <f t="shared" si="196"/>
        <v>0</v>
      </c>
      <c r="P1828" s="238" t="s">
        <v>6441</v>
      </c>
      <c r="Q1828" s="1" t="s">
        <v>6458</v>
      </c>
      <c r="R1828" s="239" t="s">
        <v>6442</v>
      </c>
      <c r="S1828" s="238" t="s">
        <v>6443</v>
      </c>
      <c r="T1828" s="238" t="s">
        <v>6444</v>
      </c>
      <c r="U1828" s="238" t="s">
        <v>6459</v>
      </c>
      <c r="V1828" s="238" t="s">
        <v>6437</v>
      </c>
      <c r="AB1828" s="379" t="s">
        <v>377</v>
      </c>
    </row>
    <row r="1829" spans="1:28">
      <c r="A1829" s="233">
        <v>41387</v>
      </c>
      <c r="B1829" s="1" t="s">
        <v>6438</v>
      </c>
      <c r="C1829" s="1" t="s">
        <v>162</v>
      </c>
      <c r="D1829" s="1" t="s">
        <v>1210</v>
      </c>
      <c r="E1829" s="1">
        <v>3200</v>
      </c>
      <c r="F1829" s="1">
        <v>40</v>
      </c>
      <c r="G1829" s="1" t="s">
        <v>6415</v>
      </c>
      <c r="H1829" s="234">
        <v>28.29</v>
      </c>
      <c r="I1829" s="235">
        <f t="shared" si="195"/>
        <v>1131.5999999999999</v>
      </c>
      <c r="K1829" s="250">
        <f>27.4*30+23.94*10</f>
        <v>1061.4000000000001</v>
      </c>
      <c r="L1829" s="237">
        <v>41387</v>
      </c>
      <c r="M1829" s="1" t="s">
        <v>165</v>
      </c>
      <c r="N1829" s="236">
        <f t="shared" si="197"/>
        <v>1131.5999999999999</v>
      </c>
      <c r="O1829" s="235">
        <f t="shared" si="196"/>
        <v>0</v>
      </c>
      <c r="P1829" s="238" t="s">
        <v>6441</v>
      </c>
      <c r="Q1829" s="1" t="s">
        <v>6458</v>
      </c>
      <c r="R1829" s="239" t="s">
        <v>6442</v>
      </c>
      <c r="S1829" s="238" t="s">
        <v>6443</v>
      </c>
      <c r="T1829" s="238" t="s">
        <v>6444</v>
      </c>
      <c r="U1829" s="238" t="s">
        <v>6459</v>
      </c>
      <c r="V1829" s="238" t="s">
        <v>6437</v>
      </c>
      <c r="AB1829" s="379" t="s">
        <v>377</v>
      </c>
    </row>
    <row r="1830" spans="1:28">
      <c r="A1830" s="233">
        <v>41387</v>
      </c>
      <c r="B1830" s="1" t="s">
        <v>6438</v>
      </c>
      <c r="C1830" s="1" t="s">
        <v>162</v>
      </c>
      <c r="D1830" s="5" t="s">
        <v>346</v>
      </c>
      <c r="E1830" s="1">
        <v>3700</v>
      </c>
      <c r="F1830" s="1">
        <v>40</v>
      </c>
      <c r="G1830" s="1" t="s">
        <v>6415</v>
      </c>
      <c r="H1830" s="234">
        <v>3.8</v>
      </c>
      <c r="I1830" s="235">
        <f t="shared" si="195"/>
        <v>152</v>
      </c>
      <c r="K1830" s="250">
        <f>3.65*40</f>
        <v>146</v>
      </c>
      <c r="L1830" s="237">
        <v>41387</v>
      </c>
      <c r="M1830" s="1" t="s">
        <v>165</v>
      </c>
      <c r="N1830" s="236">
        <f t="shared" si="197"/>
        <v>152</v>
      </c>
      <c r="O1830" s="235">
        <f t="shared" si="196"/>
        <v>0</v>
      </c>
      <c r="P1830" s="238" t="s">
        <v>6441</v>
      </c>
      <c r="Q1830" s="1" t="s">
        <v>6458</v>
      </c>
      <c r="R1830" s="239" t="s">
        <v>6442</v>
      </c>
      <c r="S1830" s="238" t="s">
        <v>6443</v>
      </c>
      <c r="T1830" s="238" t="s">
        <v>6444</v>
      </c>
      <c r="U1830" s="238" t="s">
        <v>6459</v>
      </c>
      <c r="V1830" s="238" t="s">
        <v>6437</v>
      </c>
      <c r="AB1830" s="379" t="s">
        <v>377</v>
      </c>
    </row>
    <row r="1831" spans="1:28">
      <c r="A1831" s="233">
        <v>41387</v>
      </c>
      <c r="B1831" s="1" t="s">
        <v>6438</v>
      </c>
      <c r="C1831" s="1" t="s">
        <v>162</v>
      </c>
      <c r="D1831" s="5" t="s">
        <v>182</v>
      </c>
      <c r="E1831" s="1" t="s">
        <v>186</v>
      </c>
      <c r="F1831" s="1">
        <v>1000</v>
      </c>
      <c r="G1831" s="1" t="s">
        <v>6436</v>
      </c>
      <c r="H1831" s="234">
        <v>1.69</v>
      </c>
      <c r="I1831" s="235">
        <f t="shared" si="195"/>
        <v>1690</v>
      </c>
      <c r="K1831" s="250">
        <f>1.54*1000</f>
        <v>1540</v>
      </c>
      <c r="L1831" s="237">
        <v>41387</v>
      </c>
      <c r="M1831" s="1" t="s">
        <v>165</v>
      </c>
      <c r="N1831" s="236">
        <f t="shared" si="197"/>
        <v>1690</v>
      </c>
      <c r="O1831" s="235">
        <f t="shared" si="196"/>
        <v>0</v>
      </c>
      <c r="P1831" s="238" t="s">
        <v>6441</v>
      </c>
      <c r="Q1831" s="1" t="s">
        <v>6458</v>
      </c>
      <c r="R1831" s="239" t="s">
        <v>6442</v>
      </c>
      <c r="S1831" s="238" t="s">
        <v>6443</v>
      </c>
      <c r="T1831" s="238" t="s">
        <v>6444</v>
      </c>
      <c r="U1831" s="238" t="s">
        <v>6459</v>
      </c>
      <c r="V1831" s="238" t="s">
        <v>6437</v>
      </c>
      <c r="AB1831" s="379" t="s">
        <v>377</v>
      </c>
    </row>
    <row r="1832" spans="1:28">
      <c r="A1832" s="233">
        <v>41387</v>
      </c>
      <c r="B1832" s="1" t="s">
        <v>6438</v>
      </c>
      <c r="C1832" s="1" t="s">
        <v>162</v>
      </c>
      <c r="D1832" s="1" t="s">
        <v>307</v>
      </c>
      <c r="E1832" s="1">
        <v>1110</v>
      </c>
      <c r="F1832" s="1">
        <v>200</v>
      </c>
      <c r="G1832" s="1" t="s">
        <v>6416</v>
      </c>
      <c r="H1832" s="234">
        <v>0.61</v>
      </c>
      <c r="I1832" s="235">
        <f t="shared" si="195"/>
        <v>122</v>
      </c>
      <c r="K1832" s="250">
        <f>0.72*150+0.71*50</f>
        <v>143.5</v>
      </c>
      <c r="L1832" s="237">
        <v>41387</v>
      </c>
      <c r="M1832" s="1" t="s">
        <v>165</v>
      </c>
      <c r="N1832" s="236">
        <f t="shared" si="197"/>
        <v>122</v>
      </c>
      <c r="O1832" s="235">
        <f t="shared" si="196"/>
        <v>0</v>
      </c>
      <c r="P1832" s="238" t="s">
        <v>6441</v>
      </c>
      <c r="Q1832" s="1" t="s">
        <v>6458</v>
      </c>
      <c r="R1832" s="239" t="s">
        <v>6442</v>
      </c>
      <c r="S1832" s="238" t="s">
        <v>6443</v>
      </c>
      <c r="T1832" s="238" t="s">
        <v>6444</v>
      </c>
      <c r="U1832" s="238" t="s">
        <v>6459</v>
      </c>
      <c r="V1832" s="238" t="s">
        <v>6437</v>
      </c>
      <c r="AB1832" s="379" t="s">
        <v>377</v>
      </c>
    </row>
    <row r="1833" spans="1:28">
      <c r="A1833" s="233">
        <v>41388</v>
      </c>
      <c r="B1833" s="1" t="s">
        <v>5407</v>
      </c>
      <c r="C1833" s="1" t="s">
        <v>162</v>
      </c>
      <c r="D1833" s="5" t="s">
        <v>1882</v>
      </c>
      <c r="E1833" s="5" t="s">
        <v>145</v>
      </c>
      <c r="F1833" s="1">
        <v>50</v>
      </c>
      <c r="G1833" s="1" t="s">
        <v>170</v>
      </c>
      <c r="H1833" s="234">
        <v>19</v>
      </c>
      <c r="I1833" s="235">
        <f>H1833*F1833</f>
        <v>950</v>
      </c>
      <c r="K1833" s="250">
        <f>17.25*50</f>
        <v>862.5</v>
      </c>
      <c r="L1833" s="237">
        <v>41388</v>
      </c>
      <c r="M1833" s="1" t="s">
        <v>165</v>
      </c>
      <c r="N1833" s="236">
        <f>I1833</f>
        <v>950</v>
      </c>
      <c r="O1833" s="235">
        <f>I1833-N1833</f>
        <v>0</v>
      </c>
      <c r="P1833" s="238" t="s">
        <v>6476</v>
      </c>
      <c r="Q1833" s="1" t="s">
        <v>6480</v>
      </c>
      <c r="R1833" s="239" t="s">
        <v>5408</v>
      </c>
      <c r="S1833" s="238" t="s">
        <v>5409</v>
      </c>
      <c r="T1833" s="238" t="s">
        <v>5410</v>
      </c>
      <c r="U1833" s="238" t="s">
        <v>6481</v>
      </c>
      <c r="AB1833" s="1" t="s">
        <v>1561</v>
      </c>
    </row>
    <row r="1834" spans="1:28">
      <c r="A1834" s="233">
        <v>41388</v>
      </c>
      <c r="B1834" s="1" t="s">
        <v>5407</v>
      </c>
      <c r="C1834" s="1" t="s">
        <v>162</v>
      </c>
      <c r="D1834" s="1" t="s">
        <v>232</v>
      </c>
      <c r="E1834" s="1" t="s">
        <v>194</v>
      </c>
      <c r="F1834" s="1">
        <v>100</v>
      </c>
      <c r="G1834" s="1" t="s">
        <v>171</v>
      </c>
      <c r="H1834" s="234">
        <v>6</v>
      </c>
      <c r="I1834" s="235">
        <f>H1834*F1834</f>
        <v>600</v>
      </c>
      <c r="K1834" s="250">
        <f>4.5*10+4.75*90</f>
        <v>472.5</v>
      </c>
      <c r="L1834" s="237">
        <v>41388</v>
      </c>
      <c r="M1834" s="1" t="s">
        <v>165</v>
      </c>
      <c r="N1834" s="236">
        <f>I1834</f>
        <v>600</v>
      </c>
      <c r="O1834" s="235">
        <f>I1834-N1834</f>
        <v>0</v>
      </c>
      <c r="P1834" s="238" t="s">
        <v>6476</v>
      </c>
      <c r="Q1834" s="1" t="s">
        <v>6480</v>
      </c>
      <c r="R1834" s="239" t="s">
        <v>5408</v>
      </c>
      <c r="S1834" s="238" t="s">
        <v>5409</v>
      </c>
      <c r="T1834" s="238" t="s">
        <v>5410</v>
      </c>
      <c r="U1834" s="238" t="s">
        <v>6481</v>
      </c>
      <c r="AB1834" s="1" t="s">
        <v>1561</v>
      </c>
    </row>
    <row r="1835" spans="1:28">
      <c r="A1835" s="233">
        <v>41388</v>
      </c>
      <c r="B1835" s="1" t="s">
        <v>1995</v>
      </c>
      <c r="C1835" s="5" t="s">
        <v>833</v>
      </c>
      <c r="D1835" s="1" t="s">
        <v>1213</v>
      </c>
      <c r="E1835" s="5" t="s">
        <v>127</v>
      </c>
      <c r="F1835" s="1">
        <v>50</v>
      </c>
      <c r="G1835" s="1" t="s">
        <v>172</v>
      </c>
      <c r="H1835" s="234">
        <v>21</v>
      </c>
      <c r="I1835" s="235">
        <f>F1835*H1835</f>
        <v>1050</v>
      </c>
      <c r="K1835" s="250">
        <f>12.3*50</f>
        <v>615</v>
      </c>
      <c r="L1835" s="237">
        <v>41387</v>
      </c>
      <c r="M1835" s="1" t="s">
        <v>166</v>
      </c>
      <c r="N1835" s="1">
        <f>I1835</f>
        <v>1050</v>
      </c>
      <c r="O1835" s="236">
        <f>I1835-N1835</f>
        <v>0</v>
      </c>
      <c r="P1835" s="238" t="s">
        <v>6462</v>
      </c>
      <c r="Q1835" s="1" t="s">
        <v>726</v>
      </c>
      <c r="R1835" s="239" t="s">
        <v>3565</v>
      </c>
      <c r="S1835" s="238" t="s">
        <v>957</v>
      </c>
      <c r="T1835" s="238" t="s">
        <v>958</v>
      </c>
      <c r="U1835" s="238" t="s">
        <v>6477</v>
      </c>
      <c r="AB1835" s="1" t="s">
        <v>1561</v>
      </c>
    </row>
    <row r="1836" spans="1:28">
      <c r="A1836" s="233">
        <v>41388</v>
      </c>
      <c r="B1836" s="1" t="s">
        <v>1995</v>
      </c>
      <c r="C1836" s="5" t="s">
        <v>833</v>
      </c>
      <c r="D1836" s="1" t="s">
        <v>1763</v>
      </c>
      <c r="E1836" s="1">
        <v>1860</v>
      </c>
      <c r="F1836" s="1">
        <v>420</v>
      </c>
      <c r="G1836" s="1" t="s">
        <v>6461</v>
      </c>
      <c r="H1836" s="234">
        <v>18</v>
      </c>
      <c r="I1836" s="235">
        <f>F1836*H1836</f>
        <v>7560</v>
      </c>
      <c r="K1836" s="250">
        <f>13.2*420</f>
        <v>5544</v>
      </c>
      <c r="L1836" s="237">
        <v>41387</v>
      </c>
      <c r="M1836" s="1" t="s">
        <v>166</v>
      </c>
      <c r="N1836" s="1">
        <f>I1836</f>
        <v>7560</v>
      </c>
      <c r="O1836" s="236">
        <f>I1836-N1836</f>
        <v>0</v>
      </c>
      <c r="P1836" s="238" t="s">
        <v>6462</v>
      </c>
      <c r="Q1836" s="1" t="s">
        <v>726</v>
      </c>
      <c r="R1836" s="239" t="s">
        <v>3565</v>
      </c>
      <c r="S1836" s="238" t="s">
        <v>957</v>
      </c>
      <c r="T1836" s="238" t="s">
        <v>958</v>
      </c>
      <c r="U1836" s="238" t="s">
        <v>6477</v>
      </c>
      <c r="AB1836" s="1" t="s">
        <v>1561</v>
      </c>
    </row>
    <row r="1837" spans="1:28">
      <c r="A1837" s="233">
        <v>41388</v>
      </c>
      <c r="B1837" s="1" t="s">
        <v>5412</v>
      </c>
      <c r="C1837" s="1" t="s">
        <v>162</v>
      </c>
      <c r="D1837" s="5" t="s">
        <v>4582</v>
      </c>
      <c r="E1837" s="1" t="s">
        <v>1847</v>
      </c>
      <c r="F1837" s="1">
        <v>92</v>
      </c>
      <c r="G1837" s="1" t="s">
        <v>6461</v>
      </c>
      <c r="H1837" s="234">
        <v>31.6</v>
      </c>
      <c r="I1837" s="235">
        <f>F1837*H1837</f>
        <v>2907.2000000000003</v>
      </c>
      <c r="K1837" s="250">
        <f>24.2*92</f>
        <v>2226.4</v>
      </c>
      <c r="L1837" s="237">
        <v>41392</v>
      </c>
      <c r="M1837" s="1" t="s">
        <v>166</v>
      </c>
      <c r="N1837" s="235">
        <f t="shared" ref="N1837" si="198">I1837</f>
        <v>2907.2000000000003</v>
      </c>
      <c r="O1837" s="235">
        <f>I1837-N1837</f>
        <v>0</v>
      </c>
      <c r="P1837" s="238" t="s">
        <v>6474</v>
      </c>
      <c r="Q1837" s="1" t="s">
        <v>6482</v>
      </c>
      <c r="R1837" s="239" t="s">
        <v>5415</v>
      </c>
      <c r="S1837" s="238" t="s">
        <v>5414</v>
      </c>
      <c r="T1837" s="238" t="s">
        <v>5413</v>
      </c>
      <c r="U1837" s="238" t="s">
        <v>6483</v>
      </c>
      <c r="AB1837" s="1" t="s">
        <v>1561</v>
      </c>
    </row>
    <row r="1838" spans="1:28">
      <c r="A1838" s="233">
        <v>41388</v>
      </c>
      <c r="B1838" s="379" t="s">
        <v>2734</v>
      </c>
      <c r="C1838" s="383" t="s">
        <v>162</v>
      </c>
      <c r="D1838" s="1" t="s">
        <v>232</v>
      </c>
      <c r="E1838" s="1" t="s">
        <v>194</v>
      </c>
      <c r="F1838" s="1">
        <v>400</v>
      </c>
      <c r="G1838" s="232" t="s">
        <v>6422</v>
      </c>
      <c r="H1838" s="234">
        <v>5</v>
      </c>
      <c r="I1838" s="235">
        <f t="shared" si="193"/>
        <v>2000</v>
      </c>
      <c r="K1838" s="250">
        <f>4.75*400</f>
        <v>1900</v>
      </c>
      <c r="L1838" s="237">
        <v>41388</v>
      </c>
      <c r="M1838" s="1" t="s">
        <v>165</v>
      </c>
      <c r="N1838" s="235">
        <f t="shared" si="197"/>
        <v>2000</v>
      </c>
      <c r="O1838" s="235">
        <f t="shared" si="191"/>
        <v>0</v>
      </c>
      <c r="P1838" s="238" t="s">
        <v>6423</v>
      </c>
      <c r="Q1838" s="1" t="s">
        <v>6482</v>
      </c>
      <c r="R1838" s="29" t="s">
        <v>2736</v>
      </c>
      <c r="S1838" s="10">
        <v>13888391766</v>
      </c>
      <c r="T1838" s="28" t="s">
        <v>3095</v>
      </c>
      <c r="U1838" s="238" t="s">
        <v>6484</v>
      </c>
      <c r="V1838" s="238" t="s">
        <v>6995</v>
      </c>
      <c r="W1838" s="236">
        <v>10400</v>
      </c>
      <c r="X1838" s="233">
        <v>41417</v>
      </c>
      <c r="Y1838" s="238" t="s">
        <v>6996</v>
      </c>
      <c r="AB1838" s="379" t="s">
        <v>377</v>
      </c>
    </row>
    <row r="1839" spans="1:28">
      <c r="A1839" s="233">
        <v>41389</v>
      </c>
      <c r="B1839" s="136" t="s">
        <v>5974</v>
      </c>
      <c r="C1839" s="1" t="s">
        <v>162</v>
      </c>
      <c r="D1839" s="5" t="s">
        <v>182</v>
      </c>
      <c r="E1839" s="1" t="s">
        <v>186</v>
      </c>
      <c r="F1839" s="1">
        <v>100</v>
      </c>
      <c r="G1839" s="1" t="s">
        <v>6478</v>
      </c>
      <c r="H1839" s="234">
        <v>2.58</v>
      </c>
      <c r="I1839" s="235">
        <f>H1839*F1839</f>
        <v>258</v>
      </c>
      <c r="K1839" s="250">
        <f>1.54*100</f>
        <v>154</v>
      </c>
      <c r="N1839" s="235">
        <v>0</v>
      </c>
      <c r="O1839" s="235">
        <f t="shared" ref="O1839:O1848" si="199">I1839-N1839</f>
        <v>258</v>
      </c>
      <c r="P1839" s="238" t="s">
        <v>6492</v>
      </c>
      <c r="Q1839" s="1" t="s">
        <v>5212</v>
      </c>
      <c r="R1839" s="239" t="s">
        <v>5318</v>
      </c>
      <c r="S1839" s="238" t="s">
        <v>5319</v>
      </c>
      <c r="T1839" s="238" t="s">
        <v>5317</v>
      </c>
      <c r="U1839" s="238" t="s">
        <v>6493</v>
      </c>
      <c r="V1839" s="238" t="s">
        <v>6858</v>
      </c>
      <c r="W1839" s="236">
        <v>10988</v>
      </c>
      <c r="X1839" s="233">
        <v>41410</v>
      </c>
      <c r="AB1839" s="1" t="s">
        <v>2064</v>
      </c>
    </row>
    <row r="1840" spans="1:28">
      <c r="A1840" s="233">
        <v>41389</v>
      </c>
      <c r="B1840" s="382" t="s">
        <v>1987</v>
      </c>
      <c r="C1840" s="383" t="s">
        <v>162</v>
      </c>
      <c r="D1840" s="1" t="s">
        <v>792</v>
      </c>
      <c r="E1840" s="1">
        <v>10197</v>
      </c>
      <c r="F1840" s="1">
        <v>2</v>
      </c>
      <c r="G1840" s="1" t="s">
        <v>6479</v>
      </c>
      <c r="H1840" s="234">
        <v>44</v>
      </c>
      <c r="I1840" s="235">
        <f>H1840*F1840</f>
        <v>88</v>
      </c>
      <c r="K1840" s="250">
        <f>39.078*2</f>
        <v>78.156000000000006</v>
      </c>
      <c r="L1840" s="237" t="s">
        <v>6491</v>
      </c>
      <c r="M1840" s="1" t="s">
        <v>6491</v>
      </c>
      <c r="N1840" s="236">
        <f>I1840</f>
        <v>88</v>
      </c>
      <c r="O1840" s="235">
        <f t="shared" si="199"/>
        <v>0</v>
      </c>
      <c r="P1840" s="238" t="s">
        <v>6486</v>
      </c>
      <c r="Q1840" s="1" t="s">
        <v>6487</v>
      </c>
      <c r="R1840" s="239" t="s">
        <v>6489</v>
      </c>
      <c r="S1840" s="238" t="s">
        <v>6489</v>
      </c>
      <c r="T1840" s="238" t="s">
        <v>6488</v>
      </c>
      <c r="V1840" s="238" t="s">
        <v>6491</v>
      </c>
      <c r="AB1840" s="1" t="s">
        <v>6490</v>
      </c>
    </row>
    <row r="1841" spans="1:28">
      <c r="A1841" s="233">
        <v>41389</v>
      </c>
      <c r="B1841" s="1" t="s">
        <v>1979</v>
      </c>
      <c r="C1841" s="1" t="s">
        <v>162</v>
      </c>
      <c r="D1841" s="5" t="s">
        <v>182</v>
      </c>
      <c r="E1841" s="1" t="s">
        <v>6494</v>
      </c>
      <c r="F1841" s="1">
        <v>550</v>
      </c>
      <c r="G1841" s="1" t="s">
        <v>171</v>
      </c>
      <c r="H1841" s="234">
        <v>1.72</v>
      </c>
      <c r="I1841" s="235">
        <f>H1841*F1841</f>
        <v>946</v>
      </c>
      <c r="K1841" s="250">
        <f>1.54*550</f>
        <v>847</v>
      </c>
      <c r="L1841" s="237">
        <v>41390</v>
      </c>
      <c r="M1841" s="1" t="s">
        <v>6067</v>
      </c>
      <c r="N1841" s="235">
        <f t="shared" ref="N1841:N1842" si="200">I1841</f>
        <v>946</v>
      </c>
      <c r="O1841" s="236">
        <f t="shared" si="199"/>
        <v>0</v>
      </c>
      <c r="P1841" s="238" t="s">
        <v>6495</v>
      </c>
      <c r="Q1841" s="1" t="s">
        <v>2505</v>
      </c>
      <c r="R1841" s="265" t="s">
        <v>68</v>
      </c>
      <c r="S1841" s="265" t="s">
        <v>2973</v>
      </c>
      <c r="T1841" s="238" t="s">
        <v>67</v>
      </c>
      <c r="U1841" s="238" t="s">
        <v>167</v>
      </c>
      <c r="AB1841" s="1" t="s">
        <v>1561</v>
      </c>
    </row>
    <row r="1842" spans="1:28">
      <c r="A1842" s="233">
        <v>41389</v>
      </c>
      <c r="B1842" s="1" t="s">
        <v>1979</v>
      </c>
      <c r="C1842" s="1" t="s">
        <v>162</v>
      </c>
      <c r="D1842" s="5" t="s">
        <v>1882</v>
      </c>
      <c r="E1842" s="1" t="s">
        <v>145</v>
      </c>
      <c r="F1842" s="1">
        <v>60</v>
      </c>
      <c r="G1842" s="1" t="s">
        <v>170</v>
      </c>
      <c r="H1842" s="234">
        <v>18.350000000000001</v>
      </c>
      <c r="I1842" s="235">
        <f>H1842*F1842</f>
        <v>1101</v>
      </c>
      <c r="K1842" s="250">
        <f>14*60</f>
        <v>840</v>
      </c>
      <c r="L1842" s="237">
        <v>41390</v>
      </c>
      <c r="M1842" s="1" t="s">
        <v>6067</v>
      </c>
      <c r="N1842" s="235">
        <f t="shared" si="200"/>
        <v>1101</v>
      </c>
      <c r="O1842" s="236">
        <f t="shared" si="199"/>
        <v>0</v>
      </c>
      <c r="P1842" s="238" t="s">
        <v>6496</v>
      </c>
      <c r="Q1842" s="1" t="s">
        <v>2505</v>
      </c>
      <c r="R1842" s="265" t="s">
        <v>68</v>
      </c>
      <c r="S1842" s="265" t="s">
        <v>2973</v>
      </c>
      <c r="T1842" s="238" t="s">
        <v>67</v>
      </c>
      <c r="U1842" s="238" t="s">
        <v>167</v>
      </c>
      <c r="AB1842" s="1" t="s">
        <v>1561</v>
      </c>
    </row>
    <row r="1843" spans="1:28" ht="11.25" customHeight="1">
      <c r="A1843" s="233">
        <v>41389</v>
      </c>
      <c r="B1843" s="136" t="s">
        <v>4040</v>
      </c>
      <c r="C1843" s="1" t="s">
        <v>162</v>
      </c>
      <c r="D1843" s="5" t="s">
        <v>51</v>
      </c>
      <c r="E1843" s="1">
        <v>9032</v>
      </c>
      <c r="F1843" s="1">
        <v>200</v>
      </c>
      <c r="G1843" s="1" t="s">
        <v>170</v>
      </c>
      <c r="H1843" s="234">
        <v>2.7</v>
      </c>
      <c r="I1843" s="235">
        <f t="shared" ref="I1843" si="201">H1843*F1843</f>
        <v>540</v>
      </c>
      <c r="K1843" s="241">
        <f>1.4929*200</f>
        <v>298.58</v>
      </c>
      <c r="N1843" s="235">
        <v>0</v>
      </c>
      <c r="O1843" s="235">
        <f t="shared" si="199"/>
        <v>540</v>
      </c>
      <c r="P1843" s="238" t="s">
        <v>6475</v>
      </c>
      <c r="Q1843" s="1" t="s">
        <v>6497</v>
      </c>
      <c r="R1843" s="239" t="s">
        <v>4042</v>
      </c>
      <c r="S1843" s="238" t="s">
        <v>4043</v>
      </c>
      <c r="T1843" s="238" t="s">
        <v>4044</v>
      </c>
      <c r="U1843" s="238" t="s">
        <v>6498</v>
      </c>
      <c r="AB1843" s="1" t="s">
        <v>2064</v>
      </c>
    </row>
    <row r="1844" spans="1:28">
      <c r="A1844" s="233">
        <v>41389</v>
      </c>
      <c r="B1844" s="1" t="s">
        <v>4698</v>
      </c>
      <c r="C1844" s="1" t="s">
        <v>162</v>
      </c>
      <c r="D1844" s="5" t="s">
        <v>2012</v>
      </c>
      <c r="E1844" s="1" t="s">
        <v>180</v>
      </c>
      <c r="F1844" s="1">
        <v>1200</v>
      </c>
      <c r="G1844" s="1" t="s">
        <v>170</v>
      </c>
      <c r="H1844" s="234">
        <v>1.75</v>
      </c>
      <c r="I1844" s="235">
        <f t="shared" ref="I1844:I1927" si="202">F1844*H1844</f>
        <v>2100</v>
      </c>
      <c r="K1844" s="250">
        <f>1.4*40+1.48*800+1.44*360</f>
        <v>1758.4</v>
      </c>
      <c r="L1844" s="237">
        <v>41386</v>
      </c>
      <c r="M1844" s="1" t="s">
        <v>165</v>
      </c>
      <c r="N1844" s="235">
        <f>I1844</f>
        <v>2100</v>
      </c>
      <c r="O1844" s="235">
        <f t="shared" si="199"/>
        <v>0</v>
      </c>
      <c r="P1844" s="238" t="s">
        <v>6499</v>
      </c>
      <c r="Q1844" s="1" t="s">
        <v>6517</v>
      </c>
      <c r="R1844" s="239" t="s">
        <v>4700</v>
      </c>
      <c r="S1844" s="238" t="s">
        <v>4701</v>
      </c>
      <c r="T1844" s="238" t="s">
        <v>4702</v>
      </c>
      <c r="U1844" s="238" t="s">
        <v>6518</v>
      </c>
      <c r="AB1844" s="1" t="s">
        <v>1561</v>
      </c>
    </row>
    <row r="1845" spans="1:28">
      <c r="A1845" s="233">
        <v>41389</v>
      </c>
      <c r="B1845" s="1" t="s">
        <v>4698</v>
      </c>
      <c r="C1845" s="1" t="s">
        <v>162</v>
      </c>
      <c r="D1845" s="1" t="s">
        <v>2023</v>
      </c>
      <c r="E1845" s="1" t="s">
        <v>6399</v>
      </c>
      <c r="F1845" s="1">
        <v>400</v>
      </c>
      <c r="G1845" s="1" t="s">
        <v>170</v>
      </c>
      <c r="H1845" s="234">
        <v>4.32</v>
      </c>
      <c r="I1845" s="235">
        <f t="shared" si="202"/>
        <v>1728</v>
      </c>
      <c r="K1845" s="250">
        <f>3.86*400</f>
        <v>1544</v>
      </c>
      <c r="L1845" s="237">
        <v>41386</v>
      </c>
      <c r="M1845" s="1" t="s">
        <v>165</v>
      </c>
      <c r="N1845" s="235">
        <f>I1845</f>
        <v>1728</v>
      </c>
      <c r="O1845" s="235">
        <f t="shared" si="199"/>
        <v>0</v>
      </c>
      <c r="P1845" s="238" t="s">
        <v>6508</v>
      </c>
      <c r="Q1845" s="1" t="s">
        <v>6517</v>
      </c>
      <c r="R1845" s="239" t="s">
        <v>4700</v>
      </c>
      <c r="S1845" s="238" t="s">
        <v>4701</v>
      </c>
      <c r="T1845" s="238" t="s">
        <v>4702</v>
      </c>
      <c r="U1845" s="238" t="s">
        <v>6518</v>
      </c>
      <c r="AB1845" s="1" t="s">
        <v>1561</v>
      </c>
    </row>
    <row r="1846" spans="1:28">
      <c r="A1846" s="233">
        <v>41389</v>
      </c>
      <c r="B1846" s="228" t="s">
        <v>1488</v>
      </c>
      <c r="C1846" s="383" t="s">
        <v>861</v>
      </c>
      <c r="D1846" s="382" t="s">
        <v>6506</v>
      </c>
      <c r="E1846" s="95" t="s">
        <v>1067</v>
      </c>
      <c r="F1846" s="1">
        <v>3</v>
      </c>
      <c r="G1846" s="1" t="s">
        <v>6505</v>
      </c>
      <c r="H1846" s="234">
        <v>220</v>
      </c>
      <c r="I1846" s="235">
        <f t="shared" si="202"/>
        <v>660</v>
      </c>
      <c r="K1846" s="250">
        <f>215*3</f>
        <v>645</v>
      </c>
      <c r="L1846" s="237">
        <v>41392</v>
      </c>
      <c r="M1846" s="1" t="s">
        <v>166</v>
      </c>
      <c r="N1846" s="1">
        <f t="shared" ref="N1846:N1848" si="203">I1846</f>
        <v>660</v>
      </c>
      <c r="O1846" s="235">
        <f t="shared" si="199"/>
        <v>0</v>
      </c>
      <c r="P1846" s="238" t="s">
        <v>6507</v>
      </c>
      <c r="Q1846" s="1" t="s">
        <v>6519</v>
      </c>
      <c r="R1846" s="239" t="s">
        <v>4326</v>
      </c>
      <c r="S1846" s="238" t="s">
        <v>4327</v>
      </c>
      <c r="T1846" s="238" t="s">
        <v>1471</v>
      </c>
      <c r="U1846" s="238" t="s">
        <v>6520</v>
      </c>
      <c r="V1846" s="238" t="s">
        <v>6999</v>
      </c>
      <c r="W1846" s="236">
        <v>21820.05</v>
      </c>
      <c r="X1846" s="233">
        <v>41417</v>
      </c>
      <c r="AB1846" s="1" t="s">
        <v>1561</v>
      </c>
    </row>
    <row r="1847" spans="1:28">
      <c r="A1847" s="233">
        <v>41389</v>
      </c>
      <c r="B1847" s="228" t="s">
        <v>1488</v>
      </c>
      <c r="C1847" s="1" t="s">
        <v>162</v>
      </c>
      <c r="D1847" s="1" t="s">
        <v>1210</v>
      </c>
      <c r="E1847" s="1">
        <v>3200</v>
      </c>
      <c r="F1847" s="1">
        <v>15</v>
      </c>
      <c r="G1847" s="1" t="s">
        <v>170</v>
      </c>
      <c r="H1847" s="234">
        <v>30.47</v>
      </c>
      <c r="I1847" s="235">
        <f t="shared" si="202"/>
        <v>457.04999999999995</v>
      </c>
      <c r="K1847" s="250">
        <f>23.94*15</f>
        <v>359.1</v>
      </c>
      <c r="L1847" s="237">
        <v>41392</v>
      </c>
      <c r="M1847" s="1" t="s">
        <v>166</v>
      </c>
      <c r="N1847" s="1">
        <f t="shared" si="203"/>
        <v>457.04999999999995</v>
      </c>
      <c r="O1847" s="235">
        <f t="shared" si="199"/>
        <v>0</v>
      </c>
      <c r="P1847" s="238" t="s">
        <v>6507</v>
      </c>
      <c r="Q1847" s="1" t="s">
        <v>6519</v>
      </c>
      <c r="R1847" s="239" t="s">
        <v>4326</v>
      </c>
      <c r="S1847" s="238" t="s">
        <v>4327</v>
      </c>
      <c r="T1847" s="238" t="s">
        <v>1471</v>
      </c>
      <c r="U1847" s="238" t="s">
        <v>6520</v>
      </c>
      <c r="V1847" s="238" t="s">
        <v>6999</v>
      </c>
      <c r="W1847" s="236">
        <v>21820.05</v>
      </c>
      <c r="X1847" s="233">
        <v>41417</v>
      </c>
      <c r="AB1847" s="1" t="s">
        <v>1561</v>
      </c>
    </row>
    <row r="1848" spans="1:28">
      <c r="A1848" s="233">
        <v>41389</v>
      </c>
      <c r="B1848" s="228" t="s">
        <v>1488</v>
      </c>
      <c r="C1848" s="1" t="s">
        <v>162</v>
      </c>
      <c r="D1848" s="5" t="s">
        <v>346</v>
      </c>
      <c r="E1848" s="1">
        <v>3700</v>
      </c>
      <c r="F1848" s="1">
        <v>14</v>
      </c>
      <c r="G1848" s="1" t="s">
        <v>170</v>
      </c>
      <c r="H1848" s="234">
        <v>4</v>
      </c>
      <c r="I1848" s="235">
        <f t="shared" si="202"/>
        <v>56</v>
      </c>
      <c r="K1848" s="250">
        <f>3.09*6+3.65*8</f>
        <v>47.739999999999995</v>
      </c>
      <c r="L1848" s="237">
        <v>41392</v>
      </c>
      <c r="M1848" s="1" t="s">
        <v>166</v>
      </c>
      <c r="N1848" s="1">
        <f t="shared" si="203"/>
        <v>56</v>
      </c>
      <c r="O1848" s="235">
        <f t="shared" si="199"/>
        <v>0</v>
      </c>
      <c r="P1848" s="238" t="s">
        <v>6507</v>
      </c>
      <c r="Q1848" s="1" t="s">
        <v>6519</v>
      </c>
      <c r="R1848" s="239" t="s">
        <v>4326</v>
      </c>
      <c r="S1848" s="238" t="s">
        <v>4327</v>
      </c>
      <c r="T1848" s="238" t="s">
        <v>1471</v>
      </c>
      <c r="U1848" s="238" t="s">
        <v>6520</v>
      </c>
      <c r="V1848" s="238" t="s">
        <v>6999</v>
      </c>
      <c r="W1848" s="236">
        <v>21820.05</v>
      </c>
      <c r="X1848" s="233">
        <v>41417</v>
      </c>
      <c r="AB1848" s="1" t="s">
        <v>1561</v>
      </c>
    </row>
    <row r="1849" spans="1:28">
      <c r="A1849" s="233">
        <v>41390</v>
      </c>
      <c r="B1849" s="1" t="s">
        <v>2309</v>
      </c>
      <c r="C1849" s="1" t="s">
        <v>162</v>
      </c>
      <c r="D1849" s="1" t="s">
        <v>240</v>
      </c>
      <c r="E1849" s="1">
        <v>6200</v>
      </c>
      <c r="F1849" s="5">
        <v>1</v>
      </c>
      <c r="G1849" s="1" t="s">
        <v>170</v>
      </c>
      <c r="H1849" s="234">
        <v>48</v>
      </c>
      <c r="I1849" s="235">
        <f t="shared" ref="I1849:I1863" si="204">F1849*H1849</f>
        <v>48</v>
      </c>
      <c r="J1849" s="352">
        <v>48</v>
      </c>
      <c r="K1849" s="250">
        <f>43.7*1</f>
        <v>43.7</v>
      </c>
      <c r="L1849" s="237">
        <v>41390</v>
      </c>
      <c r="M1849" s="1" t="s">
        <v>166</v>
      </c>
      <c r="N1849" s="235">
        <f>I1849</f>
        <v>48</v>
      </c>
      <c r="O1849" s="235">
        <f t="shared" ref="O1849:O1927" si="205">I1849-N1849</f>
        <v>0</v>
      </c>
      <c r="P1849" s="238" t="s">
        <v>6514</v>
      </c>
      <c r="Q1849" s="1" t="s">
        <v>1562</v>
      </c>
      <c r="R1849" s="239" t="s">
        <v>3148</v>
      </c>
      <c r="S1849" s="238" t="s">
        <v>3149</v>
      </c>
      <c r="T1849" s="239" t="s">
        <v>167</v>
      </c>
      <c r="U1849" s="239" t="s">
        <v>167</v>
      </c>
      <c r="V1849" s="238" t="s">
        <v>6986</v>
      </c>
      <c r="W1849" s="236">
        <v>39344.81</v>
      </c>
      <c r="X1849" s="233">
        <v>41416</v>
      </c>
      <c r="Y1849" s="238" t="s">
        <v>1562</v>
      </c>
      <c r="AB1849" s="1" t="s">
        <v>1561</v>
      </c>
    </row>
    <row r="1850" spans="1:28">
      <c r="A1850" s="233">
        <v>41390</v>
      </c>
      <c r="B1850" s="1" t="s">
        <v>2309</v>
      </c>
      <c r="C1850" s="1" t="s">
        <v>162</v>
      </c>
      <c r="D1850" s="383" t="s">
        <v>182</v>
      </c>
      <c r="E1850" s="383" t="s">
        <v>1862</v>
      </c>
      <c r="F1850" s="1">
        <v>62</v>
      </c>
      <c r="G1850" s="1" t="s">
        <v>6513</v>
      </c>
      <c r="H1850" s="234">
        <v>9.99</v>
      </c>
      <c r="I1850" s="235">
        <f t="shared" si="204"/>
        <v>619.38</v>
      </c>
      <c r="J1850" s="409">
        <f>13*F1850</f>
        <v>806</v>
      </c>
      <c r="K1850" s="250">
        <f>8.73*62</f>
        <v>541.26</v>
      </c>
      <c r="L1850" s="237">
        <v>41390</v>
      </c>
      <c r="M1850" s="1" t="s">
        <v>166</v>
      </c>
      <c r="N1850" s="235">
        <f>I1850</f>
        <v>619.38</v>
      </c>
      <c r="O1850" s="235">
        <f t="shared" si="205"/>
        <v>0</v>
      </c>
      <c r="P1850" s="238" t="s">
        <v>6514</v>
      </c>
      <c r="Q1850" s="1" t="s">
        <v>1562</v>
      </c>
      <c r="R1850" s="239" t="s">
        <v>3148</v>
      </c>
      <c r="S1850" s="238" t="s">
        <v>3149</v>
      </c>
      <c r="T1850" s="239" t="s">
        <v>167</v>
      </c>
      <c r="U1850" s="239" t="s">
        <v>167</v>
      </c>
      <c r="V1850" s="238" t="s">
        <v>6986</v>
      </c>
      <c r="W1850" s="236">
        <v>39344.81</v>
      </c>
      <c r="X1850" s="233">
        <v>41416</v>
      </c>
      <c r="Y1850" s="238" t="s">
        <v>1562</v>
      </c>
      <c r="AB1850" s="1" t="s">
        <v>1561</v>
      </c>
    </row>
    <row r="1851" spans="1:28">
      <c r="A1851" s="233">
        <v>41390</v>
      </c>
      <c r="B1851" s="136" t="s">
        <v>4062</v>
      </c>
      <c r="C1851" s="1" t="s">
        <v>162</v>
      </c>
      <c r="D1851" s="1" t="s">
        <v>2010</v>
      </c>
      <c r="E1851" s="1">
        <v>10434</v>
      </c>
      <c r="F1851" s="1">
        <v>50</v>
      </c>
      <c r="G1851" s="1" t="s">
        <v>172</v>
      </c>
      <c r="H1851" s="234">
        <v>21.5</v>
      </c>
      <c r="I1851" s="235">
        <f t="shared" si="204"/>
        <v>1075</v>
      </c>
      <c r="K1851" s="250">
        <f>14.2*50</f>
        <v>710</v>
      </c>
      <c r="N1851" s="235">
        <v>0</v>
      </c>
      <c r="O1851" s="235">
        <f t="shared" si="205"/>
        <v>1075</v>
      </c>
      <c r="P1851" s="238" t="s">
        <v>6532</v>
      </c>
      <c r="Q1851" s="1" t="s">
        <v>5212</v>
      </c>
      <c r="R1851" s="239" t="s">
        <v>4586</v>
      </c>
      <c r="S1851" s="238" t="s">
        <v>4587</v>
      </c>
      <c r="T1851" s="238" t="s">
        <v>4195</v>
      </c>
      <c r="U1851" s="238" t="s">
        <v>6533</v>
      </c>
      <c r="V1851" s="238" t="s">
        <v>6861</v>
      </c>
      <c r="W1851" s="236">
        <v>6457</v>
      </c>
      <c r="X1851" s="233">
        <v>41410</v>
      </c>
      <c r="Y1851" s="238" t="s">
        <v>6862</v>
      </c>
      <c r="AB1851" s="1" t="s">
        <v>2064</v>
      </c>
    </row>
    <row r="1852" spans="1:28">
      <c r="A1852" s="233">
        <v>41390</v>
      </c>
      <c r="B1852" s="136" t="s">
        <v>4062</v>
      </c>
      <c r="C1852" s="1" t="s">
        <v>162</v>
      </c>
      <c r="D1852" s="5" t="s">
        <v>4582</v>
      </c>
      <c r="E1852" s="1" t="s">
        <v>1847</v>
      </c>
      <c r="F1852" s="1">
        <v>72</v>
      </c>
      <c r="G1852" s="1" t="s">
        <v>170</v>
      </c>
      <c r="H1852" s="234">
        <v>40.6</v>
      </c>
      <c r="I1852" s="235">
        <f t="shared" si="204"/>
        <v>2923.2000000000003</v>
      </c>
      <c r="K1852" s="250">
        <f>29.05*4+24.2*66</f>
        <v>1713.4</v>
      </c>
      <c r="N1852" s="235">
        <v>0</v>
      </c>
      <c r="O1852" s="235">
        <f t="shared" si="205"/>
        <v>2923.2000000000003</v>
      </c>
      <c r="P1852" s="238" t="s">
        <v>6532</v>
      </c>
      <c r="Q1852" s="1" t="s">
        <v>5212</v>
      </c>
      <c r="R1852" s="239" t="s">
        <v>4586</v>
      </c>
      <c r="S1852" s="238" t="s">
        <v>4587</v>
      </c>
      <c r="T1852" s="238" t="s">
        <v>4195</v>
      </c>
      <c r="U1852" s="238" t="s">
        <v>6533</v>
      </c>
      <c r="V1852" s="238" t="s">
        <v>6861</v>
      </c>
      <c r="W1852" s="236">
        <v>6457</v>
      </c>
      <c r="X1852" s="233">
        <v>41410</v>
      </c>
      <c r="Y1852" s="238" t="s">
        <v>6862</v>
      </c>
      <c r="AB1852" s="1" t="s">
        <v>2064</v>
      </c>
    </row>
    <row r="1853" spans="1:28">
      <c r="A1853" s="233">
        <v>41390</v>
      </c>
      <c r="B1853" s="136" t="s">
        <v>4062</v>
      </c>
      <c r="C1853" s="1" t="s">
        <v>162</v>
      </c>
      <c r="D1853" s="5" t="s">
        <v>1930</v>
      </c>
      <c r="E1853" s="1" t="s">
        <v>187</v>
      </c>
      <c r="F1853" s="1">
        <v>200</v>
      </c>
      <c r="G1853" s="1" t="s">
        <v>171</v>
      </c>
      <c r="H1853" s="234">
        <v>6.61</v>
      </c>
      <c r="I1853" s="235">
        <f t="shared" si="204"/>
        <v>1322</v>
      </c>
      <c r="K1853" s="250">
        <f>4.9*200</f>
        <v>980.00000000000011</v>
      </c>
      <c r="N1853" s="235">
        <v>0</v>
      </c>
      <c r="O1853" s="235">
        <f t="shared" si="205"/>
        <v>1322</v>
      </c>
      <c r="P1853" s="238" t="s">
        <v>6532</v>
      </c>
      <c r="Q1853" s="1" t="s">
        <v>5212</v>
      </c>
      <c r="R1853" s="239" t="s">
        <v>4586</v>
      </c>
      <c r="S1853" s="238" t="s">
        <v>4587</v>
      </c>
      <c r="T1853" s="238" t="s">
        <v>4195</v>
      </c>
      <c r="U1853" s="238" t="s">
        <v>6533</v>
      </c>
      <c r="V1853" s="238" t="s">
        <v>6861</v>
      </c>
      <c r="W1853" s="236">
        <v>6457</v>
      </c>
      <c r="X1853" s="233">
        <v>41410</v>
      </c>
      <c r="Y1853" s="238" t="s">
        <v>6862</v>
      </c>
      <c r="AB1853" s="1" t="s">
        <v>2064</v>
      </c>
    </row>
    <row r="1854" spans="1:28">
      <c r="A1854" s="233">
        <v>41390</v>
      </c>
      <c r="B1854" s="1" t="s">
        <v>3770</v>
      </c>
      <c r="C1854" s="1" t="s">
        <v>6291</v>
      </c>
      <c r="D1854" s="1" t="s">
        <v>1210</v>
      </c>
      <c r="E1854" s="1">
        <v>3200</v>
      </c>
      <c r="F1854" s="1">
        <v>2</v>
      </c>
      <c r="G1854" s="1" t="s">
        <v>744</v>
      </c>
      <c r="H1854" s="234">
        <v>27.7</v>
      </c>
      <c r="I1854" s="235">
        <f t="shared" si="204"/>
        <v>55.4</v>
      </c>
      <c r="K1854" s="250">
        <f>23.94*2</f>
        <v>47.88</v>
      </c>
      <c r="L1854" s="237">
        <v>41390</v>
      </c>
      <c r="M1854" s="1" t="s">
        <v>6545</v>
      </c>
      <c r="N1854" s="236">
        <f>I1854</f>
        <v>55.4</v>
      </c>
      <c r="O1854" s="235">
        <f t="shared" ref="O1854:O1863" si="206">I1854-N1854</f>
        <v>0</v>
      </c>
      <c r="P1854" s="238" t="s">
        <v>6546</v>
      </c>
      <c r="Q1854" s="1" t="s">
        <v>1562</v>
      </c>
      <c r="R1854" s="1" t="s">
        <v>3772</v>
      </c>
      <c r="S1854" s="238" t="s">
        <v>3773</v>
      </c>
      <c r="T1854" s="238" t="s">
        <v>4404</v>
      </c>
      <c r="U1854" s="238" t="s">
        <v>167</v>
      </c>
      <c r="AB1854" s="1" t="s">
        <v>1561</v>
      </c>
    </row>
    <row r="1855" spans="1:28">
      <c r="A1855" s="233">
        <v>41390</v>
      </c>
      <c r="B1855" s="1" t="s">
        <v>3770</v>
      </c>
      <c r="C1855" s="1" t="s">
        <v>6291</v>
      </c>
      <c r="D1855" s="5" t="s">
        <v>353</v>
      </c>
      <c r="E1855" s="1" t="s">
        <v>6544</v>
      </c>
      <c r="F1855" s="1">
        <v>2</v>
      </c>
      <c r="G1855" s="1" t="s">
        <v>744</v>
      </c>
      <c r="H1855" s="234">
        <v>13.17</v>
      </c>
      <c r="I1855" s="235">
        <f t="shared" si="204"/>
        <v>26.34</v>
      </c>
      <c r="K1855" s="250">
        <f>10.94*2</f>
        <v>21.88</v>
      </c>
      <c r="L1855" s="237">
        <v>41390</v>
      </c>
      <c r="M1855" s="1" t="s">
        <v>6545</v>
      </c>
      <c r="N1855" s="236">
        <f>I1855</f>
        <v>26.34</v>
      </c>
      <c r="O1855" s="235">
        <f t="shared" si="206"/>
        <v>0</v>
      </c>
      <c r="P1855" s="238" t="s">
        <v>6546</v>
      </c>
      <c r="Q1855" s="1" t="s">
        <v>1562</v>
      </c>
      <c r="R1855" s="1" t="s">
        <v>3772</v>
      </c>
      <c r="S1855" s="238" t="s">
        <v>3773</v>
      </c>
      <c r="T1855" s="238" t="s">
        <v>4404</v>
      </c>
      <c r="U1855" s="238" t="s">
        <v>167</v>
      </c>
      <c r="AB1855" s="1" t="s">
        <v>1561</v>
      </c>
    </row>
    <row r="1856" spans="1:28">
      <c r="A1856" s="233">
        <v>41390</v>
      </c>
      <c r="B1856" s="407" t="s">
        <v>5894</v>
      </c>
      <c r="C1856" s="1" t="s">
        <v>162</v>
      </c>
      <c r="D1856" s="383" t="s">
        <v>1916</v>
      </c>
      <c r="E1856" s="1">
        <v>6800</v>
      </c>
      <c r="F1856" s="1">
        <v>100</v>
      </c>
      <c r="G1856" s="1" t="s">
        <v>6510</v>
      </c>
      <c r="H1856" s="234">
        <v>440</v>
      </c>
      <c r="I1856" s="235">
        <f t="shared" si="204"/>
        <v>44000</v>
      </c>
      <c r="K1856" s="250">
        <f>429*100</f>
        <v>42900</v>
      </c>
      <c r="L1856" s="237">
        <v>41390</v>
      </c>
      <c r="M1856" s="1" t="s">
        <v>166</v>
      </c>
      <c r="N1856" s="235">
        <f t="shared" ref="N1856" si="207">I1856</f>
        <v>44000</v>
      </c>
      <c r="O1856" s="235">
        <f t="shared" si="206"/>
        <v>0</v>
      </c>
      <c r="P1856" s="238" t="s">
        <v>6538</v>
      </c>
      <c r="Q1856" s="1" t="s">
        <v>6541</v>
      </c>
      <c r="R1856" s="239" t="s">
        <v>6542</v>
      </c>
      <c r="S1856" s="238" t="s">
        <v>6522</v>
      </c>
      <c r="T1856" s="238" t="s">
        <v>6521</v>
      </c>
      <c r="U1856" s="238" t="s">
        <v>6543</v>
      </c>
      <c r="V1856" s="238" t="s">
        <v>6993</v>
      </c>
      <c r="W1856" s="236">
        <v>44000</v>
      </c>
      <c r="X1856" s="233">
        <v>41417</v>
      </c>
      <c r="Y1856" s="238" t="s">
        <v>6994</v>
      </c>
      <c r="AB1856" s="1" t="s">
        <v>1561</v>
      </c>
    </row>
    <row r="1857" spans="1:28">
      <c r="A1857" s="233">
        <v>41390</v>
      </c>
      <c r="B1857" s="1" t="s">
        <v>4111</v>
      </c>
      <c r="C1857" s="1" t="s">
        <v>162</v>
      </c>
      <c r="D1857" s="5" t="s">
        <v>2012</v>
      </c>
      <c r="E1857" s="1" t="s">
        <v>6547</v>
      </c>
      <c r="F1857" s="1">
        <v>100</v>
      </c>
      <c r="G1857" s="1" t="s">
        <v>170</v>
      </c>
      <c r="H1857" s="234">
        <v>1.65</v>
      </c>
      <c r="I1857" s="235">
        <f t="shared" si="204"/>
        <v>165</v>
      </c>
      <c r="K1857" s="250">
        <f>1.44*100</f>
        <v>144</v>
      </c>
      <c r="N1857" s="235">
        <v>0</v>
      </c>
      <c r="O1857" s="236">
        <f t="shared" si="206"/>
        <v>165</v>
      </c>
      <c r="P1857" s="238" t="s">
        <v>6548</v>
      </c>
      <c r="Q1857" s="1" t="s">
        <v>1562</v>
      </c>
      <c r="R1857" s="239" t="s">
        <v>4113</v>
      </c>
      <c r="S1857" s="238" t="s">
        <v>4114</v>
      </c>
      <c r="T1857" s="238" t="s">
        <v>4115</v>
      </c>
      <c r="V1857" s="238" t="s">
        <v>6565</v>
      </c>
      <c r="AB1857" s="1" t="s">
        <v>1561</v>
      </c>
    </row>
    <row r="1858" spans="1:28">
      <c r="A1858" s="233">
        <v>41390</v>
      </c>
      <c r="B1858" s="1" t="s">
        <v>1569</v>
      </c>
      <c r="C1858" s="1" t="s">
        <v>162</v>
      </c>
      <c r="D1858" s="5" t="s">
        <v>69</v>
      </c>
      <c r="E1858" s="1">
        <v>1100</v>
      </c>
      <c r="F1858" s="1">
        <v>200</v>
      </c>
      <c r="G1858" s="1" t="s">
        <v>1022</v>
      </c>
      <c r="H1858" s="234">
        <v>0.39</v>
      </c>
      <c r="I1858" s="235">
        <f t="shared" si="204"/>
        <v>78</v>
      </c>
      <c r="K1858" s="250">
        <f>0.38*200</f>
        <v>76</v>
      </c>
      <c r="N1858" s="235">
        <v>0</v>
      </c>
      <c r="O1858" s="235">
        <f t="shared" si="206"/>
        <v>78</v>
      </c>
      <c r="P1858" s="238" t="s">
        <v>6550</v>
      </c>
      <c r="Q1858" s="1" t="s">
        <v>1571</v>
      </c>
      <c r="R1858" s="239" t="s">
        <v>1570</v>
      </c>
      <c r="S1858" s="238">
        <v>13368068212</v>
      </c>
      <c r="T1858" s="238" t="s">
        <v>167</v>
      </c>
      <c r="U1858" s="238" t="s">
        <v>167</v>
      </c>
      <c r="V1858" s="238" t="s">
        <v>7024</v>
      </c>
      <c r="W1858" s="236">
        <v>33867.5</v>
      </c>
      <c r="X1858" s="233">
        <v>41418</v>
      </c>
      <c r="Y1858" s="238" t="s">
        <v>7025</v>
      </c>
      <c r="AB1858" s="5" t="s">
        <v>1561</v>
      </c>
    </row>
    <row r="1859" spans="1:28">
      <c r="A1859" s="233">
        <v>41390</v>
      </c>
      <c r="B1859" s="1" t="s">
        <v>1569</v>
      </c>
      <c r="C1859" s="1" t="s">
        <v>162</v>
      </c>
      <c r="D1859" s="1" t="s">
        <v>240</v>
      </c>
      <c r="E1859" s="1">
        <v>6200</v>
      </c>
      <c r="F1859" s="1">
        <v>24</v>
      </c>
      <c r="G1859" s="1" t="s">
        <v>170</v>
      </c>
      <c r="H1859" s="234">
        <v>46.65</v>
      </c>
      <c r="I1859" s="235">
        <f t="shared" si="204"/>
        <v>1119.5999999999999</v>
      </c>
      <c r="K1859" s="250">
        <f>44.5*24</f>
        <v>1068</v>
      </c>
      <c r="N1859" s="235">
        <v>0</v>
      </c>
      <c r="O1859" s="235">
        <f t="shared" si="206"/>
        <v>1119.5999999999999</v>
      </c>
      <c r="P1859" s="238" t="s">
        <v>6550</v>
      </c>
      <c r="Q1859" s="1" t="s">
        <v>1571</v>
      </c>
      <c r="R1859" s="239" t="s">
        <v>1570</v>
      </c>
      <c r="S1859" s="238">
        <v>13368068212</v>
      </c>
      <c r="T1859" s="238" t="s">
        <v>167</v>
      </c>
      <c r="U1859" s="238" t="s">
        <v>167</v>
      </c>
      <c r="V1859" s="238" t="s">
        <v>7024</v>
      </c>
      <c r="W1859" s="236">
        <v>33867.5</v>
      </c>
      <c r="X1859" s="233">
        <v>41418</v>
      </c>
      <c r="Y1859" s="238" t="s">
        <v>7025</v>
      </c>
      <c r="AB1859" s="5" t="s">
        <v>1561</v>
      </c>
    </row>
    <row r="1860" spans="1:28">
      <c r="A1860" s="233">
        <v>41390</v>
      </c>
      <c r="B1860" s="1" t="s">
        <v>6170</v>
      </c>
      <c r="C1860" s="1" t="s">
        <v>162</v>
      </c>
      <c r="D1860" s="1" t="s">
        <v>6171</v>
      </c>
      <c r="E1860" s="1" t="s">
        <v>6287</v>
      </c>
      <c r="F1860" s="1">
        <v>3</v>
      </c>
      <c r="G1860" s="1" t="s">
        <v>6172</v>
      </c>
      <c r="H1860" s="234">
        <v>135</v>
      </c>
      <c r="I1860" s="235">
        <f t="shared" si="204"/>
        <v>405</v>
      </c>
      <c r="K1860" s="250">
        <f>133.7*3</f>
        <v>401.09999999999997</v>
      </c>
      <c r="L1860" s="237">
        <v>41376</v>
      </c>
      <c r="M1860" s="1" t="s">
        <v>165</v>
      </c>
      <c r="N1860" s="236">
        <f>I1860</f>
        <v>405</v>
      </c>
      <c r="O1860" s="236">
        <f t="shared" si="206"/>
        <v>0</v>
      </c>
      <c r="P1860" s="238" t="s">
        <v>6551</v>
      </c>
      <c r="Q1860" s="1" t="s">
        <v>6557</v>
      </c>
      <c r="R1860" s="239" t="s">
        <v>6195</v>
      </c>
      <c r="S1860" s="238" t="s">
        <v>6196</v>
      </c>
      <c r="T1860" s="238" t="s">
        <v>6197</v>
      </c>
      <c r="U1860" s="238" t="s">
        <v>6558</v>
      </c>
      <c r="AB1860" s="1" t="s">
        <v>6176</v>
      </c>
    </row>
    <row r="1861" spans="1:28">
      <c r="A1861" s="233">
        <v>41390</v>
      </c>
      <c r="B1861" s="1" t="s">
        <v>6170</v>
      </c>
      <c r="C1861" s="1" t="s">
        <v>162</v>
      </c>
      <c r="D1861" s="1" t="s">
        <v>293</v>
      </c>
      <c r="E1861" s="1">
        <v>7744</v>
      </c>
      <c r="F1861" s="1">
        <v>6</v>
      </c>
      <c r="G1861" s="1" t="s">
        <v>6186</v>
      </c>
      <c r="H1861" s="234">
        <v>8</v>
      </c>
      <c r="I1861" s="235">
        <f t="shared" si="204"/>
        <v>48</v>
      </c>
      <c r="K1861" s="282">
        <f>6.8*6</f>
        <v>40.799999999999997</v>
      </c>
      <c r="L1861" s="237">
        <v>41376</v>
      </c>
      <c r="M1861" s="1" t="s">
        <v>165</v>
      </c>
      <c r="N1861" s="236">
        <f>I1861</f>
        <v>48</v>
      </c>
      <c r="O1861" s="236">
        <f t="shared" si="206"/>
        <v>0</v>
      </c>
      <c r="P1861" s="238" t="s">
        <v>6551</v>
      </c>
      <c r="Q1861" s="1" t="s">
        <v>6557</v>
      </c>
      <c r="R1861" s="239" t="s">
        <v>6195</v>
      </c>
      <c r="S1861" s="238" t="s">
        <v>6196</v>
      </c>
      <c r="T1861" s="238" t="s">
        <v>6197</v>
      </c>
      <c r="U1861" s="238" t="s">
        <v>6558</v>
      </c>
      <c r="Z1861" s="255" t="s">
        <v>6536</v>
      </c>
      <c r="AB1861" s="1" t="s">
        <v>6176</v>
      </c>
    </row>
    <row r="1862" spans="1:28">
      <c r="A1862" s="233">
        <v>41390</v>
      </c>
      <c r="B1862" s="1" t="s">
        <v>2349</v>
      </c>
      <c r="C1862" s="1" t="s">
        <v>162</v>
      </c>
      <c r="D1862" s="1" t="s">
        <v>6526</v>
      </c>
      <c r="E1862" s="1" t="s">
        <v>6525</v>
      </c>
      <c r="F1862" s="1">
        <v>3000</v>
      </c>
      <c r="G1862" s="1" t="s">
        <v>6510</v>
      </c>
      <c r="H1862" s="234">
        <v>1.1200000000000001</v>
      </c>
      <c r="I1862" s="235">
        <f t="shared" si="204"/>
        <v>3360.0000000000005</v>
      </c>
      <c r="K1862" s="250">
        <f>1.08*3000</f>
        <v>3240</v>
      </c>
      <c r="L1862" s="237">
        <v>41390</v>
      </c>
      <c r="M1862" s="1" t="s">
        <v>6561</v>
      </c>
      <c r="N1862" s="236">
        <f>I1862</f>
        <v>3360.0000000000005</v>
      </c>
      <c r="O1862" s="235">
        <f t="shared" si="206"/>
        <v>0</v>
      </c>
      <c r="P1862" s="238" t="s">
        <v>6554</v>
      </c>
      <c r="Q1862" s="1" t="s">
        <v>6482</v>
      </c>
      <c r="R1862" s="239" t="s">
        <v>727</v>
      </c>
      <c r="S1862" s="238" t="s">
        <v>5312</v>
      </c>
      <c r="T1862" s="238" t="s">
        <v>796</v>
      </c>
      <c r="U1862" s="238" t="s">
        <v>6560</v>
      </c>
      <c r="AB1862" s="5" t="s">
        <v>1561</v>
      </c>
    </row>
    <row r="1863" spans="1:28">
      <c r="A1863" s="233">
        <v>41390</v>
      </c>
      <c r="B1863" s="1" t="s">
        <v>4338</v>
      </c>
      <c r="C1863" s="1" t="s">
        <v>162</v>
      </c>
      <c r="D1863" s="383" t="s">
        <v>702</v>
      </c>
      <c r="E1863" s="1" t="s">
        <v>6528</v>
      </c>
      <c r="F1863" s="1">
        <v>890</v>
      </c>
      <c r="G1863" s="1" t="s">
        <v>6510</v>
      </c>
      <c r="H1863" s="234">
        <v>2.7</v>
      </c>
      <c r="I1863" s="235">
        <f t="shared" si="204"/>
        <v>2403</v>
      </c>
      <c r="K1863" s="250">
        <f>2.37*790+2.49*100</f>
        <v>2121.3000000000002</v>
      </c>
      <c r="L1863" s="237">
        <v>41390</v>
      </c>
      <c r="M1863" s="1" t="s">
        <v>165</v>
      </c>
      <c r="N1863" s="235">
        <f>I1863</f>
        <v>2403</v>
      </c>
      <c r="O1863" s="235">
        <f t="shared" si="206"/>
        <v>0</v>
      </c>
      <c r="P1863" s="238" t="s">
        <v>6529</v>
      </c>
      <c r="Q1863" s="1" t="s">
        <v>6559</v>
      </c>
      <c r="R1863" s="239" t="s">
        <v>4341</v>
      </c>
      <c r="S1863" s="238" t="s">
        <v>4342</v>
      </c>
      <c r="T1863" s="238" t="s">
        <v>2237</v>
      </c>
      <c r="U1863" s="238" t="s">
        <v>6938</v>
      </c>
      <c r="V1863" s="238" t="s">
        <v>6900</v>
      </c>
      <c r="W1863" s="236">
        <v>8938.52</v>
      </c>
      <c r="X1863" s="233">
        <v>41410</v>
      </c>
      <c r="Y1863" s="238" t="s">
        <v>6893</v>
      </c>
      <c r="AB1863" s="1" t="s">
        <v>1561</v>
      </c>
    </row>
    <row r="1864" spans="1:28">
      <c r="A1864" s="233">
        <v>41391</v>
      </c>
      <c r="B1864" s="1" t="s">
        <v>4111</v>
      </c>
      <c r="C1864" s="1" t="s">
        <v>162</v>
      </c>
      <c r="D1864" s="1" t="s">
        <v>1210</v>
      </c>
      <c r="E1864" s="1">
        <v>3200</v>
      </c>
      <c r="F1864" s="1">
        <v>2</v>
      </c>
      <c r="G1864" s="1" t="s">
        <v>170</v>
      </c>
      <c r="H1864" s="234">
        <v>29.16</v>
      </c>
      <c r="I1864" s="235">
        <f>F1864*H1864</f>
        <v>58.32</v>
      </c>
      <c r="K1864" s="250">
        <f>23.94*2</f>
        <v>47.88</v>
      </c>
      <c r="N1864" s="235">
        <v>0</v>
      </c>
      <c r="O1864" s="236">
        <f>I1864-N1864</f>
        <v>58.32</v>
      </c>
      <c r="P1864" s="238" t="s">
        <v>6564</v>
      </c>
      <c r="Q1864" s="1" t="s">
        <v>1562</v>
      </c>
      <c r="R1864" s="239" t="s">
        <v>4113</v>
      </c>
      <c r="S1864" s="238" t="s">
        <v>4114</v>
      </c>
      <c r="T1864" s="238" t="s">
        <v>4115</v>
      </c>
      <c r="V1864" s="238" t="s">
        <v>6565</v>
      </c>
      <c r="AB1864" s="1" t="s">
        <v>1561</v>
      </c>
    </row>
    <row r="1865" spans="1:28">
      <c r="A1865" s="233">
        <v>41391</v>
      </c>
      <c r="B1865" s="1" t="s">
        <v>4111</v>
      </c>
      <c r="C1865" s="1" t="s">
        <v>162</v>
      </c>
      <c r="D1865" s="5" t="s">
        <v>346</v>
      </c>
      <c r="E1865" s="1">
        <v>3700</v>
      </c>
      <c r="F1865" s="1">
        <v>2</v>
      </c>
      <c r="G1865" s="1" t="s">
        <v>229</v>
      </c>
      <c r="H1865" s="234">
        <v>4</v>
      </c>
      <c r="I1865" s="235">
        <f>F1865*H1865</f>
        <v>8</v>
      </c>
      <c r="K1865" s="250">
        <f>3.65*2</f>
        <v>7.3</v>
      </c>
      <c r="N1865" s="235">
        <v>0</v>
      </c>
      <c r="O1865" s="236">
        <f>I1865-N1865</f>
        <v>8</v>
      </c>
      <c r="P1865" s="238" t="s">
        <v>6564</v>
      </c>
      <c r="Q1865" s="1" t="s">
        <v>1562</v>
      </c>
      <c r="R1865" s="239" t="s">
        <v>4113</v>
      </c>
      <c r="S1865" s="238" t="s">
        <v>4114</v>
      </c>
      <c r="T1865" s="238" t="s">
        <v>4115</v>
      </c>
      <c r="V1865" s="238" t="s">
        <v>6565</v>
      </c>
      <c r="AB1865" s="1" t="s">
        <v>1561</v>
      </c>
    </row>
    <row r="1866" spans="1:28">
      <c r="A1866" s="233">
        <v>41391</v>
      </c>
      <c r="B1866" s="1" t="s">
        <v>4111</v>
      </c>
      <c r="C1866" s="1" t="s">
        <v>162</v>
      </c>
      <c r="D1866" s="5" t="s">
        <v>182</v>
      </c>
      <c r="E1866" s="1" t="s">
        <v>186</v>
      </c>
      <c r="F1866" s="1">
        <v>2</v>
      </c>
      <c r="G1866" s="1" t="s">
        <v>171</v>
      </c>
      <c r="H1866" s="234">
        <v>1.84</v>
      </c>
      <c r="I1866" s="235">
        <f>F1866*H1866</f>
        <v>3.68</v>
      </c>
      <c r="K1866" s="250">
        <f>1.54*2</f>
        <v>3.08</v>
      </c>
      <c r="N1866" s="235">
        <v>0</v>
      </c>
      <c r="O1866" s="236">
        <f>I1866-N1866</f>
        <v>3.68</v>
      </c>
      <c r="P1866" s="238" t="s">
        <v>6564</v>
      </c>
      <c r="Q1866" s="1" t="s">
        <v>1562</v>
      </c>
      <c r="R1866" s="239" t="s">
        <v>4113</v>
      </c>
      <c r="S1866" s="238" t="s">
        <v>4114</v>
      </c>
      <c r="T1866" s="238" t="s">
        <v>4115</v>
      </c>
      <c r="V1866" s="238" t="s">
        <v>6565</v>
      </c>
      <c r="AB1866" s="1" t="s">
        <v>1561</v>
      </c>
    </row>
    <row r="1867" spans="1:28">
      <c r="A1867" s="233">
        <v>41391</v>
      </c>
      <c r="B1867" s="1" t="s">
        <v>4111</v>
      </c>
      <c r="C1867" s="1" t="s">
        <v>162</v>
      </c>
      <c r="D1867" s="5" t="s">
        <v>2012</v>
      </c>
      <c r="E1867" s="1" t="s">
        <v>180</v>
      </c>
      <c r="F1867" s="1">
        <v>2</v>
      </c>
      <c r="G1867" s="1" t="s">
        <v>170</v>
      </c>
      <c r="H1867" s="234">
        <v>1.65</v>
      </c>
      <c r="I1867" s="235">
        <f>F1867*H1867</f>
        <v>3.3</v>
      </c>
      <c r="K1867" s="250">
        <f>1.44*2</f>
        <v>2.88</v>
      </c>
      <c r="N1867" s="235">
        <v>0</v>
      </c>
      <c r="O1867" s="236">
        <f>I1867-N1867</f>
        <v>3.3</v>
      </c>
      <c r="P1867" s="238" t="s">
        <v>6564</v>
      </c>
      <c r="Q1867" s="1" t="s">
        <v>1562</v>
      </c>
      <c r="R1867" s="239" t="s">
        <v>4113</v>
      </c>
      <c r="S1867" s="238" t="s">
        <v>4114</v>
      </c>
      <c r="T1867" s="238" t="s">
        <v>4115</v>
      </c>
      <c r="V1867" s="238" t="s">
        <v>6565</v>
      </c>
      <c r="AB1867" s="1" t="s">
        <v>1561</v>
      </c>
    </row>
    <row r="1868" spans="1:28">
      <c r="A1868" s="233">
        <v>41391</v>
      </c>
      <c r="B1868" s="1" t="s">
        <v>5254</v>
      </c>
      <c r="C1868" s="1" t="s">
        <v>162</v>
      </c>
      <c r="D1868" s="5" t="s">
        <v>182</v>
      </c>
      <c r="E1868" s="1" t="s">
        <v>186</v>
      </c>
      <c r="F1868" s="1">
        <v>5000</v>
      </c>
      <c r="G1868" s="1" t="s">
        <v>5932</v>
      </c>
      <c r="H1868" s="234">
        <v>1.65</v>
      </c>
      <c r="I1868" s="235">
        <f>F1868*H1868</f>
        <v>8250</v>
      </c>
      <c r="K1868" s="250">
        <f>1.54*5000</f>
        <v>7700</v>
      </c>
      <c r="L1868" s="237">
        <v>41403</v>
      </c>
      <c r="M1868" s="1" t="s">
        <v>166</v>
      </c>
      <c r="N1868" s="235">
        <f t="shared" ref="N1868" si="208">I1868</f>
        <v>8250</v>
      </c>
      <c r="O1868" s="235">
        <f>I1868-N1868</f>
        <v>0</v>
      </c>
      <c r="P1868" s="238" t="s">
        <v>6576</v>
      </c>
      <c r="Q1868" s="1" t="s">
        <v>2272</v>
      </c>
      <c r="R1868" s="239" t="s">
        <v>6095</v>
      </c>
      <c r="S1868" s="238" t="s">
        <v>6096</v>
      </c>
      <c r="T1868" s="238" t="s">
        <v>5255</v>
      </c>
      <c r="U1868" s="238" t="s">
        <v>6578</v>
      </c>
      <c r="V1868" s="238" t="s">
        <v>6903</v>
      </c>
      <c r="W1868" s="236">
        <v>11090</v>
      </c>
      <c r="X1868" s="233">
        <v>41411</v>
      </c>
      <c r="Y1868" s="238" t="s">
        <v>6904</v>
      </c>
      <c r="AB1868" s="1" t="s">
        <v>1561</v>
      </c>
    </row>
    <row r="1869" spans="1:28">
      <c r="A1869" s="233">
        <v>41391</v>
      </c>
      <c r="B1869" s="1" t="s">
        <v>6168</v>
      </c>
      <c r="C1869" s="1" t="s">
        <v>162</v>
      </c>
      <c r="D1869" s="5" t="s">
        <v>6567</v>
      </c>
      <c r="E1869" s="1">
        <v>4535</v>
      </c>
      <c r="F1869" s="1">
        <v>10</v>
      </c>
      <c r="G1869" s="1" t="s">
        <v>6568</v>
      </c>
      <c r="H1869" s="234">
        <v>25</v>
      </c>
      <c r="I1869" s="235">
        <f t="shared" ref="I1869:I1870" si="209">F1869*H1869</f>
        <v>250</v>
      </c>
      <c r="K1869" s="250">
        <f>21.71*10</f>
        <v>217.10000000000002</v>
      </c>
      <c r="L1869" s="237">
        <v>41391</v>
      </c>
      <c r="M1869" s="1" t="s">
        <v>165</v>
      </c>
      <c r="N1869" s="1">
        <f t="shared" ref="N1869:N1870" si="210">I1869</f>
        <v>250</v>
      </c>
      <c r="O1869" s="236">
        <f t="shared" ref="O1869:O1870" si="211">I1869-N1869</f>
        <v>0</v>
      </c>
      <c r="P1869" s="238" t="s">
        <v>6571</v>
      </c>
      <c r="Q1869" s="1" t="s">
        <v>2272</v>
      </c>
      <c r="R1869" s="239" t="s">
        <v>6173</v>
      </c>
      <c r="S1869" s="238" t="s">
        <v>6174</v>
      </c>
      <c r="T1869" s="238" t="s">
        <v>2602</v>
      </c>
      <c r="U1869" s="238" t="s">
        <v>6579</v>
      </c>
      <c r="AB1869" s="1" t="s">
        <v>1561</v>
      </c>
    </row>
    <row r="1870" spans="1:28">
      <c r="A1870" s="233">
        <v>41391</v>
      </c>
      <c r="B1870" s="1" t="s">
        <v>6168</v>
      </c>
      <c r="C1870" s="386" t="s">
        <v>7</v>
      </c>
      <c r="D1870" s="1" t="s">
        <v>6570</v>
      </c>
      <c r="E1870" s="1" t="s">
        <v>6566</v>
      </c>
      <c r="F1870" s="1">
        <v>30</v>
      </c>
      <c r="G1870" s="1" t="s">
        <v>6569</v>
      </c>
      <c r="H1870" s="234">
        <v>6.5</v>
      </c>
      <c r="I1870" s="235">
        <f t="shared" si="209"/>
        <v>195</v>
      </c>
      <c r="K1870" s="282">
        <f>0</f>
        <v>0</v>
      </c>
      <c r="L1870" s="237">
        <v>41391</v>
      </c>
      <c r="M1870" s="1" t="s">
        <v>165</v>
      </c>
      <c r="N1870" s="1">
        <f t="shared" si="210"/>
        <v>195</v>
      </c>
      <c r="O1870" s="236">
        <f t="shared" si="211"/>
        <v>0</v>
      </c>
      <c r="P1870" s="238" t="s">
        <v>6571</v>
      </c>
      <c r="Q1870" s="1" t="s">
        <v>2272</v>
      </c>
      <c r="R1870" s="239" t="s">
        <v>6173</v>
      </c>
      <c r="S1870" s="238" t="s">
        <v>6174</v>
      </c>
      <c r="T1870" s="238" t="s">
        <v>2602</v>
      </c>
      <c r="U1870" s="238" t="s">
        <v>6579</v>
      </c>
      <c r="Z1870" s="255" t="s">
        <v>6573</v>
      </c>
      <c r="AB1870" s="1" t="s">
        <v>1561</v>
      </c>
    </row>
    <row r="1871" spans="1:28">
      <c r="A1871" s="233">
        <v>41391</v>
      </c>
      <c r="B1871" s="1" t="s">
        <v>5907</v>
      </c>
      <c r="C1871" s="1" t="s">
        <v>162</v>
      </c>
      <c r="D1871" s="1" t="s">
        <v>6581</v>
      </c>
      <c r="E1871" s="1">
        <v>8512</v>
      </c>
      <c r="F1871" s="1">
        <v>1</v>
      </c>
      <c r="G1871" s="1" t="s">
        <v>170</v>
      </c>
      <c r="H1871" s="234">
        <v>50</v>
      </c>
      <c r="I1871" s="235">
        <f t="shared" ref="I1871:I1877" si="212">F1871*H1871</f>
        <v>50</v>
      </c>
      <c r="K1871" s="282">
        <v>43</v>
      </c>
      <c r="L1871" s="237">
        <v>41391</v>
      </c>
      <c r="M1871" s="1" t="s">
        <v>698</v>
      </c>
      <c r="N1871" s="1">
        <f>I1871</f>
        <v>50</v>
      </c>
      <c r="O1871" s="236">
        <f>I1871-N1871</f>
        <v>0</v>
      </c>
      <c r="P1871" s="238" t="s">
        <v>6580</v>
      </c>
      <c r="Q1871" s="1" t="s">
        <v>1562</v>
      </c>
      <c r="R1871" s="239" t="s">
        <v>6341</v>
      </c>
      <c r="S1871" s="238" t="s">
        <v>6342</v>
      </c>
      <c r="T1871" s="238" t="s">
        <v>167</v>
      </c>
      <c r="V1871" s="238" t="s">
        <v>6565</v>
      </c>
      <c r="Z1871" s="255" t="s">
        <v>6582</v>
      </c>
      <c r="AB1871" s="1" t="s">
        <v>1561</v>
      </c>
    </row>
    <row r="1872" spans="1:28">
      <c r="A1872" s="233">
        <v>41391</v>
      </c>
      <c r="B1872" s="1" t="s">
        <v>5907</v>
      </c>
      <c r="C1872" s="1" t="s">
        <v>162</v>
      </c>
      <c r="D1872" s="1" t="s">
        <v>1762</v>
      </c>
      <c r="E1872" s="1">
        <v>8514</v>
      </c>
      <c r="F1872" s="1">
        <v>1</v>
      </c>
      <c r="G1872" s="1" t="s">
        <v>170</v>
      </c>
      <c r="H1872" s="234">
        <v>50</v>
      </c>
      <c r="I1872" s="235">
        <f t="shared" si="212"/>
        <v>50</v>
      </c>
      <c r="K1872" s="282">
        <v>43</v>
      </c>
      <c r="L1872" s="237">
        <v>41391</v>
      </c>
      <c r="M1872" s="1" t="s">
        <v>698</v>
      </c>
      <c r="N1872" s="1">
        <f>I1872</f>
        <v>50</v>
      </c>
      <c r="O1872" s="236">
        <f>I1872-N1872</f>
        <v>0</v>
      </c>
      <c r="P1872" s="238" t="s">
        <v>6580</v>
      </c>
      <c r="Q1872" s="1" t="s">
        <v>1562</v>
      </c>
      <c r="R1872" s="239" t="s">
        <v>6341</v>
      </c>
      <c r="S1872" s="238" t="s">
        <v>6342</v>
      </c>
      <c r="T1872" s="238" t="s">
        <v>167</v>
      </c>
      <c r="V1872" s="238" t="s">
        <v>6565</v>
      </c>
      <c r="Z1872" s="255" t="s">
        <v>6582</v>
      </c>
      <c r="AB1872" s="1" t="s">
        <v>1561</v>
      </c>
    </row>
    <row r="1873" spans="1:28">
      <c r="A1873" s="233">
        <v>41391</v>
      </c>
      <c r="B1873" s="228" t="s">
        <v>1488</v>
      </c>
      <c r="C1873" s="383" t="s">
        <v>861</v>
      </c>
      <c r="D1873" s="382" t="s">
        <v>5209</v>
      </c>
      <c r="E1873" s="95" t="s">
        <v>1067</v>
      </c>
      <c r="F1873" s="1">
        <v>5</v>
      </c>
      <c r="G1873" s="1" t="s">
        <v>6505</v>
      </c>
      <c r="H1873" s="234">
        <v>241.6</v>
      </c>
      <c r="I1873" s="235">
        <f>F1873*H1873</f>
        <v>1208</v>
      </c>
      <c r="K1873" s="250">
        <f>220*5</f>
        <v>1100</v>
      </c>
      <c r="L1873" s="237">
        <v>41392</v>
      </c>
      <c r="M1873" s="1" t="s">
        <v>166</v>
      </c>
      <c r="N1873" s="1">
        <f t="shared" ref="N1873" si="213">I1873</f>
        <v>1208</v>
      </c>
      <c r="O1873" s="236">
        <f>I1873-N1873</f>
        <v>0</v>
      </c>
      <c r="P1873" s="238" t="s">
        <v>6583</v>
      </c>
      <c r="Q1873" s="1" t="s">
        <v>6584</v>
      </c>
      <c r="R1873" s="239" t="s">
        <v>4326</v>
      </c>
      <c r="S1873" s="238" t="s">
        <v>4327</v>
      </c>
      <c r="T1873" s="238" t="s">
        <v>1471</v>
      </c>
      <c r="U1873" s="238" t="s">
        <v>6585</v>
      </c>
      <c r="V1873" s="238" t="s">
        <v>6999</v>
      </c>
      <c r="W1873" s="236">
        <v>21820.05</v>
      </c>
      <c r="X1873" s="233">
        <v>41417</v>
      </c>
      <c r="AB1873" s="1" t="s">
        <v>1561</v>
      </c>
    </row>
    <row r="1874" spans="1:28">
      <c r="A1874" s="233">
        <v>41392</v>
      </c>
      <c r="B1874" s="1" t="s">
        <v>5079</v>
      </c>
      <c r="C1874" s="1" t="s">
        <v>162</v>
      </c>
      <c r="D1874" s="383" t="s">
        <v>593</v>
      </c>
      <c r="E1874" s="1">
        <v>3200</v>
      </c>
      <c r="F1874" s="1">
        <v>100</v>
      </c>
      <c r="G1874" s="1" t="s">
        <v>170</v>
      </c>
      <c r="H1874" s="234">
        <v>27.43</v>
      </c>
      <c r="I1874" s="235">
        <f t="shared" si="212"/>
        <v>2743</v>
      </c>
      <c r="K1874" s="250">
        <f>23.94*100</f>
        <v>2394</v>
      </c>
      <c r="N1874" s="235">
        <v>0</v>
      </c>
      <c r="O1874" s="235">
        <f t="shared" ref="O1874:O1876" si="214">I1874-N1874</f>
        <v>2743</v>
      </c>
      <c r="P1874" s="238" t="s">
        <v>6527</v>
      </c>
      <c r="Q1874" s="1" t="s">
        <v>6577</v>
      </c>
      <c r="R1874" s="265" t="s">
        <v>5140</v>
      </c>
      <c r="S1874" s="265">
        <v>13883590995</v>
      </c>
      <c r="T1874" s="265" t="s">
        <v>5141</v>
      </c>
      <c r="U1874" s="238" t="s">
        <v>167</v>
      </c>
      <c r="V1874" s="238" t="s">
        <v>6899</v>
      </c>
      <c r="W1874" s="236">
        <v>8443</v>
      </c>
      <c r="X1874" s="233">
        <v>41410</v>
      </c>
      <c r="Y1874" s="238" t="s">
        <v>167</v>
      </c>
      <c r="AB1874" s="1" t="s">
        <v>1561</v>
      </c>
    </row>
    <row r="1875" spans="1:28">
      <c r="A1875" s="233">
        <v>41392</v>
      </c>
      <c r="B1875" s="1" t="s">
        <v>5079</v>
      </c>
      <c r="C1875" s="1" t="s">
        <v>162</v>
      </c>
      <c r="D1875" s="5" t="s">
        <v>346</v>
      </c>
      <c r="E1875" s="1">
        <v>3700</v>
      </c>
      <c r="F1875" s="1">
        <v>100</v>
      </c>
      <c r="G1875" s="1" t="s">
        <v>170</v>
      </c>
      <c r="H1875" s="234">
        <v>3.9</v>
      </c>
      <c r="I1875" s="235">
        <f t="shared" si="212"/>
        <v>390</v>
      </c>
      <c r="K1875" s="250">
        <f>3.65*100</f>
        <v>365</v>
      </c>
      <c r="N1875" s="235">
        <v>0</v>
      </c>
      <c r="O1875" s="235">
        <f t="shared" si="214"/>
        <v>390</v>
      </c>
      <c r="P1875" s="238" t="s">
        <v>6527</v>
      </c>
      <c r="Q1875" s="1" t="s">
        <v>6577</v>
      </c>
      <c r="R1875" s="265" t="s">
        <v>5140</v>
      </c>
      <c r="S1875" s="265">
        <v>13883590995</v>
      </c>
      <c r="T1875" s="265" t="s">
        <v>5141</v>
      </c>
      <c r="U1875" s="238" t="s">
        <v>167</v>
      </c>
      <c r="V1875" s="238" t="s">
        <v>6899</v>
      </c>
      <c r="W1875" s="236">
        <v>8443</v>
      </c>
      <c r="X1875" s="233">
        <v>41410</v>
      </c>
      <c r="Y1875" s="238" t="s">
        <v>167</v>
      </c>
      <c r="AB1875" s="1" t="s">
        <v>1561</v>
      </c>
    </row>
    <row r="1876" spans="1:28">
      <c r="A1876" s="233">
        <v>41392</v>
      </c>
      <c r="B1876" s="1" t="s">
        <v>5079</v>
      </c>
      <c r="C1876" s="1" t="s">
        <v>162</v>
      </c>
      <c r="D1876" s="5" t="s">
        <v>182</v>
      </c>
      <c r="E1876" s="1" t="s">
        <v>186</v>
      </c>
      <c r="F1876" s="1">
        <v>3000</v>
      </c>
      <c r="G1876" s="1" t="s">
        <v>6513</v>
      </c>
      <c r="H1876" s="234">
        <v>1.65</v>
      </c>
      <c r="I1876" s="235">
        <f t="shared" si="212"/>
        <v>4950</v>
      </c>
      <c r="K1876" s="250">
        <f>1.54*3000</f>
        <v>4620</v>
      </c>
      <c r="N1876" s="235">
        <v>0</v>
      </c>
      <c r="O1876" s="235">
        <f t="shared" si="214"/>
        <v>4950</v>
      </c>
      <c r="P1876" s="238" t="s">
        <v>6527</v>
      </c>
      <c r="Q1876" s="1" t="s">
        <v>6577</v>
      </c>
      <c r="R1876" s="265" t="s">
        <v>5140</v>
      </c>
      <c r="S1876" s="265">
        <v>13883590995</v>
      </c>
      <c r="T1876" s="265" t="s">
        <v>5141</v>
      </c>
      <c r="U1876" s="238" t="s">
        <v>167</v>
      </c>
      <c r="V1876" s="238" t="s">
        <v>6899</v>
      </c>
      <c r="W1876" s="236">
        <v>8443</v>
      </c>
      <c r="X1876" s="233">
        <v>41410</v>
      </c>
      <c r="Y1876" s="238" t="s">
        <v>167</v>
      </c>
      <c r="AB1876" s="1" t="s">
        <v>1561</v>
      </c>
    </row>
    <row r="1877" spans="1:28">
      <c r="A1877" s="233">
        <v>41392</v>
      </c>
      <c r="B1877" s="1" t="s">
        <v>4787</v>
      </c>
      <c r="C1877" s="1" t="s">
        <v>162</v>
      </c>
      <c r="D1877" s="5" t="s">
        <v>6254</v>
      </c>
      <c r="E1877" s="1" t="s">
        <v>180</v>
      </c>
      <c r="F1877" s="1">
        <v>5000</v>
      </c>
      <c r="G1877" s="1" t="s">
        <v>170</v>
      </c>
      <c r="H1877" s="234">
        <v>1.82</v>
      </c>
      <c r="I1877" s="235">
        <f t="shared" si="212"/>
        <v>9100</v>
      </c>
      <c r="K1877" s="250">
        <f>1.68*5000</f>
        <v>8400</v>
      </c>
      <c r="L1877" s="237">
        <v>41392</v>
      </c>
      <c r="M1877" s="1" t="s">
        <v>166</v>
      </c>
      <c r="N1877" s="235">
        <f t="shared" ref="N1877:N1882" si="215">I1877</f>
        <v>9100</v>
      </c>
      <c r="O1877" s="236">
        <f>I1877-N1877</f>
        <v>0</v>
      </c>
      <c r="P1877" s="238" t="s">
        <v>6531</v>
      </c>
      <c r="Q1877" s="1" t="s">
        <v>6606</v>
      </c>
      <c r="R1877" s="239" t="s">
        <v>6352</v>
      </c>
      <c r="S1877" s="238" t="s">
        <v>6353</v>
      </c>
      <c r="T1877" s="238" t="s">
        <v>167</v>
      </c>
      <c r="U1877" s="238" t="s">
        <v>167</v>
      </c>
      <c r="V1877" s="238" t="s">
        <v>7019</v>
      </c>
      <c r="W1877" s="236">
        <v>9392</v>
      </c>
      <c r="X1877" s="233">
        <v>41418</v>
      </c>
      <c r="Y1877" s="238" t="s">
        <v>7020</v>
      </c>
      <c r="AB1877" s="1" t="s">
        <v>1561</v>
      </c>
    </row>
    <row r="1878" spans="1:28">
      <c r="A1878" s="233">
        <v>41392</v>
      </c>
      <c r="B1878" s="1" t="s">
        <v>4787</v>
      </c>
      <c r="C1878" s="1" t="s">
        <v>162</v>
      </c>
      <c r="D1878" s="1" t="s">
        <v>307</v>
      </c>
      <c r="E1878" s="1">
        <v>1110</v>
      </c>
      <c r="F1878" s="1">
        <v>400</v>
      </c>
      <c r="G1878" s="1" t="s">
        <v>172</v>
      </c>
      <c r="H1878" s="234">
        <v>0.73</v>
      </c>
      <c r="I1878" s="235">
        <f t="shared" ref="I1878" si="216">F1878*H1878</f>
        <v>292</v>
      </c>
      <c r="K1878" s="250">
        <f>0.71*400</f>
        <v>284</v>
      </c>
      <c r="L1878" s="237">
        <v>41392</v>
      </c>
      <c r="M1878" s="1" t="s">
        <v>166</v>
      </c>
      <c r="N1878" s="235">
        <f t="shared" si="215"/>
        <v>292</v>
      </c>
      <c r="O1878" s="236">
        <f t="shared" ref="O1878" si="217">I1878-N1878</f>
        <v>0</v>
      </c>
      <c r="P1878" s="238" t="s">
        <v>6531</v>
      </c>
      <c r="Q1878" s="1" t="s">
        <v>6606</v>
      </c>
      <c r="R1878" s="239" t="s">
        <v>6352</v>
      </c>
      <c r="S1878" s="238" t="s">
        <v>6353</v>
      </c>
      <c r="T1878" s="238" t="s">
        <v>167</v>
      </c>
      <c r="U1878" s="238" t="s">
        <v>167</v>
      </c>
      <c r="V1878" s="238" t="s">
        <v>7019</v>
      </c>
      <c r="W1878" s="236">
        <v>9392</v>
      </c>
      <c r="X1878" s="233">
        <v>41418</v>
      </c>
      <c r="Y1878" s="238" t="s">
        <v>7020</v>
      </c>
      <c r="AB1878" s="1" t="s">
        <v>1561</v>
      </c>
    </row>
    <row r="1879" spans="1:28">
      <c r="A1879" s="233">
        <v>41392</v>
      </c>
      <c r="B1879" s="1" t="s">
        <v>3770</v>
      </c>
      <c r="C1879" s="388" t="s">
        <v>6366</v>
      </c>
      <c r="D1879" s="388" t="s">
        <v>6600</v>
      </c>
      <c r="E1879" s="1" t="s">
        <v>6598</v>
      </c>
      <c r="F1879" s="1">
        <v>160</v>
      </c>
      <c r="G1879" s="1" t="s">
        <v>6295</v>
      </c>
      <c r="H1879" s="234">
        <v>50</v>
      </c>
      <c r="I1879" s="235">
        <f>F1879*H1879</f>
        <v>8000</v>
      </c>
      <c r="K1879" s="250">
        <f>35*160</f>
        <v>5600</v>
      </c>
      <c r="L1879" s="237">
        <v>41392</v>
      </c>
      <c r="M1879" s="1" t="s">
        <v>6608</v>
      </c>
      <c r="N1879" s="235">
        <f t="shared" si="215"/>
        <v>8000</v>
      </c>
      <c r="O1879" s="235">
        <f>I1879-N1879</f>
        <v>0</v>
      </c>
      <c r="P1879" s="238" t="s">
        <v>6601</v>
      </c>
      <c r="Q1879" s="1" t="s">
        <v>1562</v>
      </c>
      <c r="R1879" s="1" t="s">
        <v>3772</v>
      </c>
      <c r="S1879" s="238" t="s">
        <v>3773</v>
      </c>
      <c r="T1879" s="238" t="s">
        <v>4404</v>
      </c>
      <c r="U1879" s="238" t="s">
        <v>167</v>
      </c>
      <c r="V1879" s="238" t="s">
        <v>6898</v>
      </c>
      <c r="W1879" s="236">
        <v>8000</v>
      </c>
      <c r="X1879" s="233">
        <v>41410</v>
      </c>
      <c r="Y1879" s="238" t="s">
        <v>6906</v>
      </c>
      <c r="AB1879" s="1" t="s">
        <v>1561</v>
      </c>
    </row>
    <row r="1880" spans="1:28">
      <c r="A1880" s="233">
        <v>41392</v>
      </c>
      <c r="B1880" s="1" t="s">
        <v>6377</v>
      </c>
      <c r="C1880" s="1" t="s">
        <v>861</v>
      </c>
      <c r="D1880" s="384" t="s">
        <v>6553</v>
      </c>
      <c r="E1880" s="384" t="s">
        <v>6552</v>
      </c>
      <c r="F1880" s="1">
        <v>50</v>
      </c>
      <c r="G1880" s="1" t="s">
        <v>6396</v>
      </c>
      <c r="H1880" s="234">
        <v>8</v>
      </c>
      <c r="I1880" s="235">
        <f>F1880*H1880</f>
        <v>400</v>
      </c>
      <c r="K1880" s="250">
        <f>4.5*50</f>
        <v>225</v>
      </c>
      <c r="L1880" s="237">
        <v>41386</v>
      </c>
      <c r="M1880" s="1" t="s">
        <v>166</v>
      </c>
      <c r="N1880" s="236">
        <f t="shared" si="215"/>
        <v>400</v>
      </c>
      <c r="O1880" s="236">
        <f>I1880-N1880</f>
        <v>0</v>
      </c>
      <c r="P1880" s="238" t="s">
        <v>6597</v>
      </c>
      <c r="Q1880" s="1" t="s">
        <v>4010</v>
      </c>
      <c r="R1880" s="239" t="s">
        <v>6380</v>
      </c>
      <c r="S1880" s="238" t="s">
        <v>6381</v>
      </c>
      <c r="T1880" s="238" t="s">
        <v>6379</v>
      </c>
      <c r="U1880" s="238" t="s">
        <v>6617</v>
      </c>
      <c r="V1880" s="238" t="s">
        <v>6896</v>
      </c>
      <c r="W1880" s="236">
        <v>13881</v>
      </c>
      <c r="X1880" s="233">
        <v>41410</v>
      </c>
      <c r="Y1880" s="238" t="s">
        <v>6897</v>
      </c>
      <c r="AB1880" s="1" t="s">
        <v>1561</v>
      </c>
    </row>
    <row r="1881" spans="1:28">
      <c r="A1881" s="233">
        <v>41392</v>
      </c>
      <c r="B1881" s="1" t="s">
        <v>6377</v>
      </c>
      <c r="C1881" s="1" t="s">
        <v>6405</v>
      </c>
      <c r="D1881" s="1" t="s">
        <v>6397</v>
      </c>
      <c r="E1881" s="1" t="s">
        <v>6402</v>
      </c>
      <c r="F1881" s="1">
        <v>20</v>
      </c>
      <c r="G1881" s="1" t="s">
        <v>6398</v>
      </c>
      <c r="H1881" s="234">
        <v>100</v>
      </c>
      <c r="I1881" s="235">
        <f>F1881*H1881</f>
        <v>2000</v>
      </c>
      <c r="K1881" s="250">
        <f>57.5*20</f>
        <v>1150</v>
      </c>
      <c r="L1881" s="237">
        <v>41386</v>
      </c>
      <c r="M1881" s="1" t="s">
        <v>166</v>
      </c>
      <c r="N1881" s="236">
        <f t="shared" si="215"/>
        <v>2000</v>
      </c>
      <c r="O1881" s="236">
        <f>I1881-N1881</f>
        <v>0</v>
      </c>
      <c r="P1881" s="238" t="s">
        <v>6597</v>
      </c>
      <c r="Q1881" s="1" t="s">
        <v>4010</v>
      </c>
      <c r="R1881" s="239" t="s">
        <v>6380</v>
      </c>
      <c r="S1881" s="238" t="s">
        <v>6381</v>
      </c>
      <c r="T1881" s="238" t="s">
        <v>6379</v>
      </c>
      <c r="U1881" s="238" t="s">
        <v>6617</v>
      </c>
      <c r="V1881" s="238" t="s">
        <v>6896</v>
      </c>
      <c r="W1881" s="236">
        <v>13881</v>
      </c>
      <c r="X1881" s="233">
        <v>41410</v>
      </c>
      <c r="Y1881" s="238" t="s">
        <v>6897</v>
      </c>
      <c r="AB1881" s="1" t="s">
        <v>1561</v>
      </c>
    </row>
    <row r="1882" spans="1:28">
      <c r="A1882" s="233">
        <v>41392</v>
      </c>
      <c r="B1882" s="1" t="s">
        <v>6377</v>
      </c>
      <c r="C1882" s="1" t="s">
        <v>6523</v>
      </c>
      <c r="D1882" s="390" t="s">
        <v>1916</v>
      </c>
      <c r="E1882" s="1">
        <v>6800</v>
      </c>
      <c r="F1882" s="1">
        <v>2</v>
      </c>
      <c r="G1882" s="1" t="s">
        <v>170</v>
      </c>
      <c r="H1882" s="234">
        <v>450</v>
      </c>
      <c r="I1882" s="235">
        <f>F1882*H1882</f>
        <v>900</v>
      </c>
      <c r="K1882" s="250">
        <f>420*2</f>
        <v>840</v>
      </c>
      <c r="L1882" s="237">
        <v>41386</v>
      </c>
      <c r="M1882" s="1" t="s">
        <v>166</v>
      </c>
      <c r="N1882" s="1">
        <f t="shared" si="215"/>
        <v>900</v>
      </c>
      <c r="O1882" s="236">
        <f>I1882-N1882</f>
        <v>0</v>
      </c>
      <c r="P1882" s="238" t="s">
        <v>6419</v>
      </c>
      <c r="Q1882" s="1" t="s">
        <v>4010</v>
      </c>
      <c r="R1882" s="239" t="s">
        <v>6380</v>
      </c>
      <c r="S1882" s="238" t="s">
        <v>6381</v>
      </c>
      <c r="T1882" s="238" t="s">
        <v>6379</v>
      </c>
      <c r="U1882" s="238" t="s">
        <v>6617</v>
      </c>
      <c r="V1882" s="238" t="s">
        <v>6896</v>
      </c>
      <c r="W1882" s="236">
        <v>13881</v>
      </c>
      <c r="X1882" s="233">
        <v>41410</v>
      </c>
      <c r="Y1882" s="238" t="s">
        <v>6897</v>
      </c>
      <c r="AB1882" s="1" t="s">
        <v>1561</v>
      </c>
    </row>
    <row r="1883" spans="1:28">
      <c r="A1883" s="233">
        <v>41392</v>
      </c>
      <c r="B1883" s="1" t="s">
        <v>6377</v>
      </c>
      <c r="C1883" s="1" t="s">
        <v>162</v>
      </c>
      <c r="D1883" s="5" t="s">
        <v>1882</v>
      </c>
      <c r="E1883" s="1" t="s">
        <v>145</v>
      </c>
      <c r="F1883" s="1">
        <v>4</v>
      </c>
      <c r="G1883" s="1" t="s">
        <v>170</v>
      </c>
      <c r="H1883" s="234">
        <v>25</v>
      </c>
      <c r="I1883" s="235">
        <f t="shared" ref="I1883:I1885" si="218">F1883*H1883</f>
        <v>100</v>
      </c>
      <c r="K1883" s="250">
        <f>14*4</f>
        <v>56</v>
      </c>
      <c r="L1883" s="237">
        <v>41386</v>
      </c>
      <c r="M1883" s="1" t="s">
        <v>166</v>
      </c>
      <c r="N1883" s="1">
        <f t="shared" ref="N1883:N1885" si="219">I1883</f>
        <v>100</v>
      </c>
      <c r="O1883" s="236">
        <f t="shared" ref="O1883:O1885" si="220">I1883-N1883</f>
        <v>0</v>
      </c>
      <c r="P1883" s="238" t="s">
        <v>6419</v>
      </c>
      <c r="Q1883" s="1" t="s">
        <v>4010</v>
      </c>
      <c r="R1883" s="239" t="s">
        <v>6380</v>
      </c>
      <c r="S1883" s="238" t="s">
        <v>6381</v>
      </c>
      <c r="T1883" s="238" t="s">
        <v>6379</v>
      </c>
      <c r="U1883" s="238" t="s">
        <v>6617</v>
      </c>
      <c r="V1883" s="238" t="s">
        <v>6896</v>
      </c>
      <c r="W1883" s="236">
        <v>13881</v>
      </c>
      <c r="X1883" s="233">
        <v>41410</v>
      </c>
      <c r="Y1883" s="238" t="s">
        <v>6897</v>
      </c>
      <c r="AB1883" s="1" t="s">
        <v>1561</v>
      </c>
    </row>
    <row r="1884" spans="1:28">
      <c r="A1884" s="233">
        <v>41392</v>
      </c>
      <c r="B1884" s="1" t="s">
        <v>6377</v>
      </c>
      <c r="C1884" s="1" t="s">
        <v>162</v>
      </c>
      <c r="D1884" s="5" t="s">
        <v>1869</v>
      </c>
      <c r="E1884" s="1">
        <v>501</v>
      </c>
      <c r="F1884" s="1">
        <v>4</v>
      </c>
      <c r="G1884" s="1" t="s">
        <v>170</v>
      </c>
      <c r="H1884" s="234">
        <v>6</v>
      </c>
      <c r="I1884" s="235">
        <f t="shared" si="218"/>
        <v>24</v>
      </c>
      <c r="K1884" s="250">
        <f>1.39*4</f>
        <v>5.56</v>
      </c>
      <c r="L1884" s="237">
        <v>41386</v>
      </c>
      <c r="M1884" s="1" t="s">
        <v>166</v>
      </c>
      <c r="N1884" s="1">
        <f t="shared" si="219"/>
        <v>24</v>
      </c>
      <c r="O1884" s="236">
        <f t="shared" si="220"/>
        <v>0</v>
      </c>
      <c r="P1884" s="238" t="s">
        <v>6419</v>
      </c>
      <c r="Q1884" s="1" t="s">
        <v>4010</v>
      </c>
      <c r="R1884" s="239" t="s">
        <v>6380</v>
      </c>
      <c r="S1884" s="238" t="s">
        <v>6381</v>
      </c>
      <c r="T1884" s="238" t="s">
        <v>6379</v>
      </c>
      <c r="U1884" s="238" t="s">
        <v>6617</v>
      </c>
      <c r="V1884" s="238" t="s">
        <v>6896</v>
      </c>
      <c r="W1884" s="236">
        <v>13881</v>
      </c>
      <c r="X1884" s="233">
        <v>41410</v>
      </c>
      <c r="Y1884" s="238" t="s">
        <v>6897</v>
      </c>
      <c r="AB1884" s="1" t="s">
        <v>1561</v>
      </c>
    </row>
    <row r="1885" spans="1:28">
      <c r="A1885" s="233">
        <v>41392</v>
      </c>
      <c r="B1885" s="1" t="s">
        <v>6377</v>
      </c>
      <c r="C1885" s="1" t="s">
        <v>162</v>
      </c>
      <c r="D1885" s="1" t="s">
        <v>232</v>
      </c>
      <c r="E1885" s="1" t="s">
        <v>194</v>
      </c>
      <c r="F1885" s="1">
        <v>4</v>
      </c>
      <c r="G1885" s="232" t="s">
        <v>6422</v>
      </c>
      <c r="H1885" s="234">
        <v>6.5</v>
      </c>
      <c r="I1885" s="235">
        <f t="shared" si="218"/>
        <v>26</v>
      </c>
      <c r="K1885" s="250">
        <f>4.5*4</f>
        <v>18</v>
      </c>
      <c r="L1885" s="237">
        <v>41386</v>
      </c>
      <c r="M1885" s="1" t="s">
        <v>166</v>
      </c>
      <c r="N1885" s="1">
        <f t="shared" si="219"/>
        <v>26</v>
      </c>
      <c r="O1885" s="236">
        <f t="shared" si="220"/>
        <v>0</v>
      </c>
      <c r="P1885" s="238" t="s">
        <v>6419</v>
      </c>
      <c r="Q1885" s="1" t="s">
        <v>4010</v>
      </c>
      <c r="R1885" s="239" t="s">
        <v>6380</v>
      </c>
      <c r="S1885" s="238" t="s">
        <v>6381</v>
      </c>
      <c r="T1885" s="238" t="s">
        <v>6379</v>
      </c>
      <c r="U1885" s="238" t="s">
        <v>6617</v>
      </c>
      <c r="V1885" s="238" t="s">
        <v>6896</v>
      </c>
      <c r="W1885" s="236">
        <v>13881</v>
      </c>
      <c r="X1885" s="233">
        <v>41410</v>
      </c>
      <c r="Y1885" s="238" t="s">
        <v>6897</v>
      </c>
      <c r="AB1885" s="1" t="s">
        <v>1561</v>
      </c>
    </row>
    <row r="1886" spans="1:28">
      <c r="A1886" s="233">
        <v>41392</v>
      </c>
      <c r="B1886" s="1" t="s">
        <v>6377</v>
      </c>
      <c r="C1886" s="383" t="s">
        <v>6366</v>
      </c>
      <c r="D1886" s="388" t="s">
        <v>6599</v>
      </c>
      <c r="E1886" s="379" t="s">
        <v>6368</v>
      </c>
      <c r="F1886" s="1">
        <v>60</v>
      </c>
      <c r="G1886" s="1" t="s">
        <v>6418</v>
      </c>
      <c r="H1886" s="234">
        <v>50</v>
      </c>
      <c r="I1886" s="235">
        <f t="shared" ref="I1886:I1891" si="221">F1886*H1886</f>
        <v>3000</v>
      </c>
      <c r="K1886" s="250">
        <f>35*60</f>
        <v>2100</v>
      </c>
      <c r="L1886" s="237">
        <v>41386</v>
      </c>
      <c r="M1886" s="1" t="s">
        <v>166</v>
      </c>
      <c r="N1886" s="1">
        <f t="shared" ref="N1886:N1927" si="222">I1886</f>
        <v>3000</v>
      </c>
      <c r="O1886" s="236">
        <f t="shared" ref="O1886:O1891" si="223">I1886-N1886</f>
        <v>0</v>
      </c>
      <c r="P1886" s="238" t="s">
        <v>6419</v>
      </c>
      <c r="Q1886" s="1" t="s">
        <v>4010</v>
      </c>
      <c r="R1886" s="239" t="s">
        <v>6380</v>
      </c>
      <c r="S1886" s="238" t="s">
        <v>6381</v>
      </c>
      <c r="T1886" s="238" t="s">
        <v>6379</v>
      </c>
      <c r="U1886" s="238" t="s">
        <v>6617</v>
      </c>
      <c r="V1886" s="238" t="s">
        <v>6896</v>
      </c>
      <c r="W1886" s="236">
        <v>13881</v>
      </c>
      <c r="X1886" s="233">
        <v>41410</v>
      </c>
      <c r="Y1886" s="238" t="s">
        <v>6897</v>
      </c>
      <c r="AB1886" s="1" t="s">
        <v>1561</v>
      </c>
    </row>
    <row r="1887" spans="1:28">
      <c r="A1887" s="233">
        <v>41392</v>
      </c>
      <c r="B1887" s="1" t="s">
        <v>2111</v>
      </c>
      <c r="C1887" s="1" t="s">
        <v>162</v>
      </c>
      <c r="D1887" s="1" t="s">
        <v>681</v>
      </c>
      <c r="E1887" s="1" t="s">
        <v>6586</v>
      </c>
      <c r="F1887" s="1">
        <v>100</v>
      </c>
      <c r="G1887" s="1" t="s">
        <v>6588</v>
      </c>
      <c r="H1887" s="234">
        <v>3.46</v>
      </c>
      <c r="I1887" s="235">
        <f t="shared" si="221"/>
        <v>346</v>
      </c>
      <c r="K1887" s="250">
        <f>3.31*100</f>
        <v>331</v>
      </c>
      <c r="L1887" s="237">
        <v>41392</v>
      </c>
      <c r="M1887" s="1" t="s">
        <v>165</v>
      </c>
      <c r="N1887" s="1">
        <f t="shared" si="222"/>
        <v>346</v>
      </c>
      <c r="O1887" s="236">
        <f t="shared" si="223"/>
        <v>0</v>
      </c>
      <c r="P1887" s="238" t="s">
        <v>6592</v>
      </c>
      <c r="Q1887" s="1" t="s">
        <v>6618</v>
      </c>
      <c r="R1887" s="239" t="s">
        <v>414</v>
      </c>
      <c r="S1887" s="238" t="s">
        <v>415</v>
      </c>
      <c r="T1887" s="238" t="s">
        <v>3788</v>
      </c>
      <c r="U1887" s="238" t="s">
        <v>6619</v>
      </c>
      <c r="AB1887" s="1" t="s">
        <v>1561</v>
      </c>
    </row>
    <row r="1888" spans="1:28">
      <c r="A1888" s="233">
        <v>41392</v>
      </c>
      <c r="B1888" s="1" t="s">
        <v>2111</v>
      </c>
      <c r="C1888" s="1" t="s">
        <v>162</v>
      </c>
      <c r="D1888" s="1" t="s">
        <v>2010</v>
      </c>
      <c r="E1888" s="1">
        <v>10434</v>
      </c>
      <c r="F1888" s="1">
        <v>40</v>
      </c>
      <c r="G1888" s="1" t="s">
        <v>6588</v>
      </c>
      <c r="H1888" s="234">
        <v>17.28</v>
      </c>
      <c r="I1888" s="235">
        <f t="shared" si="221"/>
        <v>691.2</v>
      </c>
      <c r="K1888" s="250">
        <f>14.2*40</f>
        <v>568</v>
      </c>
      <c r="L1888" s="237">
        <v>41392</v>
      </c>
      <c r="M1888" s="1" t="s">
        <v>165</v>
      </c>
      <c r="N1888" s="1">
        <f t="shared" si="222"/>
        <v>691.2</v>
      </c>
      <c r="O1888" s="236">
        <f t="shared" si="223"/>
        <v>0</v>
      </c>
      <c r="P1888" s="238" t="s">
        <v>6592</v>
      </c>
      <c r="Q1888" s="1" t="s">
        <v>6618</v>
      </c>
      <c r="R1888" s="239" t="s">
        <v>414</v>
      </c>
      <c r="S1888" s="238" t="s">
        <v>415</v>
      </c>
      <c r="T1888" s="238" t="s">
        <v>3788</v>
      </c>
      <c r="U1888" s="238" t="s">
        <v>6619</v>
      </c>
      <c r="AB1888" s="1" t="s">
        <v>1561</v>
      </c>
    </row>
    <row r="1889" spans="1:28">
      <c r="A1889" s="233">
        <v>41392</v>
      </c>
      <c r="B1889" s="1" t="s">
        <v>2111</v>
      </c>
      <c r="C1889" s="1" t="s">
        <v>162</v>
      </c>
      <c r="D1889" s="5" t="s">
        <v>6593</v>
      </c>
      <c r="E1889" s="1" t="s">
        <v>6587</v>
      </c>
      <c r="F1889" s="1">
        <v>4</v>
      </c>
      <c r="G1889" s="1" t="s">
        <v>6589</v>
      </c>
      <c r="H1889" s="234">
        <v>25.5</v>
      </c>
      <c r="I1889" s="235">
        <f t="shared" si="221"/>
        <v>102</v>
      </c>
      <c r="K1889" s="250">
        <f>23.92*4</f>
        <v>95.68</v>
      </c>
      <c r="L1889" s="237">
        <v>41392</v>
      </c>
      <c r="M1889" s="1" t="s">
        <v>165</v>
      </c>
      <c r="N1889" s="1">
        <f t="shared" si="222"/>
        <v>102</v>
      </c>
      <c r="O1889" s="236">
        <f t="shared" si="223"/>
        <v>0</v>
      </c>
      <c r="P1889" s="238" t="s">
        <v>6592</v>
      </c>
      <c r="Q1889" s="1" t="s">
        <v>6618</v>
      </c>
      <c r="R1889" s="239" t="s">
        <v>414</v>
      </c>
      <c r="S1889" s="238" t="s">
        <v>415</v>
      </c>
      <c r="T1889" s="238" t="s">
        <v>3788</v>
      </c>
      <c r="U1889" s="238" t="s">
        <v>6619</v>
      </c>
      <c r="AB1889" s="1" t="s">
        <v>1561</v>
      </c>
    </row>
    <row r="1890" spans="1:28">
      <c r="A1890" s="233">
        <v>41392</v>
      </c>
      <c r="B1890" s="1" t="s">
        <v>2111</v>
      </c>
      <c r="C1890" s="1" t="s">
        <v>162</v>
      </c>
      <c r="D1890" s="5" t="s">
        <v>1941</v>
      </c>
      <c r="E1890" s="1">
        <v>12308</v>
      </c>
      <c r="F1890" s="1">
        <v>20</v>
      </c>
      <c r="G1890" s="1" t="s">
        <v>6588</v>
      </c>
      <c r="H1890" s="234">
        <v>20.88</v>
      </c>
      <c r="I1890" s="235">
        <f t="shared" si="221"/>
        <v>417.59999999999997</v>
      </c>
      <c r="K1890" s="250">
        <f>18.8*20</f>
        <v>376</v>
      </c>
      <c r="L1890" s="237">
        <v>41392</v>
      </c>
      <c r="M1890" s="1" t="s">
        <v>165</v>
      </c>
      <c r="N1890" s="1">
        <f t="shared" si="222"/>
        <v>417.59999999999997</v>
      </c>
      <c r="O1890" s="236">
        <f t="shared" si="223"/>
        <v>0</v>
      </c>
      <c r="P1890" s="238" t="s">
        <v>6592</v>
      </c>
      <c r="Q1890" s="1" t="s">
        <v>6618</v>
      </c>
      <c r="R1890" s="239" t="s">
        <v>414</v>
      </c>
      <c r="S1890" s="238" t="s">
        <v>415</v>
      </c>
      <c r="T1890" s="238" t="s">
        <v>3788</v>
      </c>
      <c r="U1890" s="238" t="s">
        <v>6619</v>
      </c>
      <c r="AB1890" s="1" t="s">
        <v>1561</v>
      </c>
    </row>
    <row r="1891" spans="1:28">
      <c r="A1891" s="233">
        <v>41392</v>
      </c>
      <c r="B1891" s="1" t="s">
        <v>2111</v>
      </c>
      <c r="C1891" s="386" t="s">
        <v>7</v>
      </c>
      <c r="D1891" s="1" t="s">
        <v>6595</v>
      </c>
      <c r="E1891" s="1">
        <v>3983</v>
      </c>
      <c r="F1891" s="1">
        <v>10</v>
      </c>
      <c r="G1891" s="1" t="s">
        <v>6590</v>
      </c>
      <c r="H1891" s="234">
        <v>7.24</v>
      </c>
      <c r="I1891" s="235">
        <f t="shared" si="221"/>
        <v>72.400000000000006</v>
      </c>
      <c r="K1891" s="282">
        <v>0</v>
      </c>
      <c r="L1891" s="237">
        <v>41392</v>
      </c>
      <c r="M1891" s="1" t="s">
        <v>165</v>
      </c>
      <c r="N1891" s="1">
        <f t="shared" si="222"/>
        <v>72.400000000000006</v>
      </c>
      <c r="O1891" s="236">
        <f t="shared" si="223"/>
        <v>0</v>
      </c>
      <c r="P1891" s="238" t="s">
        <v>6592</v>
      </c>
      <c r="Q1891" s="1" t="s">
        <v>6618</v>
      </c>
      <c r="R1891" s="239" t="s">
        <v>414</v>
      </c>
      <c r="S1891" s="238" t="s">
        <v>415</v>
      </c>
      <c r="T1891" s="238" t="s">
        <v>3788</v>
      </c>
      <c r="U1891" s="238" t="s">
        <v>6619</v>
      </c>
      <c r="Z1891" s="255" t="s">
        <v>6596</v>
      </c>
      <c r="AB1891" s="1" t="s">
        <v>1561</v>
      </c>
    </row>
    <row r="1892" spans="1:28">
      <c r="A1892" s="233">
        <v>41396</v>
      </c>
      <c r="B1892" s="1" t="s">
        <v>1569</v>
      </c>
      <c r="C1892" s="1" t="s">
        <v>162</v>
      </c>
      <c r="D1892" s="390" t="s">
        <v>593</v>
      </c>
      <c r="E1892" s="1">
        <v>3200</v>
      </c>
      <c r="F1892" s="1">
        <v>20</v>
      </c>
      <c r="G1892" s="1" t="s">
        <v>6613</v>
      </c>
      <c r="H1892" s="234">
        <v>27.5</v>
      </c>
      <c r="I1892" s="235">
        <f t="shared" ref="I1892:I1911" si="224">F1892*H1892</f>
        <v>550</v>
      </c>
      <c r="K1892" s="250">
        <f>23.94*20</f>
        <v>478.8</v>
      </c>
      <c r="N1892" s="235">
        <v>0</v>
      </c>
      <c r="O1892" s="235">
        <f t="shared" ref="O1892:O1911" si="225">I1892-N1892</f>
        <v>550</v>
      </c>
      <c r="P1892" s="238" t="s">
        <v>6616</v>
      </c>
      <c r="Q1892" s="1" t="s">
        <v>1571</v>
      </c>
      <c r="R1892" s="239" t="s">
        <v>1570</v>
      </c>
      <c r="S1892" s="238">
        <v>13368068212</v>
      </c>
      <c r="T1892" s="238" t="s">
        <v>167</v>
      </c>
      <c r="U1892" s="238" t="s">
        <v>167</v>
      </c>
      <c r="V1892" s="238" t="s">
        <v>7024</v>
      </c>
      <c r="W1892" s="236">
        <v>33867.5</v>
      </c>
      <c r="X1892" s="233">
        <v>41418</v>
      </c>
      <c r="Y1892" s="238" t="s">
        <v>7025</v>
      </c>
      <c r="AB1892" s="5" t="s">
        <v>1561</v>
      </c>
    </row>
    <row r="1893" spans="1:28">
      <c r="A1893" s="233">
        <v>41396</v>
      </c>
      <c r="B1893" s="1" t="s">
        <v>1569</v>
      </c>
      <c r="C1893" s="1" t="s">
        <v>162</v>
      </c>
      <c r="D1893" s="5" t="s">
        <v>346</v>
      </c>
      <c r="E1893" s="1">
        <v>3700</v>
      </c>
      <c r="F1893" s="1">
        <v>20</v>
      </c>
      <c r="G1893" s="1" t="s">
        <v>6613</v>
      </c>
      <c r="H1893" s="234">
        <v>4</v>
      </c>
      <c r="I1893" s="235">
        <f t="shared" si="224"/>
        <v>80</v>
      </c>
      <c r="K1893" s="250">
        <f>3.65*20</f>
        <v>73</v>
      </c>
      <c r="N1893" s="235">
        <v>0</v>
      </c>
      <c r="O1893" s="235">
        <f t="shared" si="225"/>
        <v>80</v>
      </c>
      <c r="P1893" s="238" t="s">
        <v>6616</v>
      </c>
      <c r="Q1893" s="1" t="s">
        <v>1571</v>
      </c>
      <c r="R1893" s="239" t="s">
        <v>1570</v>
      </c>
      <c r="S1893" s="238">
        <v>13368068212</v>
      </c>
      <c r="T1893" s="238" t="s">
        <v>167</v>
      </c>
      <c r="U1893" s="238" t="s">
        <v>167</v>
      </c>
      <c r="V1893" s="238" t="s">
        <v>7024</v>
      </c>
      <c r="W1893" s="236">
        <v>33867.5</v>
      </c>
      <c r="X1893" s="233">
        <v>41418</v>
      </c>
      <c r="Y1893" s="238" t="s">
        <v>7025</v>
      </c>
      <c r="AB1893" s="5" t="s">
        <v>1561</v>
      </c>
    </row>
    <row r="1894" spans="1:28">
      <c r="A1894" s="233">
        <v>41396</v>
      </c>
      <c r="B1894" s="1" t="s">
        <v>1569</v>
      </c>
      <c r="C1894" s="1" t="s">
        <v>162</v>
      </c>
      <c r="D1894" s="5" t="s">
        <v>182</v>
      </c>
      <c r="E1894" s="1" t="s">
        <v>186</v>
      </c>
      <c r="F1894" s="1">
        <v>510</v>
      </c>
      <c r="G1894" s="1" t="s">
        <v>6614</v>
      </c>
      <c r="H1894" s="234">
        <v>1.65</v>
      </c>
      <c r="I1894" s="235">
        <f t="shared" si="224"/>
        <v>841.5</v>
      </c>
      <c r="K1894" s="250">
        <f>1.54*510</f>
        <v>785.4</v>
      </c>
      <c r="N1894" s="235">
        <v>0</v>
      </c>
      <c r="O1894" s="235">
        <f t="shared" si="225"/>
        <v>841.5</v>
      </c>
      <c r="P1894" s="238" t="s">
        <v>6616</v>
      </c>
      <c r="Q1894" s="1" t="s">
        <v>1571</v>
      </c>
      <c r="R1894" s="239" t="s">
        <v>1570</v>
      </c>
      <c r="S1894" s="238">
        <v>13368068212</v>
      </c>
      <c r="T1894" s="238" t="s">
        <v>167</v>
      </c>
      <c r="U1894" s="238" t="s">
        <v>167</v>
      </c>
      <c r="V1894" s="238" t="s">
        <v>7024</v>
      </c>
      <c r="W1894" s="236">
        <v>33867.5</v>
      </c>
      <c r="X1894" s="233">
        <v>41418</v>
      </c>
      <c r="Y1894" s="238" t="s">
        <v>7025</v>
      </c>
      <c r="AB1894" s="5" t="s">
        <v>1561</v>
      </c>
    </row>
    <row r="1895" spans="1:28">
      <c r="A1895" s="233">
        <v>41396</v>
      </c>
      <c r="B1895" s="1" t="s">
        <v>1569</v>
      </c>
      <c r="C1895" s="1" t="s">
        <v>162</v>
      </c>
      <c r="D1895" s="1" t="s">
        <v>1213</v>
      </c>
      <c r="E1895" s="1" t="s">
        <v>178</v>
      </c>
      <c r="F1895" s="1">
        <v>24</v>
      </c>
      <c r="G1895" s="1" t="s">
        <v>6615</v>
      </c>
      <c r="H1895" s="234">
        <v>13.2</v>
      </c>
      <c r="I1895" s="235">
        <f t="shared" si="224"/>
        <v>316.79999999999995</v>
      </c>
      <c r="K1895" s="250">
        <f>12.6*3+12.3*21</f>
        <v>296.10000000000002</v>
      </c>
      <c r="N1895" s="235">
        <v>0</v>
      </c>
      <c r="O1895" s="235">
        <f t="shared" si="225"/>
        <v>316.79999999999995</v>
      </c>
      <c r="P1895" s="238" t="s">
        <v>6616</v>
      </c>
      <c r="Q1895" s="1" t="s">
        <v>1571</v>
      </c>
      <c r="R1895" s="239" t="s">
        <v>1570</v>
      </c>
      <c r="S1895" s="238">
        <v>13368068212</v>
      </c>
      <c r="T1895" s="238" t="s">
        <v>167</v>
      </c>
      <c r="U1895" s="238" t="s">
        <v>167</v>
      </c>
      <c r="V1895" s="238" t="s">
        <v>7024</v>
      </c>
      <c r="W1895" s="236">
        <v>33867.5</v>
      </c>
      <c r="X1895" s="233">
        <v>41418</v>
      </c>
      <c r="Y1895" s="238" t="s">
        <v>7025</v>
      </c>
      <c r="AB1895" s="5" t="s">
        <v>1561</v>
      </c>
    </row>
    <row r="1896" spans="1:28">
      <c r="A1896" s="233">
        <v>41396</v>
      </c>
      <c r="B1896" s="1" t="s">
        <v>5907</v>
      </c>
      <c r="C1896" s="1" t="s">
        <v>162</v>
      </c>
      <c r="D1896" s="1" t="s">
        <v>6623</v>
      </c>
      <c r="E1896" s="1" t="s">
        <v>6620</v>
      </c>
      <c r="F1896" s="1">
        <v>1</v>
      </c>
      <c r="G1896" s="1" t="s">
        <v>6615</v>
      </c>
      <c r="H1896" s="234">
        <v>15.9</v>
      </c>
      <c r="I1896" s="235">
        <f t="shared" si="224"/>
        <v>15.9</v>
      </c>
      <c r="K1896" s="250">
        <f>14.1*1</f>
        <v>14.1</v>
      </c>
      <c r="L1896" s="237">
        <v>41396</v>
      </c>
      <c r="M1896" s="1" t="s">
        <v>698</v>
      </c>
      <c r="N1896" s="1">
        <f>I1896</f>
        <v>15.9</v>
      </c>
      <c r="O1896" s="236">
        <f t="shared" si="225"/>
        <v>0</v>
      </c>
      <c r="P1896" s="238" t="s">
        <v>6621</v>
      </c>
      <c r="Q1896" s="1" t="s">
        <v>1562</v>
      </c>
      <c r="R1896" s="239" t="s">
        <v>6341</v>
      </c>
      <c r="S1896" s="238" t="s">
        <v>6342</v>
      </c>
      <c r="T1896" s="238" t="s">
        <v>167</v>
      </c>
      <c r="V1896" s="238" t="s">
        <v>6987</v>
      </c>
      <c r="W1896" s="236">
        <v>1329.4</v>
      </c>
      <c r="X1896" s="233">
        <v>41416</v>
      </c>
      <c r="Y1896" s="238" t="s">
        <v>6988</v>
      </c>
      <c r="AB1896" s="1" t="s">
        <v>1561</v>
      </c>
    </row>
    <row r="1897" spans="1:28">
      <c r="A1897" s="233">
        <v>41397</v>
      </c>
      <c r="B1897" s="1" t="s">
        <v>4696</v>
      </c>
      <c r="C1897" s="1" t="s">
        <v>162</v>
      </c>
      <c r="D1897" s="1" t="s">
        <v>1213</v>
      </c>
      <c r="E1897" s="1" t="s">
        <v>178</v>
      </c>
      <c r="F1897" s="1">
        <v>3</v>
      </c>
      <c r="G1897" s="1" t="s">
        <v>6641</v>
      </c>
      <c r="H1897" s="234">
        <v>14</v>
      </c>
      <c r="I1897" s="235">
        <f t="shared" si="224"/>
        <v>42</v>
      </c>
      <c r="K1897" s="250">
        <f>12.3*3</f>
        <v>36.900000000000006</v>
      </c>
      <c r="N1897" s="235">
        <v>0</v>
      </c>
      <c r="O1897" s="235">
        <f t="shared" si="225"/>
        <v>42</v>
      </c>
      <c r="P1897" s="238" t="s">
        <v>6642</v>
      </c>
      <c r="Q1897" s="5" t="s">
        <v>1562</v>
      </c>
      <c r="R1897" s="239" t="s">
        <v>167</v>
      </c>
      <c r="S1897" s="238" t="s">
        <v>167</v>
      </c>
      <c r="T1897" s="238" t="s">
        <v>167</v>
      </c>
      <c r="U1897" s="238" t="s">
        <v>167</v>
      </c>
      <c r="AB1897" s="5" t="s">
        <v>1561</v>
      </c>
    </row>
    <row r="1898" spans="1:28">
      <c r="A1898" s="233">
        <v>41397</v>
      </c>
      <c r="B1898" s="1" t="s">
        <v>6074</v>
      </c>
      <c r="C1898" s="1" t="s">
        <v>162</v>
      </c>
      <c r="D1898" s="5" t="s">
        <v>51</v>
      </c>
      <c r="E1898" s="1">
        <v>9032</v>
      </c>
      <c r="F1898" s="1">
        <v>5000</v>
      </c>
      <c r="G1898" s="1" t="s">
        <v>6626</v>
      </c>
      <c r="H1898" s="234">
        <v>1.65</v>
      </c>
      <c r="I1898" s="235">
        <f t="shared" si="224"/>
        <v>8250</v>
      </c>
      <c r="K1898" s="250">
        <f>1.56*5000</f>
        <v>7800</v>
      </c>
      <c r="N1898" s="235">
        <v>0</v>
      </c>
      <c r="O1898" s="235">
        <f t="shared" si="225"/>
        <v>8250</v>
      </c>
      <c r="P1898" s="238" t="s">
        <v>6645</v>
      </c>
      <c r="Q1898" s="1" t="s">
        <v>2505</v>
      </c>
      <c r="R1898" s="239" t="s">
        <v>5760</v>
      </c>
      <c r="S1898" s="238" t="s">
        <v>5759</v>
      </c>
      <c r="T1898" s="238" t="s">
        <v>6329</v>
      </c>
      <c r="U1898" s="238" t="s">
        <v>167</v>
      </c>
      <c r="V1898" s="238" t="s">
        <v>6890</v>
      </c>
      <c r="W1898" s="236">
        <v>17020</v>
      </c>
      <c r="X1898" s="233">
        <v>41410</v>
      </c>
      <c r="Y1898" s="238" t="s">
        <v>6891</v>
      </c>
      <c r="AB1898" s="1" t="s">
        <v>2064</v>
      </c>
    </row>
    <row r="1899" spans="1:28">
      <c r="A1899" s="233">
        <v>41397</v>
      </c>
      <c r="B1899" s="1" t="s">
        <v>6074</v>
      </c>
      <c r="C1899" s="1" t="s">
        <v>167</v>
      </c>
      <c r="D1899" s="1" t="s">
        <v>5942</v>
      </c>
      <c r="E1899" s="1" t="s">
        <v>167</v>
      </c>
      <c r="F1899" s="1">
        <v>50</v>
      </c>
      <c r="G1899" s="1" t="s">
        <v>6637</v>
      </c>
      <c r="H1899" s="234">
        <v>5</v>
      </c>
      <c r="I1899" s="235">
        <f t="shared" si="224"/>
        <v>250</v>
      </c>
      <c r="K1899" s="250">
        <f>3.8*50</f>
        <v>190</v>
      </c>
      <c r="N1899" s="235">
        <v>0</v>
      </c>
      <c r="O1899" s="235">
        <f t="shared" si="225"/>
        <v>250</v>
      </c>
      <c r="P1899" s="238" t="s">
        <v>6645</v>
      </c>
      <c r="Q1899" s="1" t="s">
        <v>2505</v>
      </c>
      <c r="R1899" s="239" t="s">
        <v>5760</v>
      </c>
      <c r="S1899" s="238" t="s">
        <v>5759</v>
      </c>
      <c r="T1899" s="238" t="s">
        <v>6329</v>
      </c>
      <c r="U1899" s="238" t="s">
        <v>167</v>
      </c>
      <c r="V1899" s="238" t="s">
        <v>6890</v>
      </c>
      <c r="W1899" s="236">
        <v>17020</v>
      </c>
      <c r="X1899" s="233">
        <v>41410</v>
      </c>
      <c r="Y1899" s="238" t="s">
        <v>6891</v>
      </c>
      <c r="AB1899" s="1" t="s">
        <v>2064</v>
      </c>
    </row>
    <row r="1900" spans="1:28">
      <c r="A1900" s="233">
        <v>41397</v>
      </c>
      <c r="B1900" s="1" t="s">
        <v>6074</v>
      </c>
      <c r="C1900" s="1" t="s">
        <v>167</v>
      </c>
      <c r="D1900" s="1" t="s">
        <v>5943</v>
      </c>
      <c r="E1900" s="1" t="s">
        <v>167</v>
      </c>
      <c r="F1900" s="1">
        <v>100</v>
      </c>
      <c r="G1900" s="1" t="s">
        <v>6640</v>
      </c>
      <c r="H1900" s="234">
        <v>3</v>
      </c>
      <c r="I1900" s="235">
        <f t="shared" si="224"/>
        <v>300</v>
      </c>
      <c r="K1900" s="250">
        <f>2*100</f>
        <v>200</v>
      </c>
      <c r="N1900" s="235">
        <v>0</v>
      </c>
      <c r="O1900" s="235">
        <f t="shared" si="225"/>
        <v>300</v>
      </c>
      <c r="P1900" s="238" t="s">
        <v>6645</v>
      </c>
      <c r="Q1900" s="1" t="s">
        <v>2505</v>
      </c>
      <c r="R1900" s="239" t="s">
        <v>5760</v>
      </c>
      <c r="S1900" s="238" t="s">
        <v>5759</v>
      </c>
      <c r="T1900" s="238" t="s">
        <v>6329</v>
      </c>
      <c r="U1900" s="238" t="s">
        <v>167</v>
      </c>
      <c r="V1900" s="238" t="s">
        <v>6890</v>
      </c>
      <c r="W1900" s="236">
        <v>17020</v>
      </c>
      <c r="X1900" s="233">
        <v>41410</v>
      </c>
      <c r="Y1900" s="238" t="s">
        <v>6891</v>
      </c>
      <c r="AB1900" s="1" t="s">
        <v>2064</v>
      </c>
    </row>
    <row r="1901" spans="1:28">
      <c r="A1901" s="233">
        <v>41397</v>
      </c>
      <c r="B1901" s="1" t="s">
        <v>6074</v>
      </c>
      <c r="C1901" s="1" t="s">
        <v>167</v>
      </c>
      <c r="D1901" s="1" t="s">
        <v>6073</v>
      </c>
      <c r="E1901" s="1" t="s">
        <v>167</v>
      </c>
      <c r="F1901" s="1">
        <v>5000</v>
      </c>
      <c r="G1901" s="1" t="s">
        <v>6640</v>
      </c>
      <c r="H1901" s="234">
        <v>0.8</v>
      </c>
      <c r="I1901" s="235">
        <f t="shared" si="224"/>
        <v>4000</v>
      </c>
      <c r="K1901" s="250">
        <f>0.68*5000</f>
        <v>3400.0000000000005</v>
      </c>
      <c r="N1901" s="235">
        <v>0</v>
      </c>
      <c r="O1901" s="235">
        <f t="shared" si="225"/>
        <v>4000</v>
      </c>
      <c r="P1901" s="238" t="s">
        <v>6645</v>
      </c>
      <c r="Q1901" s="1" t="s">
        <v>2505</v>
      </c>
      <c r="R1901" s="239" t="s">
        <v>5760</v>
      </c>
      <c r="S1901" s="238" t="s">
        <v>5759</v>
      </c>
      <c r="T1901" s="238" t="s">
        <v>6329</v>
      </c>
      <c r="U1901" s="238" t="s">
        <v>167</v>
      </c>
      <c r="V1901" s="238" t="s">
        <v>6890</v>
      </c>
      <c r="W1901" s="236">
        <v>17020</v>
      </c>
      <c r="X1901" s="233">
        <v>41410</v>
      </c>
      <c r="Y1901" s="238" t="s">
        <v>6891</v>
      </c>
      <c r="AB1901" s="1" t="s">
        <v>2064</v>
      </c>
    </row>
    <row r="1902" spans="1:28">
      <c r="A1902" s="233">
        <v>41397</v>
      </c>
      <c r="B1902" s="1" t="s">
        <v>6074</v>
      </c>
      <c r="C1902" s="1" t="s">
        <v>6644</v>
      </c>
      <c r="D1902" s="391" t="s">
        <v>5858</v>
      </c>
      <c r="E1902" s="391" t="s">
        <v>5857</v>
      </c>
      <c r="F1902" s="1">
        <v>5000</v>
      </c>
      <c r="G1902" s="1" t="s">
        <v>6640</v>
      </c>
      <c r="H1902" s="234">
        <v>0.65</v>
      </c>
      <c r="I1902" s="235">
        <f t="shared" si="224"/>
        <v>3250</v>
      </c>
      <c r="K1902" s="250">
        <f>0.5*5000</f>
        <v>2500</v>
      </c>
      <c r="N1902" s="235">
        <v>0</v>
      </c>
      <c r="O1902" s="235">
        <f t="shared" si="225"/>
        <v>3250</v>
      </c>
      <c r="P1902" s="238" t="s">
        <v>6645</v>
      </c>
      <c r="Q1902" s="1" t="s">
        <v>2505</v>
      </c>
      <c r="R1902" s="239" t="s">
        <v>5760</v>
      </c>
      <c r="S1902" s="238" t="s">
        <v>5759</v>
      </c>
      <c r="T1902" s="238" t="s">
        <v>6329</v>
      </c>
      <c r="U1902" s="238" t="s">
        <v>167</v>
      </c>
      <c r="V1902" s="238" t="s">
        <v>6890</v>
      </c>
      <c r="W1902" s="236">
        <v>17020</v>
      </c>
      <c r="X1902" s="233">
        <v>41410</v>
      </c>
      <c r="Y1902" s="238" t="s">
        <v>6891</v>
      </c>
      <c r="AB1902" s="1" t="s">
        <v>2064</v>
      </c>
    </row>
    <row r="1903" spans="1:28">
      <c r="A1903" s="233">
        <v>41397</v>
      </c>
      <c r="B1903" s="1" t="s">
        <v>2311</v>
      </c>
      <c r="C1903" s="1" t="s">
        <v>162</v>
      </c>
      <c r="D1903" s="5" t="s">
        <v>182</v>
      </c>
      <c r="E1903" s="1" t="s">
        <v>1069</v>
      </c>
      <c r="F1903" s="1">
        <v>80</v>
      </c>
      <c r="G1903" s="1" t="s">
        <v>171</v>
      </c>
      <c r="H1903" s="234">
        <v>1.73</v>
      </c>
      <c r="I1903" s="235">
        <f t="shared" si="224"/>
        <v>138.4</v>
      </c>
      <c r="K1903" s="250">
        <f>1.54*80</f>
        <v>123.2</v>
      </c>
      <c r="L1903" s="237">
        <v>41403</v>
      </c>
      <c r="M1903" s="1" t="s">
        <v>166</v>
      </c>
      <c r="N1903" s="235">
        <f t="shared" ref="N1903:N1904" si="226">I1903</f>
        <v>138.4</v>
      </c>
      <c r="O1903" s="235">
        <f t="shared" si="225"/>
        <v>0</v>
      </c>
      <c r="P1903" s="238" t="s">
        <v>6647</v>
      </c>
      <c r="Q1903" s="5" t="s">
        <v>1562</v>
      </c>
      <c r="R1903" s="239" t="s">
        <v>167</v>
      </c>
      <c r="S1903" s="238" t="s">
        <v>167</v>
      </c>
      <c r="T1903" s="238" t="s">
        <v>167</v>
      </c>
      <c r="U1903" s="238" t="s">
        <v>167</v>
      </c>
      <c r="AB1903" s="5" t="s">
        <v>1561</v>
      </c>
    </row>
    <row r="1904" spans="1:28">
      <c r="A1904" s="233">
        <v>41397</v>
      </c>
      <c r="B1904" s="1" t="s">
        <v>2311</v>
      </c>
      <c r="C1904" s="1" t="s">
        <v>162</v>
      </c>
      <c r="D1904" s="5" t="s">
        <v>346</v>
      </c>
      <c r="E1904" s="1">
        <v>3700</v>
      </c>
      <c r="F1904" s="1">
        <v>80</v>
      </c>
      <c r="G1904" s="1" t="s">
        <v>170</v>
      </c>
      <c r="H1904" s="234">
        <v>4</v>
      </c>
      <c r="I1904" s="235">
        <f t="shared" si="224"/>
        <v>320</v>
      </c>
      <c r="K1904" s="250">
        <f>3.65*80</f>
        <v>292</v>
      </c>
      <c r="L1904" s="237">
        <v>41403</v>
      </c>
      <c r="M1904" s="1" t="s">
        <v>166</v>
      </c>
      <c r="N1904" s="235">
        <f t="shared" si="226"/>
        <v>320</v>
      </c>
      <c r="O1904" s="235">
        <f t="shared" si="225"/>
        <v>0</v>
      </c>
      <c r="P1904" s="238" t="s">
        <v>6647</v>
      </c>
      <c r="Q1904" s="5" t="s">
        <v>1562</v>
      </c>
      <c r="R1904" s="239" t="s">
        <v>167</v>
      </c>
      <c r="S1904" s="238" t="s">
        <v>167</v>
      </c>
      <c r="T1904" s="238" t="s">
        <v>167</v>
      </c>
      <c r="U1904" s="238" t="s">
        <v>167</v>
      </c>
      <c r="AB1904" s="5" t="s">
        <v>1561</v>
      </c>
    </row>
    <row r="1905" spans="1:28">
      <c r="A1905" s="233">
        <v>41397</v>
      </c>
      <c r="B1905" s="1" t="s">
        <v>6377</v>
      </c>
      <c r="C1905" s="1" t="s">
        <v>162</v>
      </c>
      <c r="D1905" s="391" t="s">
        <v>5047</v>
      </c>
      <c r="E1905" s="1">
        <v>8210</v>
      </c>
      <c r="F1905" s="1">
        <v>300</v>
      </c>
      <c r="G1905" s="1" t="s">
        <v>6626</v>
      </c>
      <c r="H1905" s="234">
        <v>5.5</v>
      </c>
      <c r="I1905" s="235">
        <f t="shared" si="224"/>
        <v>1650</v>
      </c>
      <c r="K1905" s="250">
        <f>3.78*300</f>
        <v>1134</v>
      </c>
      <c r="L1905" s="237">
        <v>41397</v>
      </c>
      <c r="M1905" s="1" t="s">
        <v>6649</v>
      </c>
      <c r="N1905" s="236">
        <f>I1905</f>
        <v>1650</v>
      </c>
      <c r="O1905" s="235">
        <f t="shared" si="225"/>
        <v>0</v>
      </c>
      <c r="P1905" s="238" t="s">
        <v>6648</v>
      </c>
      <c r="Q1905" s="1" t="s">
        <v>6677</v>
      </c>
      <c r="R1905" s="239" t="s">
        <v>6380</v>
      </c>
      <c r="S1905" s="238" t="s">
        <v>6381</v>
      </c>
      <c r="T1905" s="238" t="s">
        <v>6379</v>
      </c>
      <c r="U1905" s="238" t="s">
        <v>6678</v>
      </c>
      <c r="V1905" s="238" t="s">
        <v>6896</v>
      </c>
      <c r="W1905" s="236">
        <v>13881</v>
      </c>
      <c r="X1905" s="233">
        <v>41410</v>
      </c>
      <c r="Y1905" s="238" t="s">
        <v>6897</v>
      </c>
      <c r="AB1905" s="1" t="s">
        <v>1561</v>
      </c>
    </row>
    <row r="1906" spans="1:28">
      <c r="A1906" s="233">
        <v>41397</v>
      </c>
      <c r="B1906" s="1" t="s">
        <v>6431</v>
      </c>
      <c r="C1906" s="383" t="s">
        <v>162</v>
      </c>
      <c r="D1906" s="1" t="s">
        <v>240</v>
      </c>
      <c r="E1906" s="1">
        <v>6200</v>
      </c>
      <c r="F1906" s="1">
        <v>8</v>
      </c>
      <c r="G1906" s="232" t="s">
        <v>3101</v>
      </c>
      <c r="H1906" s="234">
        <v>48.35</v>
      </c>
      <c r="I1906" s="235">
        <f t="shared" si="224"/>
        <v>386.8</v>
      </c>
      <c r="K1906" s="250">
        <f>43.7*3</f>
        <v>131.10000000000002</v>
      </c>
      <c r="L1906" s="237">
        <v>41388</v>
      </c>
      <c r="M1906" s="1" t="s">
        <v>166</v>
      </c>
      <c r="N1906" s="1">
        <f t="shared" ref="N1906:N1911" si="227">I1906</f>
        <v>386.8</v>
      </c>
      <c r="O1906" s="235">
        <f t="shared" si="225"/>
        <v>0</v>
      </c>
      <c r="P1906" s="238" t="s">
        <v>6465</v>
      </c>
      <c r="Q1906" s="1" t="s">
        <v>6650</v>
      </c>
      <c r="R1906" s="239" t="s">
        <v>6467</v>
      </c>
      <c r="S1906" s="238" t="s">
        <v>6466</v>
      </c>
      <c r="T1906" s="238" t="s">
        <v>6432</v>
      </c>
      <c r="AB1906" s="379" t="s">
        <v>377</v>
      </c>
    </row>
    <row r="1907" spans="1:28">
      <c r="A1907" s="233">
        <v>41397</v>
      </c>
      <c r="B1907" s="1" t="s">
        <v>6431</v>
      </c>
      <c r="C1907" s="383" t="s">
        <v>162</v>
      </c>
      <c r="D1907" s="5" t="s">
        <v>4769</v>
      </c>
      <c r="E1907" s="1">
        <v>2078</v>
      </c>
      <c r="F1907" s="1">
        <v>30</v>
      </c>
      <c r="G1907" s="232" t="s">
        <v>6422</v>
      </c>
      <c r="H1907" s="234">
        <v>15.27</v>
      </c>
      <c r="I1907" s="235">
        <f t="shared" si="224"/>
        <v>458.09999999999997</v>
      </c>
      <c r="K1907" s="250">
        <f>12*30</f>
        <v>360</v>
      </c>
      <c r="L1907" s="237">
        <v>41388</v>
      </c>
      <c r="M1907" s="1" t="s">
        <v>166</v>
      </c>
      <c r="N1907" s="1">
        <f t="shared" si="227"/>
        <v>458.09999999999997</v>
      </c>
      <c r="O1907" s="235">
        <f t="shared" si="225"/>
        <v>0</v>
      </c>
      <c r="P1907" s="238" t="s">
        <v>6465</v>
      </c>
      <c r="Q1907" s="1" t="s">
        <v>6650</v>
      </c>
      <c r="R1907" s="239" t="s">
        <v>6467</v>
      </c>
      <c r="S1907" s="238" t="s">
        <v>6466</v>
      </c>
      <c r="T1907" s="238" t="s">
        <v>6432</v>
      </c>
      <c r="AB1907" s="379" t="s">
        <v>377</v>
      </c>
    </row>
    <row r="1908" spans="1:28">
      <c r="A1908" s="233">
        <v>41397</v>
      </c>
      <c r="B1908" s="1" t="s">
        <v>6431</v>
      </c>
      <c r="C1908" s="383" t="s">
        <v>162</v>
      </c>
      <c r="D1908" s="1" t="s">
        <v>1867</v>
      </c>
      <c r="E1908" s="1">
        <v>6006</v>
      </c>
      <c r="F1908" s="1">
        <v>30</v>
      </c>
      <c r="G1908" s="232" t="s">
        <v>3101</v>
      </c>
      <c r="H1908" s="234">
        <v>57.7</v>
      </c>
      <c r="I1908" s="235">
        <f t="shared" si="224"/>
        <v>1731</v>
      </c>
      <c r="K1908" s="250">
        <f>47.5*30</f>
        <v>1425</v>
      </c>
      <c r="L1908" s="237">
        <v>41388</v>
      </c>
      <c r="M1908" s="1" t="s">
        <v>166</v>
      </c>
      <c r="N1908" s="1">
        <f t="shared" si="227"/>
        <v>1731</v>
      </c>
      <c r="O1908" s="235">
        <f t="shared" si="225"/>
        <v>0</v>
      </c>
      <c r="P1908" s="238" t="s">
        <v>6465</v>
      </c>
      <c r="Q1908" s="1" t="s">
        <v>6650</v>
      </c>
      <c r="R1908" s="239" t="s">
        <v>6467</v>
      </c>
      <c r="S1908" s="238" t="s">
        <v>6466</v>
      </c>
      <c r="T1908" s="238" t="s">
        <v>6432</v>
      </c>
      <c r="AB1908" s="379" t="s">
        <v>377</v>
      </c>
    </row>
    <row r="1909" spans="1:28">
      <c r="A1909" s="233">
        <v>41397</v>
      </c>
      <c r="B1909" s="1" t="s">
        <v>6431</v>
      </c>
      <c r="C1909" s="383" t="s">
        <v>162</v>
      </c>
      <c r="D1909" s="5" t="s">
        <v>1869</v>
      </c>
      <c r="E1909" s="1">
        <v>501</v>
      </c>
      <c r="F1909" s="1">
        <v>30</v>
      </c>
      <c r="G1909" s="232" t="s">
        <v>3101</v>
      </c>
      <c r="H1909" s="234">
        <v>1.5</v>
      </c>
      <c r="I1909" s="235">
        <f t="shared" si="224"/>
        <v>45</v>
      </c>
      <c r="K1909" s="250">
        <f>1.4*30</f>
        <v>42</v>
      </c>
      <c r="L1909" s="237">
        <v>41388</v>
      </c>
      <c r="M1909" s="1" t="s">
        <v>166</v>
      </c>
      <c r="N1909" s="1">
        <f t="shared" si="227"/>
        <v>45</v>
      </c>
      <c r="O1909" s="235">
        <f t="shared" si="225"/>
        <v>0</v>
      </c>
      <c r="P1909" s="238" t="s">
        <v>6465</v>
      </c>
      <c r="Q1909" s="1" t="s">
        <v>6650</v>
      </c>
      <c r="R1909" s="239" t="s">
        <v>6467</v>
      </c>
      <c r="S1909" s="238" t="s">
        <v>6466</v>
      </c>
      <c r="T1909" s="238" t="s">
        <v>6432</v>
      </c>
      <c r="AB1909" s="379" t="s">
        <v>377</v>
      </c>
    </row>
    <row r="1910" spans="1:28">
      <c r="A1910" s="233">
        <v>41397</v>
      </c>
      <c r="B1910" s="1" t="s">
        <v>6431</v>
      </c>
      <c r="C1910" s="383" t="s">
        <v>162</v>
      </c>
      <c r="D1910" s="1" t="s">
        <v>232</v>
      </c>
      <c r="E1910" s="1" t="s">
        <v>194</v>
      </c>
      <c r="F1910" s="1">
        <v>30</v>
      </c>
      <c r="G1910" s="232" t="s">
        <v>6422</v>
      </c>
      <c r="H1910" s="234">
        <v>5.52</v>
      </c>
      <c r="I1910" s="235">
        <f t="shared" si="224"/>
        <v>165.6</v>
      </c>
      <c r="K1910" s="250">
        <f>4.5*30</f>
        <v>135</v>
      </c>
      <c r="L1910" s="237">
        <v>41388</v>
      </c>
      <c r="M1910" s="1" t="s">
        <v>166</v>
      </c>
      <c r="N1910" s="1">
        <f t="shared" si="227"/>
        <v>165.6</v>
      </c>
      <c r="O1910" s="235">
        <f t="shared" si="225"/>
        <v>0</v>
      </c>
      <c r="P1910" s="238" t="s">
        <v>6465</v>
      </c>
      <c r="Q1910" s="1" t="s">
        <v>6650</v>
      </c>
      <c r="R1910" s="239" t="s">
        <v>6467</v>
      </c>
      <c r="S1910" s="238" t="s">
        <v>6466</v>
      </c>
      <c r="T1910" s="238" t="s">
        <v>6432</v>
      </c>
      <c r="AB1910" s="379" t="s">
        <v>377</v>
      </c>
    </row>
    <row r="1911" spans="1:28">
      <c r="A1911" s="233">
        <v>41397</v>
      </c>
      <c r="B1911" s="1" t="s">
        <v>6431</v>
      </c>
      <c r="C1911" s="383" t="s">
        <v>162</v>
      </c>
      <c r="D1911" s="391" t="s">
        <v>5047</v>
      </c>
      <c r="E1911" s="1">
        <v>8210</v>
      </c>
      <c r="F1911" s="1">
        <v>100</v>
      </c>
      <c r="G1911" s="232" t="s">
        <v>3101</v>
      </c>
      <c r="H1911" s="234">
        <v>4.32</v>
      </c>
      <c r="I1911" s="235">
        <f t="shared" si="224"/>
        <v>432</v>
      </c>
      <c r="K1911" s="250">
        <f>3.78*100</f>
        <v>378</v>
      </c>
      <c r="L1911" s="237">
        <v>41388</v>
      </c>
      <c r="M1911" s="1" t="s">
        <v>166</v>
      </c>
      <c r="N1911" s="1">
        <f t="shared" si="227"/>
        <v>432</v>
      </c>
      <c r="O1911" s="235">
        <f t="shared" si="225"/>
        <v>0</v>
      </c>
      <c r="P1911" s="238" t="s">
        <v>6465</v>
      </c>
      <c r="Q1911" s="1" t="s">
        <v>6650</v>
      </c>
      <c r="R1911" s="239" t="s">
        <v>6467</v>
      </c>
      <c r="S1911" s="238" t="s">
        <v>6466</v>
      </c>
      <c r="T1911" s="238" t="s">
        <v>6432</v>
      </c>
      <c r="AB1911" s="379" t="s">
        <v>377</v>
      </c>
    </row>
    <row r="1912" spans="1:28">
      <c r="A1912" s="233">
        <v>41397</v>
      </c>
      <c r="B1912" s="381" t="s">
        <v>2734</v>
      </c>
      <c r="C1912" s="383" t="s">
        <v>162</v>
      </c>
      <c r="D1912" s="1" t="s">
        <v>232</v>
      </c>
      <c r="E1912" s="1" t="s">
        <v>194</v>
      </c>
      <c r="F1912" s="1">
        <v>1600</v>
      </c>
      <c r="G1912" s="232" t="s">
        <v>6422</v>
      </c>
      <c r="H1912" s="234">
        <v>5</v>
      </c>
      <c r="I1912" s="235">
        <f t="shared" ref="I1912" si="228">F1912*H1912</f>
        <v>8000</v>
      </c>
      <c r="K1912" s="250">
        <f>4.75*1600</f>
        <v>7600</v>
      </c>
      <c r="L1912" s="237">
        <v>41388</v>
      </c>
      <c r="M1912" s="1" t="s">
        <v>165</v>
      </c>
      <c r="N1912" s="235">
        <f t="shared" ref="N1912:N1914" si="229">I1912</f>
        <v>8000</v>
      </c>
      <c r="O1912" s="235">
        <f t="shared" ref="O1912" si="230">I1912-N1912</f>
        <v>0</v>
      </c>
      <c r="P1912" s="238" t="s">
        <v>6423</v>
      </c>
      <c r="Q1912" s="1" t="s">
        <v>6675</v>
      </c>
      <c r="R1912" s="29" t="s">
        <v>2736</v>
      </c>
      <c r="S1912" s="10">
        <v>13888391766</v>
      </c>
      <c r="T1912" s="28" t="s">
        <v>3095</v>
      </c>
      <c r="U1912" s="238" t="s">
        <v>6676</v>
      </c>
      <c r="AB1912" s="381" t="s">
        <v>377</v>
      </c>
    </row>
    <row r="1913" spans="1:28">
      <c r="A1913" s="233">
        <v>41397</v>
      </c>
      <c r="B1913" s="1" t="s">
        <v>5254</v>
      </c>
      <c r="C1913" s="1" t="s">
        <v>162</v>
      </c>
      <c r="D1913" s="5" t="s">
        <v>1717</v>
      </c>
      <c r="E1913" s="1">
        <v>10435</v>
      </c>
      <c r="F1913" s="1">
        <v>9</v>
      </c>
      <c r="G1913" s="1" t="s">
        <v>172</v>
      </c>
      <c r="H1913" s="234">
        <v>15.8</v>
      </c>
      <c r="I1913" s="235">
        <f t="shared" ref="I1913" si="231">F1913*H1913</f>
        <v>142.20000000000002</v>
      </c>
      <c r="K1913" s="250">
        <f>14.2*9</f>
        <v>127.8</v>
      </c>
      <c r="L1913" s="237">
        <v>41403</v>
      </c>
      <c r="M1913" s="1" t="s">
        <v>166</v>
      </c>
      <c r="N1913" s="235">
        <f t="shared" si="229"/>
        <v>142.20000000000002</v>
      </c>
      <c r="O1913" s="235">
        <f t="shared" ref="O1913" si="232">I1913-N1913</f>
        <v>0</v>
      </c>
      <c r="P1913" s="238" t="s">
        <v>6643</v>
      </c>
      <c r="Q1913" s="1" t="s">
        <v>6679</v>
      </c>
      <c r="R1913" s="239" t="s">
        <v>6095</v>
      </c>
      <c r="S1913" s="238" t="s">
        <v>6096</v>
      </c>
      <c r="T1913" s="238" t="s">
        <v>5255</v>
      </c>
      <c r="U1913" s="238" t="s">
        <v>6680</v>
      </c>
      <c r="AB1913" s="1" t="s">
        <v>1561</v>
      </c>
    </row>
    <row r="1914" spans="1:28">
      <c r="A1914" s="233">
        <v>41397</v>
      </c>
      <c r="B1914" s="1" t="s">
        <v>5254</v>
      </c>
      <c r="C1914" s="1" t="s">
        <v>7</v>
      </c>
      <c r="D1914" s="390" t="s">
        <v>4977</v>
      </c>
      <c r="E1914" s="1" t="s">
        <v>4974</v>
      </c>
      <c r="F1914" s="1">
        <v>1000</v>
      </c>
      <c r="G1914" s="1" t="s">
        <v>172</v>
      </c>
      <c r="H1914" s="234">
        <v>1.42</v>
      </c>
      <c r="I1914" s="235">
        <f t="shared" ref="I1914" si="233">F1914*H1914</f>
        <v>1420</v>
      </c>
      <c r="K1914" s="250">
        <f>1.32*1000</f>
        <v>1320</v>
      </c>
      <c r="L1914" s="237">
        <v>41403</v>
      </c>
      <c r="M1914" s="1" t="s">
        <v>166</v>
      </c>
      <c r="N1914" s="235">
        <f t="shared" si="229"/>
        <v>1420</v>
      </c>
      <c r="O1914" s="235">
        <f t="shared" ref="O1914" si="234">I1914-N1914</f>
        <v>0</v>
      </c>
      <c r="P1914" s="238" t="s">
        <v>6643</v>
      </c>
      <c r="Q1914" s="1" t="s">
        <v>6679</v>
      </c>
      <c r="R1914" s="239" t="s">
        <v>6095</v>
      </c>
      <c r="S1914" s="238" t="s">
        <v>6096</v>
      </c>
      <c r="T1914" s="238" t="s">
        <v>5255</v>
      </c>
      <c r="U1914" s="238" t="s">
        <v>6680</v>
      </c>
      <c r="AB1914" s="1" t="s">
        <v>1561</v>
      </c>
    </row>
    <row r="1915" spans="1:28">
      <c r="A1915" s="233">
        <v>41397</v>
      </c>
      <c r="B1915" s="1" t="s">
        <v>6665</v>
      </c>
      <c r="C1915" s="391" t="s">
        <v>6366</v>
      </c>
      <c r="D1915" s="391" t="s">
        <v>6651</v>
      </c>
      <c r="E1915" s="391" t="s">
        <v>6368</v>
      </c>
      <c r="F1915" s="1">
        <v>1</v>
      </c>
      <c r="G1915" s="1" t="s">
        <v>1669</v>
      </c>
      <c r="H1915" s="234">
        <v>36</v>
      </c>
      <c r="I1915" s="235">
        <f t="shared" ref="I1915:I1926" si="235">F1915*H1915</f>
        <v>36</v>
      </c>
      <c r="K1915" s="250">
        <f>35*1</f>
        <v>35</v>
      </c>
      <c r="N1915" s="235">
        <v>0</v>
      </c>
      <c r="O1915" s="235">
        <f>I1915-N1915</f>
        <v>36</v>
      </c>
      <c r="P1915" s="238" t="s">
        <v>6652</v>
      </c>
      <c r="Q1915" s="1" t="s">
        <v>5212</v>
      </c>
      <c r="R1915" s="239" t="s">
        <v>6653</v>
      </c>
      <c r="S1915" s="238" t="s">
        <v>6657</v>
      </c>
      <c r="T1915" s="238" t="s">
        <v>6655</v>
      </c>
      <c r="U1915" s="238" t="s">
        <v>6654</v>
      </c>
      <c r="AB1915" s="5" t="s">
        <v>1561</v>
      </c>
    </row>
    <row r="1916" spans="1:28">
      <c r="A1916" s="233">
        <v>41397</v>
      </c>
      <c r="B1916" s="1" t="s">
        <v>2169</v>
      </c>
      <c r="C1916" s="1" t="s">
        <v>162</v>
      </c>
      <c r="D1916" s="1" t="s">
        <v>6473</v>
      </c>
      <c r="E1916" s="1" t="s">
        <v>6468</v>
      </c>
      <c r="F1916" s="1">
        <v>20</v>
      </c>
      <c r="G1916" s="1" t="s">
        <v>6470</v>
      </c>
      <c r="H1916" s="234">
        <v>8.86</v>
      </c>
      <c r="I1916" s="235">
        <f t="shared" si="235"/>
        <v>177.2</v>
      </c>
      <c r="K1916" s="250">
        <f>6.82*20</f>
        <v>136.4</v>
      </c>
      <c r="N1916" s="235">
        <v>0</v>
      </c>
      <c r="O1916" s="236">
        <f t="shared" ref="O1916:O1917" si="236">I1916-N1916</f>
        <v>177.2</v>
      </c>
      <c r="P1916" s="238" t="s">
        <v>6643</v>
      </c>
      <c r="Q1916" s="1" t="s">
        <v>5212</v>
      </c>
      <c r="R1916" s="239" t="s">
        <v>2379</v>
      </c>
      <c r="S1916" s="238" t="s">
        <v>2380</v>
      </c>
      <c r="T1916" s="238" t="s">
        <v>6837</v>
      </c>
      <c r="U1916" s="238" t="s">
        <v>6656</v>
      </c>
      <c r="V1916" s="238" t="s">
        <v>6472</v>
      </c>
      <c r="AB1916" s="1" t="s">
        <v>1561</v>
      </c>
    </row>
    <row r="1917" spans="1:28">
      <c r="A1917" s="233">
        <v>41397</v>
      </c>
      <c r="B1917" s="1" t="s">
        <v>2169</v>
      </c>
      <c r="C1917" s="1" t="s">
        <v>162</v>
      </c>
      <c r="D1917" s="5" t="s">
        <v>1866</v>
      </c>
      <c r="E1917" s="1" t="s">
        <v>6469</v>
      </c>
      <c r="F1917" s="1">
        <v>200</v>
      </c>
      <c r="G1917" s="1" t="s">
        <v>6471</v>
      </c>
      <c r="H1917" s="234">
        <v>1.57</v>
      </c>
      <c r="I1917" s="235">
        <f t="shared" si="235"/>
        <v>314</v>
      </c>
      <c r="K1917" s="250">
        <f>1.53*200</f>
        <v>306</v>
      </c>
      <c r="N1917" s="235">
        <v>0</v>
      </c>
      <c r="O1917" s="236">
        <f t="shared" si="236"/>
        <v>314</v>
      </c>
      <c r="P1917" s="238" t="s">
        <v>6643</v>
      </c>
      <c r="Q1917" s="1" t="s">
        <v>5212</v>
      </c>
      <c r="R1917" s="239" t="s">
        <v>2379</v>
      </c>
      <c r="S1917" s="238" t="s">
        <v>2380</v>
      </c>
      <c r="T1917" s="238" t="s">
        <v>6837</v>
      </c>
      <c r="U1917" s="238" t="s">
        <v>6656</v>
      </c>
      <c r="AB1917" s="1" t="s">
        <v>1561</v>
      </c>
    </row>
    <row r="1918" spans="1:28">
      <c r="A1918" s="233">
        <v>41400</v>
      </c>
      <c r="B1918" s="1" t="s">
        <v>2174</v>
      </c>
      <c r="C1918" s="1" t="s">
        <v>162</v>
      </c>
      <c r="D1918" s="1" t="s">
        <v>287</v>
      </c>
      <c r="E1918" s="1">
        <v>10434</v>
      </c>
      <c r="F1918" s="1">
        <v>15</v>
      </c>
      <c r="G1918" s="1" t="s">
        <v>172</v>
      </c>
      <c r="H1918" s="234">
        <v>15.6</v>
      </c>
      <c r="I1918" s="235">
        <f t="shared" si="235"/>
        <v>234</v>
      </c>
      <c r="K1918" s="250">
        <f>14.2*15</f>
        <v>213</v>
      </c>
      <c r="L1918" s="237">
        <v>41411</v>
      </c>
      <c r="M1918" s="1" t="s">
        <v>698</v>
      </c>
      <c r="N1918" s="235">
        <f t="shared" ref="N1918:N1921" si="237">I1918</f>
        <v>234</v>
      </c>
      <c r="O1918" s="236">
        <f t="shared" ref="O1918:O1926" si="238">I1918-N1918</f>
        <v>0</v>
      </c>
      <c r="P1918" s="238" t="s">
        <v>6670</v>
      </c>
      <c r="Q1918" s="1" t="s">
        <v>2505</v>
      </c>
      <c r="R1918" s="239" t="s">
        <v>2176</v>
      </c>
      <c r="S1918" s="238" t="s">
        <v>2177</v>
      </c>
      <c r="T1918" s="238" t="s">
        <v>3533</v>
      </c>
      <c r="U1918" s="238" t="s">
        <v>167</v>
      </c>
      <c r="AB1918" s="5" t="s">
        <v>1561</v>
      </c>
    </row>
    <row r="1919" spans="1:28">
      <c r="A1919" s="233">
        <v>41400</v>
      </c>
      <c r="B1919" s="1" t="s">
        <v>2174</v>
      </c>
      <c r="C1919" s="1" t="s">
        <v>162</v>
      </c>
      <c r="D1919" s="1" t="s">
        <v>305</v>
      </c>
      <c r="E1919" s="1">
        <v>1270</v>
      </c>
      <c r="F1919" s="1">
        <v>20</v>
      </c>
      <c r="G1919" s="1" t="s">
        <v>172</v>
      </c>
      <c r="H1919" s="234">
        <v>4.5</v>
      </c>
      <c r="I1919" s="235">
        <f t="shared" si="235"/>
        <v>90</v>
      </c>
      <c r="K1919" s="250">
        <f>4.28*20</f>
        <v>85.600000000000009</v>
      </c>
      <c r="L1919" s="237">
        <v>41411</v>
      </c>
      <c r="M1919" s="1" t="s">
        <v>698</v>
      </c>
      <c r="N1919" s="235">
        <f t="shared" si="237"/>
        <v>90</v>
      </c>
      <c r="O1919" s="236">
        <f t="shared" si="238"/>
        <v>0</v>
      </c>
      <c r="P1919" s="238" t="s">
        <v>6670</v>
      </c>
      <c r="Q1919" s="1" t="s">
        <v>2505</v>
      </c>
      <c r="R1919" s="239" t="s">
        <v>2176</v>
      </c>
      <c r="S1919" s="238" t="s">
        <v>2177</v>
      </c>
      <c r="T1919" s="238" t="s">
        <v>3533</v>
      </c>
      <c r="U1919" s="238" t="s">
        <v>167</v>
      </c>
      <c r="AB1919" s="5" t="s">
        <v>1561</v>
      </c>
    </row>
    <row r="1920" spans="1:28">
      <c r="A1920" s="233">
        <v>41400</v>
      </c>
      <c r="B1920" s="1" t="s">
        <v>2174</v>
      </c>
      <c r="C1920" s="1" t="s">
        <v>162</v>
      </c>
      <c r="D1920" s="1" t="s">
        <v>290</v>
      </c>
      <c r="E1920" s="1">
        <v>1436</v>
      </c>
      <c r="F1920" s="1">
        <v>2</v>
      </c>
      <c r="G1920" s="1" t="s">
        <v>172</v>
      </c>
      <c r="H1920" s="234">
        <v>33</v>
      </c>
      <c r="I1920" s="235">
        <f t="shared" si="235"/>
        <v>66</v>
      </c>
      <c r="K1920" s="250">
        <f>29.66*2</f>
        <v>59.32</v>
      </c>
      <c r="L1920" s="237">
        <v>41411</v>
      </c>
      <c r="M1920" s="1" t="s">
        <v>698</v>
      </c>
      <c r="N1920" s="235">
        <f t="shared" si="237"/>
        <v>66</v>
      </c>
      <c r="O1920" s="236">
        <f t="shared" si="238"/>
        <v>0</v>
      </c>
      <c r="P1920" s="238" t="s">
        <v>6670</v>
      </c>
      <c r="Q1920" s="1" t="s">
        <v>2505</v>
      </c>
      <c r="R1920" s="239" t="s">
        <v>2176</v>
      </c>
      <c r="S1920" s="238" t="s">
        <v>2177</v>
      </c>
      <c r="T1920" s="238" t="s">
        <v>3533</v>
      </c>
      <c r="U1920" s="238" t="s">
        <v>167</v>
      </c>
      <c r="AB1920" s="5" t="s">
        <v>1561</v>
      </c>
    </row>
    <row r="1921" spans="1:28">
      <c r="A1921" s="233">
        <v>41400</v>
      </c>
      <c r="B1921" s="1" t="s">
        <v>2174</v>
      </c>
      <c r="C1921" s="1" t="s">
        <v>162</v>
      </c>
      <c r="D1921" s="5" t="s">
        <v>1960</v>
      </c>
      <c r="E1921" s="1">
        <v>1426</v>
      </c>
      <c r="F1921" s="1">
        <v>2</v>
      </c>
      <c r="G1921" s="1" t="s">
        <v>172</v>
      </c>
      <c r="H1921" s="234">
        <v>22.4</v>
      </c>
      <c r="I1921" s="235">
        <f t="shared" si="235"/>
        <v>44.8</v>
      </c>
      <c r="K1921" s="250">
        <f>19.422*2</f>
        <v>38.844000000000001</v>
      </c>
      <c r="L1921" s="237">
        <v>41411</v>
      </c>
      <c r="M1921" s="1" t="s">
        <v>698</v>
      </c>
      <c r="N1921" s="235">
        <f t="shared" si="237"/>
        <v>44.8</v>
      </c>
      <c r="O1921" s="236">
        <f t="shared" si="238"/>
        <v>0</v>
      </c>
      <c r="P1921" s="238" t="s">
        <v>6670</v>
      </c>
      <c r="Q1921" s="1" t="s">
        <v>2505</v>
      </c>
      <c r="R1921" s="239" t="s">
        <v>2176</v>
      </c>
      <c r="S1921" s="238" t="s">
        <v>2177</v>
      </c>
      <c r="T1921" s="238" t="s">
        <v>3533</v>
      </c>
      <c r="U1921" s="238" t="s">
        <v>167</v>
      </c>
      <c r="AB1921" s="5" t="s">
        <v>1561</v>
      </c>
    </row>
    <row r="1922" spans="1:28">
      <c r="A1922" s="233">
        <v>41400</v>
      </c>
      <c r="B1922" s="1" t="s">
        <v>4111</v>
      </c>
      <c r="C1922" s="1" t="s">
        <v>162</v>
      </c>
      <c r="D1922" s="392" t="s">
        <v>5047</v>
      </c>
      <c r="E1922" s="1">
        <v>8210</v>
      </c>
      <c r="F1922" s="1">
        <v>100</v>
      </c>
      <c r="G1922" s="1" t="s">
        <v>170</v>
      </c>
      <c r="H1922" s="234">
        <v>4.32</v>
      </c>
      <c r="I1922" s="235">
        <f t="shared" si="235"/>
        <v>432</v>
      </c>
      <c r="K1922" s="250">
        <f>3.78*100</f>
        <v>378</v>
      </c>
      <c r="N1922" s="235">
        <v>0</v>
      </c>
      <c r="O1922" s="236">
        <f t="shared" si="238"/>
        <v>432</v>
      </c>
      <c r="P1922" s="238" t="s">
        <v>6673</v>
      </c>
      <c r="Q1922" s="1" t="s">
        <v>1562</v>
      </c>
      <c r="R1922" s="239" t="s">
        <v>4113</v>
      </c>
      <c r="S1922" s="238" t="s">
        <v>4114</v>
      </c>
      <c r="T1922" s="238" t="s">
        <v>4115</v>
      </c>
      <c r="AB1922" s="1" t="s">
        <v>1561</v>
      </c>
    </row>
    <row r="1923" spans="1:28">
      <c r="A1923" s="233">
        <v>41400</v>
      </c>
      <c r="B1923" s="1" t="s">
        <v>1563</v>
      </c>
      <c r="C1923" s="1" t="s">
        <v>162</v>
      </c>
      <c r="D1923" s="5" t="s">
        <v>182</v>
      </c>
      <c r="E1923" s="1" t="s">
        <v>4120</v>
      </c>
      <c r="F1923" s="1">
        <v>200</v>
      </c>
      <c r="G1923" s="1" t="s">
        <v>2490</v>
      </c>
      <c r="H1923" s="234">
        <v>2.8</v>
      </c>
      <c r="I1923" s="235">
        <f t="shared" si="235"/>
        <v>560</v>
      </c>
      <c r="K1923" s="250">
        <f>1.24*200</f>
        <v>248</v>
      </c>
      <c r="N1923" s="235">
        <v>0</v>
      </c>
      <c r="O1923" s="235">
        <f t="shared" si="238"/>
        <v>560</v>
      </c>
      <c r="P1923" s="238" t="s">
        <v>6681</v>
      </c>
      <c r="Q1923" s="1" t="s">
        <v>1562</v>
      </c>
      <c r="R1923" s="239" t="s">
        <v>6017</v>
      </c>
      <c r="S1923" s="238" t="s">
        <v>6018</v>
      </c>
      <c r="T1923" s="238" t="s">
        <v>2256</v>
      </c>
      <c r="U1923" s="238" t="s">
        <v>167</v>
      </c>
      <c r="AB1923" s="5" t="s">
        <v>2064</v>
      </c>
    </row>
    <row r="1924" spans="1:28">
      <c r="A1924" s="233">
        <v>41400</v>
      </c>
      <c r="B1924" s="5" t="s">
        <v>2105</v>
      </c>
      <c r="C1924" s="1" t="s">
        <v>162</v>
      </c>
      <c r="D1924" s="1" t="s">
        <v>240</v>
      </c>
      <c r="E1924" s="1">
        <v>6200</v>
      </c>
      <c r="F1924" s="1">
        <v>5</v>
      </c>
      <c r="G1924" s="1" t="s">
        <v>6684</v>
      </c>
      <c r="H1924" s="234">
        <v>59.38</v>
      </c>
      <c r="I1924" s="235">
        <f t="shared" si="235"/>
        <v>296.90000000000003</v>
      </c>
      <c r="K1924" s="250">
        <f>43.7*2+44.5*3</f>
        <v>220.9</v>
      </c>
      <c r="L1924" s="237">
        <v>41419</v>
      </c>
      <c r="M1924" s="1" t="s">
        <v>165</v>
      </c>
      <c r="N1924" s="235">
        <f t="shared" ref="N1924:N1926" si="239">I1924</f>
        <v>296.90000000000003</v>
      </c>
      <c r="O1924" s="236">
        <f t="shared" si="238"/>
        <v>0</v>
      </c>
      <c r="P1924" s="238" t="s">
        <v>6687</v>
      </c>
      <c r="Q1924" s="1" t="s">
        <v>3647</v>
      </c>
      <c r="R1924" s="247" t="s">
        <v>2470</v>
      </c>
      <c r="S1924" s="246" t="s">
        <v>2103</v>
      </c>
      <c r="T1924" s="246" t="s">
        <v>3694</v>
      </c>
      <c r="U1924" s="238" t="s">
        <v>6700</v>
      </c>
      <c r="V1924" s="238" t="s">
        <v>175</v>
      </c>
      <c r="AB1924" s="1" t="s">
        <v>1561</v>
      </c>
    </row>
    <row r="1925" spans="1:28">
      <c r="A1925" s="233">
        <v>41400</v>
      </c>
      <c r="B1925" s="5" t="s">
        <v>2105</v>
      </c>
      <c r="C1925" s="1" t="s">
        <v>162</v>
      </c>
      <c r="D1925" s="1" t="s">
        <v>2010</v>
      </c>
      <c r="E1925" s="1">
        <v>10434</v>
      </c>
      <c r="F1925" s="1">
        <v>50</v>
      </c>
      <c r="G1925" s="1" t="s">
        <v>6682</v>
      </c>
      <c r="H1925" s="234">
        <v>16.559999999999999</v>
      </c>
      <c r="I1925" s="235">
        <f t="shared" si="235"/>
        <v>827.99999999999989</v>
      </c>
      <c r="K1925" s="250">
        <f>14.2</f>
        <v>14.2</v>
      </c>
      <c r="L1925" s="237">
        <v>41419</v>
      </c>
      <c r="M1925" s="1" t="s">
        <v>165</v>
      </c>
      <c r="N1925" s="235">
        <f t="shared" si="239"/>
        <v>827.99999999999989</v>
      </c>
      <c r="O1925" s="236">
        <f t="shared" si="238"/>
        <v>0</v>
      </c>
      <c r="P1925" s="238" t="s">
        <v>6687</v>
      </c>
      <c r="Q1925" s="1" t="s">
        <v>3647</v>
      </c>
      <c r="R1925" s="247" t="s">
        <v>2470</v>
      </c>
      <c r="S1925" s="246" t="s">
        <v>2103</v>
      </c>
      <c r="T1925" s="246" t="s">
        <v>3694</v>
      </c>
      <c r="U1925" s="238" t="s">
        <v>6700</v>
      </c>
      <c r="V1925" s="238" t="s">
        <v>175</v>
      </c>
      <c r="AB1925" s="1" t="s">
        <v>1561</v>
      </c>
    </row>
    <row r="1926" spans="1:28">
      <c r="A1926" s="233">
        <v>41400</v>
      </c>
      <c r="B1926" s="5" t="s">
        <v>2105</v>
      </c>
      <c r="C1926" s="1" t="s">
        <v>162</v>
      </c>
      <c r="D1926" s="392" t="s">
        <v>5277</v>
      </c>
      <c r="E1926" s="1" t="s">
        <v>6691</v>
      </c>
      <c r="F1926" s="1">
        <v>200</v>
      </c>
      <c r="G1926" s="1" t="s">
        <v>6685</v>
      </c>
      <c r="H1926" s="234">
        <v>1.92</v>
      </c>
      <c r="I1926" s="235">
        <f t="shared" si="235"/>
        <v>384</v>
      </c>
      <c r="K1926" s="250">
        <f>1.75*200</f>
        <v>350</v>
      </c>
      <c r="L1926" s="237">
        <v>41419</v>
      </c>
      <c r="M1926" s="1" t="s">
        <v>165</v>
      </c>
      <c r="N1926" s="235">
        <f t="shared" si="239"/>
        <v>384</v>
      </c>
      <c r="O1926" s="236">
        <f t="shared" si="238"/>
        <v>0</v>
      </c>
      <c r="P1926" s="238" t="s">
        <v>6687</v>
      </c>
      <c r="Q1926" s="1" t="s">
        <v>3647</v>
      </c>
      <c r="R1926" s="247" t="s">
        <v>2470</v>
      </c>
      <c r="S1926" s="246" t="s">
        <v>2103</v>
      </c>
      <c r="T1926" s="246" t="s">
        <v>3694</v>
      </c>
      <c r="U1926" s="238" t="s">
        <v>6700</v>
      </c>
      <c r="V1926" s="238" t="s">
        <v>175</v>
      </c>
      <c r="AB1926" s="1" t="s">
        <v>1561</v>
      </c>
    </row>
    <row r="1927" spans="1:28">
      <c r="A1927" s="233">
        <v>41400</v>
      </c>
      <c r="B1927" s="1" t="s">
        <v>4698</v>
      </c>
      <c r="C1927" s="1" t="s">
        <v>162</v>
      </c>
      <c r="D1927" s="1" t="s">
        <v>2023</v>
      </c>
      <c r="E1927" s="1" t="s">
        <v>1083</v>
      </c>
      <c r="F1927" s="1">
        <v>400</v>
      </c>
      <c r="G1927" s="1" t="s">
        <v>170</v>
      </c>
      <c r="H1927" s="234">
        <v>4.32</v>
      </c>
      <c r="I1927" s="235">
        <f t="shared" si="202"/>
        <v>1728</v>
      </c>
      <c r="K1927" s="250">
        <f>3.96*400</f>
        <v>1584</v>
      </c>
      <c r="L1927" s="237">
        <v>41386</v>
      </c>
      <c r="M1927" s="1" t="s">
        <v>165</v>
      </c>
      <c r="N1927" s="235">
        <f t="shared" si="222"/>
        <v>1728</v>
      </c>
      <c r="O1927" s="235">
        <f t="shared" si="205"/>
        <v>0</v>
      </c>
      <c r="P1927" s="238" t="s">
        <v>6692</v>
      </c>
      <c r="Q1927" s="1" t="s">
        <v>3647</v>
      </c>
      <c r="R1927" s="239" t="s">
        <v>4700</v>
      </c>
      <c r="S1927" s="238" t="s">
        <v>4701</v>
      </c>
      <c r="T1927" s="238" t="s">
        <v>4702</v>
      </c>
      <c r="U1927" s="238" t="s">
        <v>6701</v>
      </c>
      <c r="AB1927" s="1" t="s">
        <v>1561</v>
      </c>
    </row>
    <row r="1928" spans="1:28">
      <c r="A1928" s="233">
        <v>41400</v>
      </c>
      <c r="B1928" s="1" t="s">
        <v>4338</v>
      </c>
      <c r="C1928" s="1" t="s">
        <v>162</v>
      </c>
      <c r="D1928" s="384" t="s">
        <v>702</v>
      </c>
      <c r="E1928" s="1" t="s">
        <v>1324</v>
      </c>
      <c r="F1928" s="1">
        <v>868</v>
      </c>
      <c r="G1928" s="1" t="s">
        <v>744</v>
      </c>
      <c r="H1928" s="234">
        <v>2.7</v>
      </c>
      <c r="I1928" s="235">
        <f>F1928*H1928</f>
        <v>2343.6000000000004</v>
      </c>
      <c r="K1928" s="250">
        <f>2.3*868</f>
        <v>1996.3999999999999</v>
      </c>
      <c r="L1928" s="237">
        <v>41390</v>
      </c>
      <c r="M1928" s="1" t="s">
        <v>165</v>
      </c>
      <c r="N1928" s="235">
        <f>I1928</f>
        <v>2343.6000000000004</v>
      </c>
      <c r="O1928" s="235">
        <f>I1928-N1928</f>
        <v>0</v>
      </c>
      <c r="P1928" s="238" t="s">
        <v>4035</v>
      </c>
      <c r="Q1928" s="1" t="s">
        <v>6698</v>
      </c>
      <c r="R1928" s="239" t="s">
        <v>4341</v>
      </c>
      <c r="S1928" s="238" t="s">
        <v>4342</v>
      </c>
      <c r="T1928" s="238" t="s">
        <v>2237</v>
      </c>
      <c r="U1928" s="238" t="s">
        <v>6699</v>
      </c>
      <c r="V1928" s="238" t="s">
        <v>6900</v>
      </c>
      <c r="W1928" s="236">
        <v>8938.52</v>
      </c>
      <c r="X1928" s="233">
        <v>41410</v>
      </c>
      <c r="Y1928" s="238" t="s">
        <v>6893</v>
      </c>
      <c r="AB1928" s="1" t="s">
        <v>1561</v>
      </c>
    </row>
    <row r="1929" spans="1:28">
      <c r="A1929" s="233">
        <v>41400</v>
      </c>
      <c r="B1929" s="1" t="s">
        <v>4338</v>
      </c>
      <c r="C1929" s="1" t="s">
        <v>162</v>
      </c>
      <c r="D1929" s="5" t="s">
        <v>182</v>
      </c>
      <c r="E1929" s="1" t="s">
        <v>194</v>
      </c>
      <c r="F1929" s="1">
        <v>100</v>
      </c>
      <c r="G1929" s="1" t="s">
        <v>176</v>
      </c>
      <c r="H1929" s="234">
        <v>5.2</v>
      </c>
      <c r="I1929" s="235">
        <f t="shared" ref="I1929" si="240">F1929*H1929</f>
        <v>520</v>
      </c>
      <c r="K1929" s="250">
        <f>4.75*100</f>
        <v>475</v>
      </c>
      <c r="L1929" s="237">
        <v>41418</v>
      </c>
      <c r="M1929" s="1" t="s">
        <v>165</v>
      </c>
      <c r="N1929" s="235">
        <f>I1929</f>
        <v>520</v>
      </c>
      <c r="O1929" s="235">
        <f t="shared" ref="O1929" si="241">I1929-N1929</f>
        <v>0</v>
      </c>
      <c r="P1929" s="238" t="s">
        <v>6693</v>
      </c>
      <c r="Q1929" s="1" t="s">
        <v>6698</v>
      </c>
      <c r="R1929" s="239" t="s">
        <v>4341</v>
      </c>
      <c r="S1929" s="238" t="s">
        <v>4342</v>
      </c>
      <c r="T1929" s="238" t="s">
        <v>2237</v>
      </c>
      <c r="U1929" s="238" t="s">
        <v>6699</v>
      </c>
      <c r="V1929" s="238" t="s">
        <v>6900</v>
      </c>
      <c r="W1929" s="236">
        <v>8938.52</v>
      </c>
      <c r="X1929" s="233">
        <v>41410</v>
      </c>
      <c r="Y1929" s="238" t="s">
        <v>6893</v>
      </c>
      <c r="AB1929" s="1" t="s">
        <v>1561</v>
      </c>
    </row>
    <row r="1930" spans="1:28">
      <c r="A1930" s="233">
        <v>41400</v>
      </c>
      <c r="B1930" s="1" t="s">
        <v>2309</v>
      </c>
      <c r="C1930" s="1" t="s">
        <v>162</v>
      </c>
      <c r="D1930" s="5" t="s">
        <v>4833</v>
      </c>
      <c r="E1930" s="1" t="s">
        <v>1069</v>
      </c>
      <c r="F1930" s="1">
        <v>1000</v>
      </c>
      <c r="G1930" s="1" t="s">
        <v>171</v>
      </c>
      <c r="H1930" s="234">
        <v>1.72</v>
      </c>
      <c r="I1930" s="235">
        <f t="shared" ref="I1930:I1939" si="242">F1930*H1930</f>
        <v>1720</v>
      </c>
      <c r="J1930" s="409">
        <f>1.98*1000</f>
        <v>1980</v>
      </c>
      <c r="K1930" s="250">
        <f>1.54*1000</f>
        <v>1540</v>
      </c>
      <c r="L1930" s="237">
        <v>41400</v>
      </c>
      <c r="M1930" s="1" t="s">
        <v>166</v>
      </c>
      <c r="N1930" s="235">
        <f t="shared" ref="N1930:N1932" si="243">I1930</f>
        <v>1720</v>
      </c>
      <c r="O1930" s="236">
        <f t="shared" ref="O1930:O1943" si="244">I1930-N1930</f>
        <v>0</v>
      </c>
      <c r="P1930" s="238" t="s">
        <v>6625</v>
      </c>
      <c r="Q1930" s="1" t="s">
        <v>1562</v>
      </c>
      <c r="R1930" s="239" t="s">
        <v>3148</v>
      </c>
      <c r="S1930" s="238" t="s">
        <v>3149</v>
      </c>
      <c r="T1930" s="239" t="s">
        <v>167</v>
      </c>
      <c r="U1930" s="239" t="s">
        <v>167</v>
      </c>
      <c r="V1930" s="238" t="s">
        <v>6986</v>
      </c>
      <c r="W1930" s="236">
        <v>39344.81</v>
      </c>
      <c r="X1930" s="233">
        <v>41416</v>
      </c>
      <c r="Y1930" s="238" t="s">
        <v>1562</v>
      </c>
      <c r="AB1930" s="1" t="s">
        <v>1561</v>
      </c>
    </row>
    <row r="1931" spans="1:28">
      <c r="A1931" s="233">
        <v>41400</v>
      </c>
      <c r="B1931" s="1" t="s">
        <v>2309</v>
      </c>
      <c r="C1931" s="1" t="s">
        <v>162</v>
      </c>
      <c r="D1931" s="5" t="s">
        <v>2012</v>
      </c>
      <c r="E1931" s="1" t="s">
        <v>6624</v>
      </c>
      <c r="F1931" s="1">
        <v>1000</v>
      </c>
      <c r="G1931" s="1" t="s">
        <v>6626</v>
      </c>
      <c r="H1931" s="234">
        <v>1.6</v>
      </c>
      <c r="I1931" s="235">
        <f t="shared" si="242"/>
        <v>1600</v>
      </c>
      <c r="J1931" s="352">
        <f>1.65*1000</f>
        <v>1650</v>
      </c>
      <c r="K1931" s="250">
        <f>1.44*1000</f>
        <v>1440</v>
      </c>
      <c r="L1931" s="237">
        <v>41400</v>
      </c>
      <c r="M1931" s="1" t="s">
        <v>166</v>
      </c>
      <c r="N1931" s="235">
        <f t="shared" si="243"/>
        <v>1600</v>
      </c>
      <c r="O1931" s="236">
        <f t="shared" si="244"/>
        <v>0</v>
      </c>
      <c r="P1931" s="238" t="s">
        <v>6625</v>
      </c>
      <c r="Q1931" s="1" t="s">
        <v>1562</v>
      </c>
      <c r="R1931" s="239" t="s">
        <v>3148</v>
      </c>
      <c r="S1931" s="238" t="s">
        <v>3149</v>
      </c>
      <c r="T1931" s="239" t="s">
        <v>167</v>
      </c>
      <c r="U1931" s="239" t="s">
        <v>167</v>
      </c>
      <c r="V1931" s="238" t="s">
        <v>6986</v>
      </c>
      <c r="W1931" s="236">
        <v>39344.81</v>
      </c>
      <c r="X1931" s="233">
        <v>41416</v>
      </c>
      <c r="Y1931" s="238" t="s">
        <v>1562</v>
      </c>
      <c r="AB1931" s="1" t="s">
        <v>1561</v>
      </c>
    </row>
    <row r="1932" spans="1:28">
      <c r="A1932" s="233">
        <v>41400</v>
      </c>
      <c r="B1932" s="1" t="s">
        <v>2309</v>
      </c>
      <c r="C1932" s="1" t="s">
        <v>162</v>
      </c>
      <c r="D1932" s="1" t="s">
        <v>1186</v>
      </c>
      <c r="E1932" s="1">
        <v>8247</v>
      </c>
      <c r="F1932" s="1">
        <v>10</v>
      </c>
      <c r="G1932" s="1" t="s">
        <v>6626</v>
      </c>
      <c r="H1932" s="234">
        <v>14.1</v>
      </c>
      <c r="I1932" s="235">
        <f t="shared" si="242"/>
        <v>141</v>
      </c>
      <c r="J1932" s="352">
        <v>141</v>
      </c>
      <c r="K1932" s="250">
        <f>12.35*10</f>
        <v>123.5</v>
      </c>
      <c r="L1932" s="237">
        <v>41400</v>
      </c>
      <c r="M1932" s="1" t="s">
        <v>166</v>
      </c>
      <c r="N1932" s="235">
        <f t="shared" si="243"/>
        <v>141</v>
      </c>
      <c r="O1932" s="236">
        <f t="shared" si="244"/>
        <v>0</v>
      </c>
      <c r="P1932" s="238" t="s">
        <v>6625</v>
      </c>
      <c r="Q1932" s="1" t="s">
        <v>1562</v>
      </c>
      <c r="R1932" s="239" t="s">
        <v>3148</v>
      </c>
      <c r="S1932" s="238" t="s">
        <v>3149</v>
      </c>
      <c r="T1932" s="239" t="s">
        <v>167</v>
      </c>
      <c r="U1932" s="239" t="s">
        <v>167</v>
      </c>
      <c r="V1932" s="238" t="s">
        <v>6986</v>
      </c>
      <c r="W1932" s="236">
        <v>39344.81</v>
      </c>
      <c r="X1932" s="233">
        <v>41416</v>
      </c>
      <c r="Y1932" s="238" t="s">
        <v>1562</v>
      </c>
      <c r="AB1932" s="1" t="s">
        <v>1561</v>
      </c>
    </row>
    <row r="1933" spans="1:28">
      <c r="A1933" s="233">
        <v>41400</v>
      </c>
      <c r="B1933" s="1" t="s">
        <v>2111</v>
      </c>
      <c r="C1933" s="1" t="s">
        <v>162</v>
      </c>
      <c r="D1933" s="1" t="s">
        <v>1213</v>
      </c>
      <c r="E1933" s="1" t="s">
        <v>6591</v>
      </c>
      <c r="F1933" s="1">
        <v>10</v>
      </c>
      <c r="G1933" s="1" t="s">
        <v>6588</v>
      </c>
      <c r="H1933" s="234">
        <v>16.100000000000001</v>
      </c>
      <c r="I1933" s="235">
        <f t="shared" si="242"/>
        <v>161</v>
      </c>
      <c r="K1933" s="250">
        <f>12.3*10</f>
        <v>123</v>
      </c>
      <c r="L1933" s="237">
        <v>41392</v>
      </c>
      <c r="M1933" s="1" t="s">
        <v>165</v>
      </c>
      <c r="N1933" s="1">
        <f>I1933</f>
        <v>161</v>
      </c>
      <c r="O1933" s="236">
        <f t="shared" si="244"/>
        <v>0</v>
      </c>
      <c r="P1933" s="238" t="s">
        <v>6592</v>
      </c>
      <c r="Q1933" s="1" t="s">
        <v>3647</v>
      </c>
      <c r="R1933" s="239" t="s">
        <v>414</v>
      </c>
      <c r="S1933" s="238" t="s">
        <v>415</v>
      </c>
      <c r="T1933" s="238" t="s">
        <v>3788</v>
      </c>
      <c r="U1933" s="238" t="s">
        <v>6702</v>
      </c>
      <c r="AB1933" s="1" t="s">
        <v>1561</v>
      </c>
    </row>
    <row r="1934" spans="1:28">
      <c r="A1934" s="233">
        <v>41400</v>
      </c>
      <c r="B1934" s="228" t="s">
        <v>1488</v>
      </c>
      <c r="C1934" s="1" t="s">
        <v>162</v>
      </c>
      <c r="D1934" s="1" t="s">
        <v>1213</v>
      </c>
      <c r="E1934" s="1" t="s">
        <v>178</v>
      </c>
      <c r="F1934" s="1">
        <v>100</v>
      </c>
      <c r="G1934" s="1" t="s">
        <v>6682</v>
      </c>
      <c r="H1934" s="234">
        <v>13.4</v>
      </c>
      <c r="I1934" s="235">
        <f t="shared" si="242"/>
        <v>1340</v>
      </c>
      <c r="K1934" s="250">
        <f>12.4*100</f>
        <v>1240</v>
      </c>
      <c r="L1934" s="237">
        <v>41407</v>
      </c>
      <c r="M1934" s="1" t="s">
        <v>166</v>
      </c>
      <c r="N1934" s="236">
        <f>I1934</f>
        <v>1340</v>
      </c>
      <c r="O1934" s="236">
        <f t="shared" si="244"/>
        <v>0</v>
      </c>
      <c r="P1934" s="238" t="s">
        <v>6683</v>
      </c>
      <c r="Q1934" s="1" t="s">
        <v>6274</v>
      </c>
      <c r="R1934" s="239" t="s">
        <v>4326</v>
      </c>
      <c r="S1934" s="238" t="s">
        <v>4327</v>
      </c>
      <c r="T1934" s="238" t="s">
        <v>1471</v>
      </c>
      <c r="U1934" s="238" t="s">
        <v>6697</v>
      </c>
      <c r="V1934" s="238" t="s">
        <v>6999</v>
      </c>
      <c r="W1934" s="236">
        <v>21820.05</v>
      </c>
      <c r="X1934" s="233">
        <v>41417</v>
      </c>
      <c r="AB1934" s="1" t="s">
        <v>1561</v>
      </c>
    </row>
    <row r="1935" spans="1:28">
      <c r="A1935" s="233">
        <v>41401</v>
      </c>
      <c r="B1935" s="1" t="s">
        <v>6659</v>
      </c>
      <c r="C1935" s="1" t="s">
        <v>162</v>
      </c>
      <c r="D1935" s="1" t="s">
        <v>2010</v>
      </c>
      <c r="E1935" s="1">
        <v>10434</v>
      </c>
      <c r="F1935" s="1">
        <v>20</v>
      </c>
      <c r="G1935" s="1" t="s">
        <v>6641</v>
      </c>
      <c r="H1935" s="234">
        <v>18</v>
      </c>
      <c r="I1935" s="235">
        <f t="shared" si="242"/>
        <v>360</v>
      </c>
      <c r="K1935" s="250">
        <f>14.2*20</f>
        <v>284</v>
      </c>
      <c r="L1935" s="237">
        <v>41401</v>
      </c>
      <c r="M1935" s="1" t="s">
        <v>6718</v>
      </c>
      <c r="N1935" s="236">
        <f>I1935</f>
        <v>360</v>
      </c>
      <c r="O1935" s="235">
        <f t="shared" si="244"/>
        <v>0</v>
      </c>
      <c r="P1935" s="238" t="s">
        <v>6660</v>
      </c>
      <c r="Q1935" s="1" t="s">
        <v>5212</v>
      </c>
      <c r="R1935" s="239" t="s">
        <v>6661</v>
      </c>
      <c r="S1935" s="238" t="s">
        <v>6662</v>
      </c>
      <c r="T1935" s="238" t="s">
        <v>6663</v>
      </c>
      <c r="U1935" s="238" t="s">
        <v>6664</v>
      </c>
      <c r="AB1935" s="5" t="s">
        <v>1561</v>
      </c>
    </row>
    <row r="1936" spans="1:28">
      <c r="A1936" s="233">
        <v>41401</v>
      </c>
      <c r="B1936" s="1" t="s">
        <v>6659</v>
      </c>
      <c r="C1936" s="1" t="s">
        <v>162</v>
      </c>
      <c r="D1936" s="1" t="s">
        <v>2023</v>
      </c>
      <c r="E1936" s="1" t="s">
        <v>6631</v>
      </c>
      <c r="F1936" s="1">
        <v>50</v>
      </c>
      <c r="G1936" s="1" t="s">
        <v>6626</v>
      </c>
      <c r="H1936" s="234">
        <v>4.5</v>
      </c>
      <c r="I1936" s="235">
        <f t="shared" si="242"/>
        <v>225</v>
      </c>
      <c r="K1936" s="250">
        <f>3.96*50</f>
        <v>198</v>
      </c>
      <c r="L1936" s="237">
        <v>41401</v>
      </c>
      <c r="M1936" s="1" t="s">
        <v>6718</v>
      </c>
      <c r="N1936" s="236">
        <f>I1936</f>
        <v>225</v>
      </c>
      <c r="O1936" s="235">
        <f t="shared" si="244"/>
        <v>0</v>
      </c>
      <c r="P1936" s="238" t="s">
        <v>6660</v>
      </c>
      <c r="Q1936" s="1" t="s">
        <v>5212</v>
      </c>
      <c r="R1936" s="239" t="s">
        <v>6661</v>
      </c>
      <c r="S1936" s="238" t="s">
        <v>6662</v>
      </c>
      <c r="T1936" s="238" t="s">
        <v>6663</v>
      </c>
      <c r="U1936" s="238" t="s">
        <v>6664</v>
      </c>
      <c r="AB1936" s="5" t="s">
        <v>1561</v>
      </c>
    </row>
    <row r="1937" spans="1:28">
      <c r="A1937" s="233">
        <v>41401</v>
      </c>
      <c r="B1937" s="1" t="s">
        <v>6074</v>
      </c>
      <c r="C1937" s="1" t="s">
        <v>167</v>
      </c>
      <c r="D1937" s="393" t="s">
        <v>6703</v>
      </c>
      <c r="E1937" s="28" t="s">
        <v>167</v>
      </c>
      <c r="F1937" s="393">
        <v>100</v>
      </c>
      <c r="G1937" s="393" t="s">
        <v>827</v>
      </c>
      <c r="H1937" s="234">
        <v>4.5</v>
      </c>
      <c r="I1937" s="235">
        <f t="shared" si="242"/>
        <v>450</v>
      </c>
      <c r="K1937" s="250">
        <f>100*3</f>
        <v>300</v>
      </c>
      <c r="N1937" s="1">
        <v>0</v>
      </c>
      <c r="O1937" s="235">
        <f t="shared" si="244"/>
        <v>450</v>
      </c>
      <c r="P1937" s="238" t="s">
        <v>6704</v>
      </c>
      <c r="Q1937" s="1" t="s">
        <v>2505</v>
      </c>
      <c r="R1937" s="239" t="s">
        <v>5760</v>
      </c>
      <c r="S1937" s="238" t="s">
        <v>5759</v>
      </c>
      <c r="T1937" s="238" t="s">
        <v>6329</v>
      </c>
      <c r="U1937" s="238" t="s">
        <v>167</v>
      </c>
      <c r="V1937" s="238" t="s">
        <v>6890</v>
      </c>
      <c r="W1937" s="236">
        <v>17020</v>
      </c>
      <c r="X1937" s="233">
        <v>41410</v>
      </c>
      <c r="Y1937" s="238" t="s">
        <v>6891</v>
      </c>
      <c r="AB1937" s="1" t="s">
        <v>2064</v>
      </c>
    </row>
    <row r="1938" spans="1:28">
      <c r="A1938" s="233">
        <v>41401</v>
      </c>
      <c r="B1938" s="1" t="s">
        <v>6074</v>
      </c>
      <c r="C1938" s="1" t="s">
        <v>162</v>
      </c>
      <c r="D1938" s="1" t="s">
        <v>353</v>
      </c>
      <c r="E1938" s="1" t="s">
        <v>145</v>
      </c>
      <c r="F1938" s="1">
        <v>10</v>
      </c>
      <c r="G1938" s="1" t="s">
        <v>170</v>
      </c>
      <c r="H1938" s="234">
        <v>28</v>
      </c>
      <c r="I1938" s="235">
        <f t="shared" si="242"/>
        <v>280</v>
      </c>
      <c r="K1938" s="250">
        <f>17.25*10</f>
        <v>172.5</v>
      </c>
      <c r="N1938" s="1">
        <v>0</v>
      </c>
      <c r="O1938" s="235">
        <f t="shared" si="244"/>
        <v>280</v>
      </c>
      <c r="P1938" s="238" t="s">
        <v>6704</v>
      </c>
      <c r="Q1938" s="1" t="s">
        <v>2505</v>
      </c>
      <c r="R1938" s="239" t="s">
        <v>5760</v>
      </c>
      <c r="S1938" s="238" t="s">
        <v>5759</v>
      </c>
      <c r="T1938" s="238" t="s">
        <v>6329</v>
      </c>
      <c r="U1938" s="238" t="s">
        <v>167</v>
      </c>
      <c r="V1938" s="238" t="s">
        <v>6890</v>
      </c>
      <c r="W1938" s="236">
        <v>17020</v>
      </c>
      <c r="X1938" s="233">
        <v>41410</v>
      </c>
      <c r="Y1938" s="238" t="s">
        <v>6891</v>
      </c>
      <c r="AB1938" s="1" t="s">
        <v>2064</v>
      </c>
    </row>
    <row r="1939" spans="1:28">
      <c r="A1939" s="233">
        <v>41401</v>
      </c>
      <c r="B1939" s="1" t="s">
        <v>6074</v>
      </c>
      <c r="C1939" s="1" t="s">
        <v>162</v>
      </c>
      <c r="D1939" s="1" t="s">
        <v>5764</v>
      </c>
      <c r="E1939" s="1" t="s">
        <v>1560</v>
      </c>
      <c r="F1939" s="1">
        <v>6</v>
      </c>
      <c r="G1939" s="1" t="s">
        <v>192</v>
      </c>
      <c r="H1939" s="234">
        <v>40</v>
      </c>
      <c r="I1939" s="235">
        <f t="shared" si="242"/>
        <v>240</v>
      </c>
      <c r="K1939" s="250">
        <f>27.144*6</f>
        <v>162.86399999999998</v>
      </c>
      <c r="N1939" s="1">
        <v>0</v>
      </c>
      <c r="O1939" s="235">
        <f t="shared" si="244"/>
        <v>240</v>
      </c>
      <c r="P1939" s="238" t="s">
        <v>6704</v>
      </c>
      <c r="Q1939" s="1" t="s">
        <v>2505</v>
      </c>
      <c r="R1939" s="239" t="s">
        <v>5760</v>
      </c>
      <c r="S1939" s="238" t="s">
        <v>5759</v>
      </c>
      <c r="T1939" s="238" t="s">
        <v>6329</v>
      </c>
      <c r="U1939" s="238" t="s">
        <v>167</v>
      </c>
      <c r="V1939" s="238" t="s">
        <v>6890</v>
      </c>
      <c r="W1939" s="236">
        <v>17020</v>
      </c>
      <c r="X1939" s="233">
        <v>41410</v>
      </c>
      <c r="Y1939" s="238" t="s">
        <v>6891</v>
      </c>
      <c r="AB1939" s="1" t="s">
        <v>2064</v>
      </c>
    </row>
    <row r="1940" spans="1:28">
      <c r="A1940" s="233">
        <v>41401</v>
      </c>
      <c r="B1940" s="1" t="s">
        <v>5907</v>
      </c>
      <c r="C1940" s="1" t="s">
        <v>162</v>
      </c>
      <c r="D1940" s="1" t="s">
        <v>1210</v>
      </c>
      <c r="E1940" s="1">
        <v>3200</v>
      </c>
      <c r="F1940" s="1">
        <v>1</v>
      </c>
      <c r="G1940" s="1" t="s">
        <v>6708</v>
      </c>
      <c r="H1940" s="234">
        <v>30</v>
      </c>
      <c r="I1940" s="235">
        <v>31</v>
      </c>
      <c r="K1940" s="250">
        <f>23.94</f>
        <v>23.94</v>
      </c>
      <c r="N1940" s="235">
        <v>0</v>
      </c>
      <c r="O1940" s="235">
        <f t="shared" si="244"/>
        <v>31</v>
      </c>
      <c r="P1940" s="238" t="s">
        <v>6710</v>
      </c>
      <c r="Q1940" s="1" t="s">
        <v>1562</v>
      </c>
      <c r="R1940" s="239" t="s">
        <v>6341</v>
      </c>
      <c r="S1940" s="238" t="s">
        <v>6342</v>
      </c>
      <c r="T1940" s="238" t="s">
        <v>167</v>
      </c>
      <c r="AB1940" s="1" t="s">
        <v>1561</v>
      </c>
    </row>
    <row r="1941" spans="1:28">
      <c r="A1941" s="233">
        <v>41401</v>
      </c>
      <c r="B1941" s="1" t="s">
        <v>5907</v>
      </c>
      <c r="C1941" s="1" t="s">
        <v>162</v>
      </c>
      <c r="D1941" s="5" t="s">
        <v>1931</v>
      </c>
      <c r="E1941" s="1">
        <v>3700</v>
      </c>
      <c r="F1941" s="1">
        <v>1</v>
      </c>
      <c r="G1941" s="1" t="s">
        <v>6708</v>
      </c>
      <c r="H1941" s="234">
        <v>5</v>
      </c>
      <c r="I1941" s="235">
        <f>F1941*H1941</f>
        <v>5</v>
      </c>
      <c r="K1941" s="250">
        <f>3.65</f>
        <v>3.65</v>
      </c>
      <c r="N1941" s="235">
        <v>0</v>
      </c>
      <c r="O1941" s="235">
        <f t="shared" si="244"/>
        <v>5</v>
      </c>
      <c r="P1941" s="238" t="s">
        <v>6710</v>
      </c>
      <c r="Q1941" s="1" t="s">
        <v>1562</v>
      </c>
      <c r="R1941" s="239" t="s">
        <v>6341</v>
      </c>
      <c r="S1941" s="238" t="s">
        <v>6342</v>
      </c>
      <c r="T1941" s="238" t="s">
        <v>167</v>
      </c>
      <c r="AB1941" s="1" t="s">
        <v>1561</v>
      </c>
    </row>
    <row r="1942" spans="1:28">
      <c r="A1942" s="233">
        <v>41401</v>
      </c>
      <c r="B1942" s="1" t="s">
        <v>5907</v>
      </c>
      <c r="C1942" s="1" t="s">
        <v>162</v>
      </c>
      <c r="D1942" s="5" t="s">
        <v>232</v>
      </c>
      <c r="E1942" s="1" t="s">
        <v>2049</v>
      </c>
      <c r="F1942" s="1">
        <v>1</v>
      </c>
      <c r="G1942" s="1" t="s">
        <v>6709</v>
      </c>
      <c r="H1942" s="234">
        <v>2</v>
      </c>
      <c r="I1942" s="235">
        <f t="shared" ref="I1942:I1943" si="245">F1942*H1942</f>
        <v>2</v>
      </c>
      <c r="K1942" s="250">
        <f>1.24</f>
        <v>1.24</v>
      </c>
      <c r="N1942" s="235">
        <v>0</v>
      </c>
      <c r="O1942" s="235">
        <f t="shared" si="244"/>
        <v>2</v>
      </c>
      <c r="P1942" s="238" t="s">
        <v>6710</v>
      </c>
      <c r="Q1942" s="1" t="s">
        <v>1562</v>
      </c>
      <c r="R1942" s="239" t="s">
        <v>6341</v>
      </c>
      <c r="S1942" s="238" t="s">
        <v>6342</v>
      </c>
      <c r="T1942" s="238" t="s">
        <v>167</v>
      </c>
      <c r="AB1942" s="1" t="s">
        <v>1561</v>
      </c>
    </row>
    <row r="1943" spans="1:28">
      <c r="A1943" s="233">
        <v>41401</v>
      </c>
      <c r="B1943" s="1" t="s">
        <v>5907</v>
      </c>
      <c r="C1943" s="1" t="s">
        <v>162</v>
      </c>
      <c r="D1943" s="393" t="s">
        <v>5047</v>
      </c>
      <c r="E1943" s="1">
        <v>8210</v>
      </c>
      <c r="F1943" s="1">
        <v>1</v>
      </c>
      <c r="G1943" s="1" t="s">
        <v>6708</v>
      </c>
      <c r="H1943" s="234">
        <v>4.3499999999999996</v>
      </c>
      <c r="I1943" s="235">
        <f t="shared" si="245"/>
        <v>4.3499999999999996</v>
      </c>
      <c r="K1943" s="250">
        <f>3.78</f>
        <v>3.78</v>
      </c>
      <c r="N1943" s="235">
        <v>0</v>
      </c>
      <c r="O1943" s="235">
        <f t="shared" si="244"/>
        <v>4.3499999999999996</v>
      </c>
      <c r="P1943" s="238" t="s">
        <v>6710</v>
      </c>
      <c r="Q1943" s="1" t="s">
        <v>1562</v>
      </c>
      <c r="R1943" s="239" t="s">
        <v>6341</v>
      </c>
      <c r="S1943" s="238" t="s">
        <v>6342</v>
      </c>
      <c r="T1943" s="238" t="s">
        <v>167</v>
      </c>
      <c r="AB1943" s="1" t="s">
        <v>1561</v>
      </c>
    </row>
    <row r="1944" spans="1:28">
      <c r="A1944" s="233">
        <v>41401</v>
      </c>
      <c r="B1944" s="1" t="s">
        <v>1569</v>
      </c>
      <c r="C1944" s="1" t="s">
        <v>162</v>
      </c>
      <c r="D1944" s="5" t="s">
        <v>983</v>
      </c>
      <c r="E1944" s="1">
        <v>6800</v>
      </c>
      <c r="F1944" s="1">
        <v>10</v>
      </c>
      <c r="G1944" s="1" t="s">
        <v>6626</v>
      </c>
      <c r="H1944" s="234">
        <v>450</v>
      </c>
      <c r="I1944" s="235">
        <f t="shared" ref="I1944:I1953" si="246">F1944*H1944</f>
        <v>4500</v>
      </c>
      <c r="K1944" s="250">
        <f>420*10</f>
        <v>4200</v>
      </c>
      <c r="N1944" s="235">
        <v>0</v>
      </c>
      <c r="O1944" s="235">
        <f t="shared" ref="O1944:O1953" si="247">I1944-N1944</f>
        <v>4500</v>
      </c>
      <c r="P1944" s="238" t="s">
        <v>6726</v>
      </c>
      <c r="Q1944" s="1" t="s">
        <v>1571</v>
      </c>
      <c r="R1944" s="239" t="s">
        <v>1570</v>
      </c>
      <c r="S1944" s="238">
        <v>13368068212</v>
      </c>
      <c r="T1944" s="238" t="s">
        <v>167</v>
      </c>
      <c r="U1944" s="238" t="s">
        <v>167</v>
      </c>
      <c r="V1944" s="238" t="s">
        <v>7024</v>
      </c>
      <c r="W1944" s="236">
        <v>33867.5</v>
      </c>
      <c r="X1944" s="233">
        <v>41418</v>
      </c>
      <c r="Y1944" s="238" t="s">
        <v>7025</v>
      </c>
      <c r="AB1944" s="5" t="s">
        <v>1561</v>
      </c>
    </row>
    <row r="1945" spans="1:28">
      <c r="A1945" s="233">
        <v>41401</v>
      </c>
      <c r="B1945" s="1" t="s">
        <v>1569</v>
      </c>
      <c r="C1945" s="1" t="s">
        <v>162</v>
      </c>
      <c r="D1945" s="1" t="s">
        <v>1762</v>
      </c>
      <c r="E1945" s="1">
        <v>8514</v>
      </c>
      <c r="F1945" s="1">
        <v>100</v>
      </c>
      <c r="G1945" s="1" t="s">
        <v>6626</v>
      </c>
      <c r="H1945" s="234">
        <v>64.14</v>
      </c>
      <c r="I1945" s="235">
        <f t="shared" si="246"/>
        <v>6414</v>
      </c>
      <c r="K1945" s="250">
        <f>54.05*100</f>
        <v>5405</v>
      </c>
      <c r="N1945" s="235">
        <v>0</v>
      </c>
      <c r="O1945" s="235">
        <f t="shared" si="247"/>
        <v>6414</v>
      </c>
      <c r="P1945" s="238" t="s">
        <v>6726</v>
      </c>
      <c r="Q1945" s="1" t="s">
        <v>1571</v>
      </c>
      <c r="R1945" s="239" t="s">
        <v>1570</v>
      </c>
      <c r="S1945" s="238">
        <v>13368068212</v>
      </c>
      <c r="T1945" s="238" t="s">
        <v>167</v>
      </c>
      <c r="U1945" s="238" t="s">
        <v>167</v>
      </c>
      <c r="V1945" s="238" t="s">
        <v>7024</v>
      </c>
      <c r="W1945" s="236">
        <v>33867.5</v>
      </c>
      <c r="X1945" s="233">
        <v>41418</v>
      </c>
      <c r="Y1945" s="238" t="s">
        <v>7025</v>
      </c>
      <c r="AB1945" s="5" t="s">
        <v>1561</v>
      </c>
    </row>
    <row r="1946" spans="1:28">
      <c r="A1946" s="233">
        <v>41401</v>
      </c>
      <c r="B1946" s="1" t="s">
        <v>1569</v>
      </c>
      <c r="C1946" s="1" t="s">
        <v>162</v>
      </c>
      <c r="D1946" s="1" t="s">
        <v>1220</v>
      </c>
      <c r="E1946" s="1">
        <v>6005</v>
      </c>
      <c r="F1946" s="1">
        <v>20</v>
      </c>
      <c r="G1946" s="1" t="s">
        <v>6626</v>
      </c>
      <c r="H1946" s="234">
        <v>43.5</v>
      </c>
      <c r="I1946" s="235">
        <f t="shared" si="246"/>
        <v>870</v>
      </c>
      <c r="K1946" s="250">
        <f>42.8*20</f>
        <v>856</v>
      </c>
      <c r="N1946" s="235">
        <v>0</v>
      </c>
      <c r="O1946" s="235">
        <f t="shared" si="247"/>
        <v>870</v>
      </c>
      <c r="P1946" s="238" t="s">
        <v>6726</v>
      </c>
      <c r="Q1946" s="1" t="s">
        <v>1571</v>
      </c>
      <c r="R1946" s="239" t="s">
        <v>1570</v>
      </c>
      <c r="S1946" s="238">
        <v>13368068212</v>
      </c>
      <c r="T1946" s="238" t="s">
        <v>167</v>
      </c>
      <c r="U1946" s="238" t="s">
        <v>167</v>
      </c>
      <c r="V1946" s="238" t="s">
        <v>7024</v>
      </c>
      <c r="W1946" s="236">
        <v>33867.5</v>
      </c>
      <c r="X1946" s="233">
        <v>41418</v>
      </c>
      <c r="Y1946" s="238" t="s">
        <v>7025</v>
      </c>
      <c r="AB1946" s="5" t="s">
        <v>1561</v>
      </c>
    </row>
    <row r="1947" spans="1:28">
      <c r="A1947" s="233">
        <v>41401</v>
      </c>
      <c r="B1947" s="1" t="s">
        <v>1569</v>
      </c>
      <c r="C1947" s="1" t="s">
        <v>162</v>
      </c>
      <c r="D1947" s="5" t="s">
        <v>182</v>
      </c>
      <c r="E1947" s="1" t="s">
        <v>2107</v>
      </c>
      <c r="F1947" s="1">
        <v>20</v>
      </c>
      <c r="G1947" s="1" t="s">
        <v>6633</v>
      </c>
      <c r="H1947" s="234">
        <v>5.2</v>
      </c>
      <c r="I1947" s="235">
        <f t="shared" si="246"/>
        <v>104</v>
      </c>
      <c r="K1947" s="250">
        <f>4.75*20</f>
        <v>95</v>
      </c>
      <c r="N1947" s="235">
        <v>0</v>
      </c>
      <c r="O1947" s="235">
        <f t="shared" si="247"/>
        <v>104</v>
      </c>
      <c r="P1947" s="238" t="s">
        <v>6726</v>
      </c>
      <c r="Q1947" s="1" t="s">
        <v>1571</v>
      </c>
      <c r="R1947" s="239" t="s">
        <v>1570</v>
      </c>
      <c r="S1947" s="238">
        <v>13368068212</v>
      </c>
      <c r="T1947" s="238" t="s">
        <v>167</v>
      </c>
      <c r="U1947" s="238" t="s">
        <v>167</v>
      </c>
      <c r="V1947" s="238" t="s">
        <v>7024</v>
      </c>
      <c r="W1947" s="236">
        <v>33867.5</v>
      </c>
      <c r="X1947" s="233">
        <v>41418</v>
      </c>
      <c r="Y1947" s="238" t="s">
        <v>7025</v>
      </c>
      <c r="AB1947" s="5" t="s">
        <v>1561</v>
      </c>
    </row>
    <row r="1948" spans="1:28">
      <c r="A1948" s="233">
        <v>41401</v>
      </c>
      <c r="B1948" s="1" t="s">
        <v>1569</v>
      </c>
      <c r="C1948" s="1" t="s">
        <v>162</v>
      </c>
      <c r="D1948" s="391" t="s">
        <v>1869</v>
      </c>
      <c r="E1948" s="1">
        <v>501</v>
      </c>
      <c r="F1948" s="1">
        <v>20</v>
      </c>
      <c r="G1948" s="1" t="s">
        <v>6626</v>
      </c>
      <c r="H1948" s="234">
        <v>1.5</v>
      </c>
      <c r="I1948" s="235">
        <f t="shared" si="246"/>
        <v>30</v>
      </c>
      <c r="K1948" s="250">
        <f>1.39*20</f>
        <v>27.799999999999997</v>
      </c>
      <c r="N1948" s="235">
        <v>0</v>
      </c>
      <c r="O1948" s="235">
        <f t="shared" si="247"/>
        <v>30</v>
      </c>
      <c r="P1948" s="238" t="s">
        <v>6726</v>
      </c>
      <c r="Q1948" s="1" t="s">
        <v>1571</v>
      </c>
      <c r="R1948" s="239" t="s">
        <v>1570</v>
      </c>
      <c r="S1948" s="238">
        <v>13368068212</v>
      </c>
      <c r="T1948" s="238" t="s">
        <v>167</v>
      </c>
      <c r="U1948" s="238" t="s">
        <v>167</v>
      </c>
      <c r="V1948" s="238" t="s">
        <v>7024</v>
      </c>
      <c r="W1948" s="236">
        <v>33867.5</v>
      </c>
      <c r="X1948" s="233">
        <v>41418</v>
      </c>
      <c r="Y1948" s="238" t="s">
        <v>7025</v>
      </c>
      <c r="AB1948" s="5" t="s">
        <v>1561</v>
      </c>
    </row>
    <row r="1949" spans="1:28">
      <c r="A1949" s="233">
        <v>41401</v>
      </c>
      <c r="B1949" s="1" t="s">
        <v>1569</v>
      </c>
      <c r="C1949" s="1" t="s">
        <v>7</v>
      </c>
      <c r="D1949" s="5" t="s">
        <v>1663</v>
      </c>
      <c r="E1949" s="1" t="s">
        <v>6639</v>
      </c>
      <c r="F1949" s="1">
        <v>33</v>
      </c>
      <c r="G1949" s="1" t="s">
        <v>6640</v>
      </c>
      <c r="H1949" s="234">
        <v>72</v>
      </c>
      <c r="I1949" s="235">
        <f t="shared" si="246"/>
        <v>2376</v>
      </c>
      <c r="K1949" s="250">
        <f>68.8*33</f>
        <v>2270.4</v>
      </c>
      <c r="N1949" s="235">
        <v>0</v>
      </c>
      <c r="O1949" s="235">
        <f t="shared" si="247"/>
        <v>2376</v>
      </c>
      <c r="P1949" s="238" t="s">
        <v>6726</v>
      </c>
      <c r="Q1949" s="1" t="s">
        <v>1571</v>
      </c>
      <c r="R1949" s="239" t="s">
        <v>1570</v>
      </c>
      <c r="S1949" s="238">
        <v>13368068212</v>
      </c>
      <c r="T1949" s="238" t="s">
        <v>167</v>
      </c>
      <c r="U1949" s="238" t="s">
        <v>167</v>
      </c>
      <c r="V1949" s="238" t="s">
        <v>7024</v>
      </c>
      <c r="W1949" s="236">
        <v>33867.5</v>
      </c>
      <c r="X1949" s="233">
        <v>41418</v>
      </c>
      <c r="Y1949" s="238" t="s">
        <v>7025</v>
      </c>
      <c r="AB1949" s="5" t="s">
        <v>1561</v>
      </c>
    </row>
    <row r="1950" spans="1:28">
      <c r="A1950" s="233">
        <v>41401</v>
      </c>
      <c r="B1950" s="1" t="s">
        <v>1569</v>
      </c>
      <c r="C1950" s="1" t="s">
        <v>162</v>
      </c>
      <c r="D1950" s="1" t="s">
        <v>1867</v>
      </c>
      <c r="E1950" s="1">
        <v>6006</v>
      </c>
      <c r="F1950" s="1">
        <v>30</v>
      </c>
      <c r="G1950" s="1" t="s">
        <v>6626</v>
      </c>
      <c r="H1950" s="234">
        <v>50.5</v>
      </c>
      <c r="I1950" s="235">
        <f t="shared" si="246"/>
        <v>1515</v>
      </c>
      <c r="K1950" s="250">
        <f>47.5*30</f>
        <v>1425</v>
      </c>
      <c r="N1950" s="235">
        <v>0</v>
      </c>
      <c r="O1950" s="235">
        <f t="shared" si="247"/>
        <v>1515</v>
      </c>
      <c r="P1950" s="238" t="s">
        <v>6726</v>
      </c>
      <c r="Q1950" s="1" t="s">
        <v>1571</v>
      </c>
      <c r="R1950" s="239" t="s">
        <v>1570</v>
      </c>
      <c r="S1950" s="238">
        <v>13368068212</v>
      </c>
      <c r="T1950" s="238" t="s">
        <v>167</v>
      </c>
      <c r="U1950" s="238" t="s">
        <v>167</v>
      </c>
      <c r="V1950" s="238" t="s">
        <v>7024</v>
      </c>
      <c r="W1950" s="236">
        <v>33867.5</v>
      </c>
      <c r="X1950" s="233">
        <v>41418</v>
      </c>
      <c r="Y1950" s="238" t="s">
        <v>7025</v>
      </c>
      <c r="AB1950" s="5" t="s">
        <v>1561</v>
      </c>
    </row>
    <row r="1951" spans="1:28">
      <c r="A1951" s="233">
        <v>41401</v>
      </c>
      <c r="B1951" s="1" t="s">
        <v>1569</v>
      </c>
      <c r="C1951" s="1" t="s">
        <v>162</v>
      </c>
      <c r="D1951" s="1" t="s">
        <v>1213</v>
      </c>
      <c r="E1951" s="1" t="s">
        <v>178</v>
      </c>
      <c r="F1951" s="1">
        <v>40</v>
      </c>
      <c r="G1951" s="1" t="s">
        <v>6641</v>
      </c>
      <c r="H1951" s="234">
        <v>13.2</v>
      </c>
      <c r="I1951" s="235">
        <f t="shared" si="246"/>
        <v>528</v>
      </c>
      <c r="K1951" s="250">
        <f>12.4*40</f>
        <v>496</v>
      </c>
      <c r="N1951" s="235">
        <v>0</v>
      </c>
      <c r="O1951" s="235">
        <f t="shared" si="247"/>
        <v>528</v>
      </c>
      <c r="P1951" s="238" t="s">
        <v>6726</v>
      </c>
      <c r="Q1951" s="1" t="s">
        <v>1571</v>
      </c>
      <c r="R1951" s="239" t="s">
        <v>1570</v>
      </c>
      <c r="S1951" s="238">
        <v>13368068212</v>
      </c>
      <c r="T1951" s="238" t="s">
        <v>167</v>
      </c>
      <c r="U1951" s="238" t="s">
        <v>167</v>
      </c>
      <c r="V1951" s="238" t="s">
        <v>7024</v>
      </c>
      <c r="W1951" s="236">
        <v>33867.5</v>
      </c>
      <c r="X1951" s="233">
        <v>41418</v>
      </c>
      <c r="Y1951" s="238" t="s">
        <v>7025</v>
      </c>
      <c r="AB1951" s="5" t="s">
        <v>1561</v>
      </c>
    </row>
    <row r="1952" spans="1:28">
      <c r="A1952" s="233">
        <v>41401</v>
      </c>
      <c r="B1952" s="1" t="s">
        <v>1569</v>
      </c>
      <c r="C1952" s="1" t="s">
        <v>162</v>
      </c>
      <c r="D1952" s="1" t="s">
        <v>660</v>
      </c>
      <c r="E1952" s="1" t="s">
        <v>6053</v>
      </c>
      <c r="F1952" s="1">
        <v>10</v>
      </c>
      <c r="G1952" s="1" t="s">
        <v>6641</v>
      </c>
      <c r="H1952" s="234">
        <v>133.94</v>
      </c>
      <c r="I1952" s="235">
        <f t="shared" si="246"/>
        <v>1339.4</v>
      </c>
      <c r="K1952" s="250">
        <f>115*10</f>
        <v>1150</v>
      </c>
      <c r="N1952" s="235">
        <v>0</v>
      </c>
      <c r="O1952" s="235">
        <f t="shared" si="247"/>
        <v>1339.4</v>
      </c>
      <c r="P1952" s="238" t="s">
        <v>6726</v>
      </c>
      <c r="Q1952" s="1" t="s">
        <v>1571</v>
      </c>
      <c r="R1952" s="239" t="s">
        <v>1570</v>
      </c>
      <c r="S1952" s="238">
        <v>13368068212</v>
      </c>
      <c r="T1952" s="238" t="s">
        <v>167</v>
      </c>
      <c r="U1952" s="238" t="s">
        <v>167</v>
      </c>
      <c r="V1952" s="238" t="s">
        <v>7024</v>
      </c>
      <c r="W1952" s="236">
        <v>33867.5</v>
      </c>
      <c r="X1952" s="233">
        <v>41418</v>
      </c>
      <c r="Y1952" s="238" t="s">
        <v>7025</v>
      </c>
      <c r="AB1952" s="5" t="s">
        <v>1561</v>
      </c>
    </row>
    <row r="1953" spans="1:28">
      <c r="A1953" s="233">
        <v>41401</v>
      </c>
      <c r="B1953" s="1" t="s">
        <v>1569</v>
      </c>
      <c r="C1953" s="1" t="s">
        <v>162</v>
      </c>
      <c r="D1953" s="5" t="s">
        <v>1717</v>
      </c>
      <c r="E1953" s="1">
        <v>10435</v>
      </c>
      <c r="F1953" s="1">
        <v>20</v>
      </c>
      <c r="G1953" s="1" t="s">
        <v>6641</v>
      </c>
      <c r="H1953" s="234">
        <v>14.95</v>
      </c>
      <c r="I1953" s="235">
        <f t="shared" si="246"/>
        <v>299</v>
      </c>
      <c r="K1953" s="250">
        <f>14.2*20</f>
        <v>284</v>
      </c>
      <c r="N1953" s="235">
        <v>0</v>
      </c>
      <c r="O1953" s="235">
        <f t="shared" si="247"/>
        <v>299</v>
      </c>
      <c r="P1953" s="238" t="s">
        <v>6726</v>
      </c>
      <c r="Q1953" s="1" t="s">
        <v>1571</v>
      </c>
      <c r="R1953" s="239" t="s">
        <v>1570</v>
      </c>
      <c r="S1953" s="238">
        <v>13368068212</v>
      </c>
      <c r="T1953" s="238" t="s">
        <v>167</v>
      </c>
      <c r="U1953" s="238" t="s">
        <v>167</v>
      </c>
      <c r="V1953" s="238" t="s">
        <v>7024</v>
      </c>
      <c r="W1953" s="236">
        <v>33867.5</v>
      </c>
      <c r="X1953" s="233">
        <v>41418</v>
      </c>
      <c r="Y1953" s="238" t="s">
        <v>7025</v>
      </c>
      <c r="AB1953" s="5" t="s">
        <v>1561</v>
      </c>
    </row>
    <row r="1954" spans="1:28">
      <c r="A1954" s="233">
        <v>41401</v>
      </c>
      <c r="B1954" s="1" t="s">
        <v>1569</v>
      </c>
      <c r="C1954" s="1" t="s">
        <v>162</v>
      </c>
      <c r="D1954" s="1" t="s">
        <v>1219</v>
      </c>
      <c r="E1954" s="1" t="s">
        <v>6674</v>
      </c>
      <c r="F1954" s="1">
        <v>450</v>
      </c>
      <c r="G1954" s="1" t="s">
        <v>170</v>
      </c>
      <c r="H1954" s="234">
        <v>4.12</v>
      </c>
      <c r="I1954" s="235">
        <f t="shared" ref="I1954" si="248">F1954*H1954</f>
        <v>1854</v>
      </c>
      <c r="K1954" s="250">
        <f>3.96*450</f>
        <v>1782</v>
      </c>
      <c r="N1954" s="235">
        <v>0</v>
      </c>
      <c r="O1954" s="235">
        <f t="shared" ref="O1954" si="249">I1954-N1954</f>
        <v>1854</v>
      </c>
      <c r="P1954" s="238" t="s">
        <v>6726</v>
      </c>
      <c r="Q1954" s="1" t="s">
        <v>1571</v>
      </c>
      <c r="R1954" s="239" t="s">
        <v>1570</v>
      </c>
      <c r="S1954" s="238">
        <v>13368068212</v>
      </c>
      <c r="T1954" s="238" t="s">
        <v>167</v>
      </c>
      <c r="U1954" s="238" t="s">
        <v>167</v>
      </c>
      <c r="V1954" s="238" t="s">
        <v>7024</v>
      </c>
      <c r="W1954" s="236">
        <v>33867.5</v>
      </c>
      <c r="X1954" s="233">
        <v>41418</v>
      </c>
      <c r="Y1954" s="238" t="s">
        <v>7025</v>
      </c>
      <c r="AB1954" s="5" t="s">
        <v>1561</v>
      </c>
    </row>
    <row r="1955" spans="1:28">
      <c r="A1955" s="233">
        <v>41401</v>
      </c>
      <c r="B1955" s="1" t="s">
        <v>2108</v>
      </c>
      <c r="C1955" s="1" t="s">
        <v>162</v>
      </c>
      <c r="D1955" s="1" t="s">
        <v>1213</v>
      </c>
      <c r="E1955" s="1" t="s">
        <v>178</v>
      </c>
      <c r="F1955" s="1">
        <v>1</v>
      </c>
      <c r="G1955" s="1" t="s">
        <v>6712</v>
      </c>
      <c r="H1955" s="234">
        <v>17</v>
      </c>
      <c r="I1955" s="235">
        <f t="shared" ref="I1955:I1968" si="250">F1955*H1955</f>
        <v>17</v>
      </c>
      <c r="K1955" s="250">
        <f>12.3</f>
        <v>12.3</v>
      </c>
      <c r="L1955" s="237">
        <v>41401</v>
      </c>
      <c r="M1955" s="1" t="s">
        <v>6715</v>
      </c>
      <c r="N1955" s="235">
        <f>I1955</f>
        <v>17</v>
      </c>
      <c r="O1955" s="235">
        <f t="shared" ref="O1955:O1965" si="251">I1955-N1955</f>
        <v>0</v>
      </c>
      <c r="P1955" s="238" t="s">
        <v>6714</v>
      </c>
      <c r="Q1955" s="1" t="s">
        <v>1562</v>
      </c>
      <c r="R1955" s="239" t="s">
        <v>2540</v>
      </c>
      <c r="S1955" s="238" t="s">
        <v>2541</v>
      </c>
      <c r="T1955" s="238" t="s">
        <v>795</v>
      </c>
      <c r="AB1955" s="1" t="s">
        <v>1561</v>
      </c>
    </row>
    <row r="1956" spans="1:28">
      <c r="A1956" s="233">
        <v>41401</v>
      </c>
      <c r="B1956" s="1" t="s">
        <v>2108</v>
      </c>
      <c r="C1956" s="393" t="s">
        <v>6366</v>
      </c>
      <c r="D1956" s="393" t="s">
        <v>6716</v>
      </c>
      <c r="E1956" s="393" t="s">
        <v>6368</v>
      </c>
      <c r="F1956" s="1">
        <v>1</v>
      </c>
      <c r="G1956" s="1" t="s">
        <v>6713</v>
      </c>
      <c r="H1956" s="234">
        <v>35</v>
      </c>
      <c r="I1956" s="235">
        <f t="shared" si="250"/>
        <v>35</v>
      </c>
      <c r="K1956" s="250">
        <v>35</v>
      </c>
      <c r="L1956" s="237">
        <v>41401</v>
      </c>
      <c r="M1956" s="1" t="s">
        <v>6715</v>
      </c>
      <c r="N1956" s="235">
        <f>I1956</f>
        <v>35</v>
      </c>
      <c r="O1956" s="235">
        <f t="shared" si="251"/>
        <v>0</v>
      </c>
      <c r="P1956" s="238" t="s">
        <v>6714</v>
      </c>
      <c r="Q1956" s="1" t="s">
        <v>1562</v>
      </c>
      <c r="R1956" s="239" t="s">
        <v>2540</v>
      </c>
      <c r="S1956" s="238" t="s">
        <v>2541</v>
      </c>
      <c r="T1956" s="238" t="s">
        <v>795</v>
      </c>
      <c r="AB1956" s="1" t="s">
        <v>1561</v>
      </c>
    </row>
    <row r="1957" spans="1:28">
      <c r="A1957" s="233">
        <v>41402</v>
      </c>
      <c r="B1957" s="1" t="s">
        <v>4338</v>
      </c>
      <c r="C1957" s="1" t="s">
        <v>162</v>
      </c>
      <c r="D1957" s="5" t="s">
        <v>182</v>
      </c>
      <c r="E1957" s="1" t="s">
        <v>194</v>
      </c>
      <c r="F1957" s="1">
        <v>100</v>
      </c>
      <c r="G1957" s="1" t="s">
        <v>171</v>
      </c>
      <c r="H1957" s="234">
        <v>5.2</v>
      </c>
      <c r="I1957" s="235">
        <f t="shared" si="250"/>
        <v>520</v>
      </c>
      <c r="K1957" s="250">
        <f>4.75*100</f>
        <v>475</v>
      </c>
      <c r="L1957" s="237">
        <v>41418</v>
      </c>
      <c r="M1957" s="1" t="s">
        <v>165</v>
      </c>
      <c r="N1957" s="235">
        <f t="shared" ref="N1957:N1958" si="252">I1957</f>
        <v>520</v>
      </c>
      <c r="O1957" s="235">
        <f t="shared" si="251"/>
        <v>0</v>
      </c>
      <c r="P1957" s="238" t="s">
        <v>6728</v>
      </c>
      <c r="Q1957" s="1" t="s">
        <v>6743</v>
      </c>
      <c r="R1957" s="239" t="s">
        <v>4341</v>
      </c>
      <c r="S1957" s="238" t="s">
        <v>4342</v>
      </c>
      <c r="T1957" s="238" t="s">
        <v>2237</v>
      </c>
      <c r="U1957" s="238" t="s">
        <v>6744</v>
      </c>
      <c r="V1957" s="238" t="s">
        <v>6900</v>
      </c>
      <c r="W1957" s="236">
        <v>8938.52</v>
      </c>
      <c r="X1957" s="233">
        <v>41410</v>
      </c>
      <c r="Y1957" s="238" t="s">
        <v>6893</v>
      </c>
      <c r="AB1957" s="1" t="s">
        <v>1561</v>
      </c>
    </row>
    <row r="1958" spans="1:28">
      <c r="A1958" s="233">
        <v>41402</v>
      </c>
      <c r="B1958" s="1" t="s">
        <v>4338</v>
      </c>
      <c r="C1958" s="1" t="s">
        <v>162</v>
      </c>
      <c r="D1958" s="1" t="s">
        <v>240</v>
      </c>
      <c r="E1958" s="1">
        <v>6200</v>
      </c>
      <c r="F1958" s="1">
        <v>24</v>
      </c>
      <c r="G1958" s="1" t="s">
        <v>6727</v>
      </c>
      <c r="H1958" s="234">
        <v>47.5</v>
      </c>
      <c r="I1958" s="235">
        <f t="shared" si="250"/>
        <v>1140</v>
      </c>
      <c r="K1958" s="250">
        <f>44.5*24</f>
        <v>1068</v>
      </c>
      <c r="L1958" s="237">
        <v>41418</v>
      </c>
      <c r="M1958" s="1" t="s">
        <v>165</v>
      </c>
      <c r="N1958" s="235">
        <f t="shared" si="252"/>
        <v>1140</v>
      </c>
      <c r="O1958" s="235">
        <f t="shared" si="251"/>
        <v>0</v>
      </c>
      <c r="P1958" s="238" t="s">
        <v>6728</v>
      </c>
      <c r="Q1958" s="1" t="s">
        <v>6743</v>
      </c>
      <c r="R1958" s="239" t="s">
        <v>4341</v>
      </c>
      <c r="S1958" s="238" t="s">
        <v>4342</v>
      </c>
      <c r="T1958" s="238" t="s">
        <v>2237</v>
      </c>
      <c r="U1958" s="238" t="s">
        <v>6744</v>
      </c>
      <c r="V1958" s="238" t="s">
        <v>6900</v>
      </c>
      <c r="W1958" s="236">
        <v>8938.52</v>
      </c>
      <c r="X1958" s="233">
        <v>41410</v>
      </c>
      <c r="Y1958" s="238" t="s">
        <v>6893</v>
      </c>
      <c r="AB1958" s="1" t="s">
        <v>1561</v>
      </c>
    </row>
    <row r="1959" spans="1:28">
      <c r="A1959" s="233">
        <v>41402</v>
      </c>
      <c r="B1959" s="1" t="s">
        <v>2311</v>
      </c>
      <c r="C1959" s="1" t="s">
        <v>162</v>
      </c>
      <c r="D1959" s="5" t="s">
        <v>2012</v>
      </c>
      <c r="E1959" s="1" t="s">
        <v>6729</v>
      </c>
      <c r="F1959" s="1">
        <v>254</v>
      </c>
      <c r="G1959" s="1" t="s">
        <v>170</v>
      </c>
      <c r="H1959" s="234">
        <v>1.65</v>
      </c>
      <c r="I1959" s="235">
        <f t="shared" si="250"/>
        <v>419.09999999999997</v>
      </c>
      <c r="K1959" s="250">
        <f>1.44*254</f>
        <v>365.76</v>
      </c>
      <c r="L1959" s="237">
        <v>41403</v>
      </c>
      <c r="M1959" s="1" t="s">
        <v>166</v>
      </c>
      <c r="N1959" s="235">
        <f t="shared" ref="N1959" si="253">I1959</f>
        <v>419.09999999999997</v>
      </c>
      <c r="O1959" s="235">
        <f t="shared" si="251"/>
        <v>0</v>
      </c>
      <c r="P1959" s="238" t="s">
        <v>6730</v>
      </c>
      <c r="Q1959" s="5" t="s">
        <v>1562</v>
      </c>
      <c r="R1959" s="239" t="s">
        <v>167</v>
      </c>
      <c r="S1959" s="238" t="s">
        <v>167</v>
      </c>
      <c r="T1959" s="238" t="s">
        <v>167</v>
      </c>
      <c r="U1959" s="238" t="s">
        <v>167</v>
      </c>
      <c r="AB1959" s="5" t="s">
        <v>1561</v>
      </c>
    </row>
    <row r="1960" spans="1:28">
      <c r="A1960" s="233">
        <v>41402</v>
      </c>
      <c r="B1960" s="1" t="s">
        <v>2311</v>
      </c>
      <c r="C1960" s="1" t="s">
        <v>162</v>
      </c>
      <c r="D1960" s="5" t="s">
        <v>182</v>
      </c>
      <c r="E1960" s="1" t="s">
        <v>186</v>
      </c>
      <c r="F1960" s="1">
        <v>115</v>
      </c>
      <c r="G1960" s="1" t="s">
        <v>171</v>
      </c>
      <c r="H1960" s="234">
        <v>1.73</v>
      </c>
      <c r="I1960" s="235">
        <f t="shared" si="250"/>
        <v>198.95</v>
      </c>
      <c r="K1960" s="250">
        <f>1.54*115</f>
        <v>177.1</v>
      </c>
      <c r="M1960" s="1" t="s">
        <v>166</v>
      </c>
      <c r="N1960" s="235">
        <v>198.82</v>
      </c>
      <c r="O1960" s="235">
        <f t="shared" si="251"/>
        <v>0.12999999999999545</v>
      </c>
      <c r="P1960" s="238" t="s">
        <v>6730</v>
      </c>
      <c r="Q1960" s="5" t="s">
        <v>1562</v>
      </c>
      <c r="R1960" s="239" t="s">
        <v>167</v>
      </c>
      <c r="S1960" s="238" t="s">
        <v>167</v>
      </c>
      <c r="T1960" s="238" t="s">
        <v>167</v>
      </c>
      <c r="U1960" s="238" t="s">
        <v>167</v>
      </c>
      <c r="AB1960" s="5" t="s">
        <v>1561</v>
      </c>
    </row>
    <row r="1961" spans="1:28">
      <c r="A1961" s="233">
        <v>41402</v>
      </c>
      <c r="B1961" s="1" t="s">
        <v>2311</v>
      </c>
      <c r="C1961" s="1" t="s">
        <v>162</v>
      </c>
      <c r="D1961" s="5" t="s">
        <v>2012</v>
      </c>
      <c r="E1961" s="1" t="s">
        <v>6729</v>
      </c>
      <c r="F1961" s="1">
        <v>170</v>
      </c>
      <c r="G1961" s="1" t="s">
        <v>170</v>
      </c>
      <c r="H1961" s="234">
        <v>1.65</v>
      </c>
      <c r="I1961" s="235">
        <f t="shared" si="250"/>
        <v>280.5</v>
      </c>
      <c r="K1961" s="250">
        <f>1.44*170</f>
        <v>244.79999999999998</v>
      </c>
      <c r="N1961" s="235">
        <v>0</v>
      </c>
      <c r="O1961" s="235">
        <f t="shared" si="251"/>
        <v>280.5</v>
      </c>
      <c r="P1961" s="238" t="s">
        <v>6731</v>
      </c>
      <c r="Q1961" s="5" t="s">
        <v>1562</v>
      </c>
      <c r="R1961" s="239" t="s">
        <v>167</v>
      </c>
      <c r="S1961" s="238" t="s">
        <v>167</v>
      </c>
      <c r="T1961" s="238" t="s">
        <v>167</v>
      </c>
      <c r="U1961" s="238" t="s">
        <v>167</v>
      </c>
      <c r="AB1961" s="5" t="s">
        <v>1561</v>
      </c>
    </row>
    <row r="1962" spans="1:28">
      <c r="A1962" s="233">
        <v>41402</v>
      </c>
      <c r="B1962" s="1" t="s">
        <v>2311</v>
      </c>
      <c r="C1962" s="1" t="s">
        <v>162</v>
      </c>
      <c r="D1962" s="5" t="s">
        <v>182</v>
      </c>
      <c r="E1962" s="1" t="s">
        <v>186</v>
      </c>
      <c r="F1962" s="1">
        <v>100</v>
      </c>
      <c r="G1962" s="1" t="s">
        <v>171</v>
      </c>
      <c r="H1962" s="234">
        <v>1.73</v>
      </c>
      <c r="I1962" s="235">
        <f t="shared" si="250"/>
        <v>173</v>
      </c>
      <c r="K1962" s="250">
        <f>1.54*100</f>
        <v>154</v>
      </c>
      <c r="N1962" s="235">
        <v>0</v>
      </c>
      <c r="O1962" s="235">
        <f t="shared" si="251"/>
        <v>173</v>
      </c>
      <c r="P1962" s="238" t="s">
        <v>6731</v>
      </c>
      <c r="Q1962" s="5" t="s">
        <v>1562</v>
      </c>
      <c r="R1962" s="239" t="s">
        <v>167</v>
      </c>
      <c r="S1962" s="238" t="s">
        <v>167</v>
      </c>
      <c r="T1962" s="238" t="s">
        <v>167</v>
      </c>
      <c r="U1962" s="238" t="s">
        <v>167</v>
      </c>
      <c r="AB1962" s="5" t="s">
        <v>1561</v>
      </c>
    </row>
    <row r="1963" spans="1:28">
      <c r="A1963" s="233">
        <v>41402</v>
      </c>
      <c r="B1963" s="1" t="s">
        <v>3656</v>
      </c>
      <c r="C1963" s="1" t="s">
        <v>162</v>
      </c>
      <c r="D1963" s="394" t="s">
        <v>1945</v>
      </c>
      <c r="E1963" s="394">
        <v>52000183617</v>
      </c>
      <c r="F1963" s="1">
        <v>100</v>
      </c>
      <c r="G1963" s="394" t="s">
        <v>171</v>
      </c>
      <c r="H1963" s="234">
        <v>18</v>
      </c>
      <c r="I1963" s="235">
        <f t="shared" si="250"/>
        <v>1800</v>
      </c>
      <c r="K1963" s="250">
        <f>17.1*100</f>
        <v>1710.0000000000002</v>
      </c>
      <c r="L1963" s="237">
        <v>41421</v>
      </c>
      <c r="M1963" s="1" t="s">
        <v>166</v>
      </c>
      <c r="N1963" s="235">
        <f>I1963</f>
        <v>1800</v>
      </c>
      <c r="O1963" s="236">
        <f t="shared" si="251"/>
        <v>0</v>
      </c>
      <c r="P1963" s="238" t="s">
        <v>6732</v>
      </c>
      <c r="Q1963" s="1" t="s">
        <v>5212</v>
      </c>
      <c r="R1963" s="247" t="s">
        <v>3658</v>
      </c>
      <c r="S1963" s="246" t="s">
        <v>3659</v>
      </c>
      <c r="T1963" s="246" t="s">
        <v>3660</v>
      </c>
      <c r="U1963" s="238" t="s">
        <v>6735</v>
      </c>
      <c r="AB1963" s="1" t="s">
        <v>1561</v>
      </c>
    </row>
    <row r="1964" spans="1:28">
      <c r="A1964" s="233">
        <v>41402</v>
      </c>
      <c r="B1964" s="1" t="s">
        <v>3344</v>
      </c>
      <c r="C1964" s="1" t="s">
        <v>162</v>
      </c>
      <c r="D1964" s="1" t="s">
        <v>232</v>
      </c>
      <c r="E1964" s="1" t="s">
        <v>186</v>
      </c>
      <c r="F1964" s="1">
        <v>500</v>
      </c>
      <c r="G1964" s="1" t="s">
        <v>6733</v>
      </c>
      <c r="H1964" s="234">
        <v>1.9</v>
      </c>
      <c r="I1964" s="235">
        <f t="shared" si="250"/>
        <v>950</v>
      </c>
      <c r="K1964" s="250">
        <f>1.54*500</f>
        <v>770</v>
      </c>
      <c r="N1964" s="1">
        <v>0</v>
      </c>
      <c r="O1964" s="236">
        <f t="shared" si="251"/>
        <v>950</v>
      </c>
      <c r="P1964" s="238" t="s">
        <v>6734</v>
      </c>
      <c r="Q1964" s="1" t="s">
        <v>3345</v>
      </c>
      <c r="R1964" s="10" t="s">
        <v>3346</v>
      </c>
      <c r="S1964" s="238">
        <v>13896055976</v>
      </c>
      <c r="T1964" s="238" t="s">
        <v>3347</v>
      </c>
      <c r="U1964" s="238" t="s">
        <v>6746</v>
      </c>
      <c r="AB1964" s="1" t="s">
        <v>1561</v>
      </c>
    </row>
    <row r="1965" spans="1:28">
      <c r="A1965" s="233">
        <v>41402</v>
      </c>
      <c r="B1965" s="1" t="s">
        <v>1995</v>
      </c>
      <c r="C1965" s="5" t="s">
        <v>833</v>
      </c>
      <c r="D1965" s="1" t="s">
        <v>1763</v>
      </c>
      <c r="E1965" s="1">
        <v>1860</v>
      </c>
      <c r="F1965" s="1">
        <v>200</v>
      </c>
      <c r="G1965" s="1" t="s">
        <v>170</v>
      </c>
      <c r="H1965" s="234">
        <v>18</v>
      </c>
      <c r="I1965" s="235">
        <f t="shared" si="250"/>
        <v>3600</v>
      </c>
      <c r="K1965" s="250">
        <f>13.2*200</f>
        <v>2640</v>
      </c>
      <c r="L1965" s="237">
        <v>41402</v>
      </c>
      <c r="M1965" s="1" t="s">
        <v>166</v>
      </c>
      <c r="N1965" s="1">
        <f>I1965</f>
        <v>3600</v>
      </c>
      <c r="O1965" s="236">
        <f t="shared" si="251"/>
        <v>0</v>
      </c>
      <c r="P1965" s="238" t="s">
        <v>6736</v>
      </c>
      <c r="Q1965" s="1" t="s">
        <v>726</v>
      </c>
      <c r="R1965" s="239" t="s">
        <v>3565</v>
      </c>
      <c r="S1965" s="238" t="s">
        <v>957</v>
      </c>
      <c r="T1965" s="238" t="s">
        <v>958</v>
      </c>
      <c r="U1965" s="238" t="s">
        <v>6749</v>
      </c>
      <c r="AB1965" s="1" t="s">
        <v>1561</v>
      </c>
    </row>
    <row r="1966" spans="1:28">
      <c r="A1966" s="233">
        <v>41402</v>
      </c>
      <c r="B1966" s="5" t="s">
        <v>2105</v>
      </c>
      <c r="C1966" s="1" t="s">
        <v>162</v>
      </c>
      <c r="D1966" s="394" t="s">
        <v>5047</v>
      </c>
      <c r="E1966" s="1">
        <v>8210</v>
      </c>
      <c r="F1966" s="1">
        <v>100</v>
      </c>
      <c r="G1966" s="1" t="s">
        <v>6727</v>
      </c>
      <c r="H1966" s="234">
        <v>4.6500000000000004</v>
      </c>
      <c r="I1966" s="235">
        <f t="shared" si="250"/>
        <v>465.00000000000006</v>
      </c>
      <c r="K1966" s="250">
        <f>3.78*100</f>
        <v>378</v>
      </c>
      <c r="L1966" s="237">
        <v>41419</v>
      </c>
      <c r="M1966" s="1" t="s">
        <v>165</v>
      </c>
      <c r="N1966" s="235">
        <f t="shared" ref="N1966:N1967" si="254">I1966</f>
        <v>465.00000000000006</v>
      </c>
      <c r="O1966" s="236">
        <f t="shared" ref="O1966:O1967" si="255">I1966-N1966</f>
        <v>0</v>
      </c>
      <c r="P1966" s="238" t="s">
        <v>6738</v>
      </c>
      <c r="Q1966" s="1" t="s">
        <v>3647</v>
      </c>
      <c r="R1966" s="247" t="s">
        <v>2470</v>
      </c>
      <c r="S1966" s="246" t="s">
        <v>2103</v>
      </c>
      <c r="T1966" s="246" t="s">
        <v>3694</v>
      </c>
      <c r="U1966" s="238" t="s">
        <v>6745</v>
      </c>
      <c r="V1966" s="238" t="s">
        <v>175</v>
      </c>
      <c r="AB1966" s="1" t="s">
        <v>1561</v>
      </c>
    </row>
    <row r="1967" spans="1:28">
      <c r="A1967" s="233">
        <v>41402</v>
      </c>
      <c r="B1967" s="5" t="s">
        <v>2105</v>
      </c>
      <c r="C1967" s="1" t="s">
        <v>162</v>
      </c>
      <c r="D1967" s="1" t="s">
        <v>305</v>
      </c>
      <c r="E1967" s="1">
        <v>1270</v>
      </c>
      <c r="F1967" s="1">
        <v>30</v>
      </c>
      <c r="G1967" s="1" t="s">
        <v>6737</v>
      </c>
      <c r="H1967" s="234">
        <v>4.3</v>
      </c>
      <c r="I1967" s="235">
        <f t="shared" si="250"/>
        <v>129</v>
      </c>
      <c r="K1967" s="250">
        <f>4.28*30</f>
        <v>128.4</v>
      </c>
      <c r="L1967" s="237">
        <v>41419</v>
      </c>
      <c r="M1967" s="1" t="s">
        <v>165</v>
      </c>
      <c r="N1967" s="235">
        <f t="shared" si="254"/>
        <v>129</v>
      </c>
      <c r="O1967" s="236">
        <f t="shared" si="255"/>
        <v>0</v>
      </c>
      <c r="P1967" s="238" t="s">
        <v>6738</v>
      </c>
      <c r="Q1967" s="1" t="s">
        <v>3647</v>
      </c>
      <c r="R1967" s="247" t="s">
        <v>2470</v>
      </c>
      <c r="S1967" s="246" t="s">
        <v>2103</v>
      </c>
      <c r="T1967" s="246" t="s">
        <v>3694</v>
      </c>
      <c r="U1967" s="238" t="s">
        <v>6745</v>
      </c>
      <c r="V1967" s="238" t="s">
        <v>175</v>
      </c>
      <c r="AB1967" s="1" t="s">
        <v>1561</v>
      </c>
    </row>
    <row r="1968" spans="1:28">
      <c r="A1968" s="233">
        <v>41402</v>
      </c>
      <c r="B1968" s="1" t="s">
        <v>1563</v>
      </c>
      <c r="C1968" s="1" t="s">
        <v>162</v>
      </c>
      <c r="D1968" s="1" t="s">
        <v>1882</v>
      </c>
      <c r="E1968" s="5" t="s">
        <v>3521</v>
      </c>
      <c r="F1968" s="5">
        <v>60</v>
      </c>
      <c r="G1968" s="1" t="s">
        <v>170</v>
      </c>
      <c r="H1968" s="234">
        <v>28.5</v>
      </c>
      <c r="I1968" s="235">
        <f t="shared" si="250"/>
        <v>1710</v>
      </c>
      <c r="K1968" s="250">
        <f>17.8*60</f>
        <v>1068</v>
      </c>
      <c r="N1968" s="235">
        <v>0</v>
      </c>
      <c r="O1968" s="235">
        <f>I1968-N1968</f>
        <v>1710</v>
      </c>
      <c r="P1968" s="238" t="s">
        <v>6748</v>
      </c>
      <c r="Q1968" s="1" t="s">
        <v>1562</v>
      </c>
      <c r="R1968" s="239" t="s">
        <v>6017</v>
      </c>
      <c r="S1968" s="238" t="s">
        <v>6018</v>
      </c>
      <c r="T1968" s="238" t="s">
        <v>2256</v>
      </c>
      <c r="U1968" s="238" t="s">
        <v>167</v>
      </c>
      <c r="AB1968" s="5" t="s">
        <v>2064</v>
      </c>
    </row>
    <row r="1969" spans="1:28">
      <c r="A1969" s="233">
        <v>41402</v>
      </c>
      <c r="B1969" s="1" t="s">
        <v>4111</v>
      </c>
      <c r="C1969" s="1" t="s">
        <v>162</v>
      </c>
      <c r="D1969" s="5" t="s">
        <v>2012</v>
      </c>
      <c r="E1969" s="1" t="s">
        <v>180</v>
      </c>
      <c r="F1969" s="1">
        <v>300</v>
      </c>
      <c r="G1969" s="1" t="s">
        <v>170</v>
      </c>
      <c r="H1969" s="234">
        <v>1.65</v>
      </c>
      <c r="I1969" s="235">
        <f t="shared" ref="I1969" si="256">F1969*H1969</f>
        <v>495</v>
      </c>
      <c r="K1969" s="250">
        <f>1.44*300</f>
        <v>432</v>
      </c>
      <c r="N1969" s="235">
        <v>0</v>
      </c>
      <c r="O1969" s="236">
        <f>I1969-N1969</f>
        <v>495</v>
      </c>
      <c r="P1969" s="238" t="s">
        <v>6747</v>
      </c>
      <c r="Q1969" s="1" t="s">
        <v>1562</v>
      </c>
      <c r="R1969" s="239" t="s">
        <v>4113</v>
      </c>
      <c r="S1969" s="238" t="s">
        <v>4114</v>
      </c>
      <c r="T1969" s="238" t="s">
        <v>4115</v>
      </c>
      <c r="AB1969" s="1" t="s">
        <v>1561</v>
      </c>
    </row>
    <row r="1970" spans="1:28">
      <c r="A1970" s="233">
        <v>41402</v>
      </c>
      <c r="B1970" s="1" t="s">
        <v>4087</v>
      </c>
      <c r="C1970" s="1" t="s">
        <v>162</v>
      </c>
      <c r="D1970" s="5" t="s">
        <v>1931</v>
      </c>
      <c r="E1970" s="1">
        <v>3700</v>
      </c>
      <c r="F1970" s="1">
        <v>100</v>
      </c>
      <c r="G1970" s="1" t="s">
        <v>229</v>
      </c>
      <c r="H1970" s="234">
        <v>4.7</v>
      </c>
      <c r="I1970" s="235">
        <f t="shared" ref="I1970:I1972" si="257">F1970*H1970</f>
        <v>470</v>
      </c>
      <c r="K1970" s="250">
        <f>2.865*100</f>
        <v>286.5</v>
      </c>
      <c r="N1970" s="235">
        <v>0</v>
      </c>
      <c r="O1970" s="235">
        <f t="shared" ref="O1970:O1972" si="258">I1970-N1970</f>
        <v>470</v>
      </c>
      <c r="P1970" s="238" t="s">
        <v>6804</v>
      </c>
      <c r="Q1970" s="1" t="s">
        <v>6805</v>
      </c>
      <c r="R1970" s="239" t="s">
        <v>4089</v>
      </c>
      <c r="S1970" s="238" t="s">
        <v>4090</v>
      </c>
      <c r="T1970" s="238" t="s">
        <v>4091</v>
      </c>
      <c r="U1970" s="238" t="s">
        <v>167</v>
      </c>
      <c r="V1970" s="238" t="s">
        <v>6886</v>
      </c>
      <c r="W1970" s="236">
        <v>5720</v>
      </c>
      <c r="X1970" s="233">
        <v>41410</v>
      </c>
      <c r="Y1970" s="238" t="s">
        <v>6887</v>
      </c>
      <c r="AB1970" s="1" t="s">
        <v>2064</v>
      </c>
    </row>
    <row r="1971" spans="1:28">
      <c r="A1971" s="233">
        <v>41402</v>
      </c>
      <c r="B1971" s="1" t="s">
        <v>4087</v>
      </c>
      <c r="C1971" s="1" t="s">
        <v>162</v>
      </c>
      <c r="D1971" s="5" t="s">
        <v>232</v>
      </c>
      <c r="E1971" s="1" t="s">
        <v>2049</v>
      </c>
      <c r="F1971" s="1">
        <v>1100</v>
      </c>
      <c r="G1971" s="1" t="s">
        <v>171</v>
      </c>
      <c r="H1971" s="234">
        <v>2</v>
      </c>
      <c r="I1971" s="235">
        <f t="shared" si="257"/>
        <v>2200</v>
      </c>
      <c r="K1971" s="250">
        <f>1.24*1100</f>
        <v>1364</v>
      </c>
      <c r="N1971" s="235">
        <v>0</v>
      </c>
      <c r="O1971" s="235">
        <f t="shared" si="258"/>
        <v>2200</v>
      </c>
      <c r="P1971" s="238" t="s">
        <v>6804</v>
      </c>
      <c r="Q1971" s="1" t="s">
        <v>6805</v>
      </c>
      <c r="R1971" s="239" t="s">
        <v>4089</v>
      </c>
      <c r="S1971" s="238" t="s">
        <v>4090</v>
      </c>
      <c r="T1971" s="238" t="s">
        <v>4091</v>
      </c>
      <c r="U1971" s="238" t="s">
        <v>167</v>
      </c>
      <c r="V1971" s="238" t="s">
        <v>6886</v>
      </c>
      <c r="W1971" s="236">
        <v>5720</v>
      </c>
      <c r="X1971" s="233">
        <v>41410</v>
      </c>
      <c r="Y1971" s="238" t="s">
        <v>6887</v>
      </c>
      <c r="AB1971" s="1" t="s">
        <v>2064</v>
      </c>
    </row>
    <row r="1972" spans="1:28">
      <c r="A1972" s="233">
        <v>41402</v>
      </c>
      <c r="B1972" s="1" t="s">
        <v>4087</v>
      </c>
      <c r="C1972" s="1" t="s">
        <v>162</v>
      </c>
      <c r="D1972" s="1" t="s">
        <v>1210</v>
      </c>
      <c r="E1972" s="1">
        <v>3200</v>
      </c>
      <c r="F1972" s="1">
        <v>100</v>
      </c>
      <c r="G1972" s="1" t="s">
        <v>170</v>
      </c>
      <c r="H1972" s="234">
        <v>30.5</v>
      </c>
      <c r="I1972" s="235">
        <f t="shared" si="257"/>
        <v>3050</v>
      </c>
      <c r="K1972" s="250">
        <f>20.89*100</f>
        <v>2089</v>
      </c>
      <c r="N1972" s="235">
        <v>0</v>
      </c>
      <c r="O1972" s="235">
        <f t="shared" si="258"/>
        <v>3050</v>
      </c>
      <c r="P1972" s="238" t="s">
        <v>6804</v>
      </c>
      <c r="Q1972" s="1" t="s">
        <v>6805</v>
      </c>
      <c r="R1972" s="239" t="s">
        <v>4089</v>
      </c>
      <c r="S1972" s="238" t="s">
        <v>4090</v>
      </c>
      <c r="T1972" s="238" t="s">
        <v>4091</v>
      </c>
      <c r="U1972" s="238" t="s">
        <v>167</v>
      </c>
      <c r="V1972" s="238" t="s">
        <v>6886</v>
      </c>
      <c r="W1972" s="236">
        <v>5720</v>
      </c>
      <c r="X1972" s="233">
        <v>41410</v>
      </c>
      <c r="Y1972" s="238" t="s">
        <v>6887</v>
      </c>
      <c r="AB1972" s="1" t="s">
        <v>2064</v>
      </c>
    </row>
    <row r="1973" spans="1:28">
      <c r="A1973" s="233">
        <v>41403</v>
      </c>
      <c r="B1973" s="1" t="s">
        <v>4338</v>
      </c>
      <c r="C1973" s="1" t="s">
        <v>162</v>
      </c>
      <c r="D1973" s="397" t="s">
        <v>182</v>
      </c>
      <c r="E1973" s="1" t="s">
        <v>1862</v>
      </c>
      <c r="F1973" s="1">
        <v>38</v>
      </c>
      <c r="G1973" s="1" t="s">
        <v>171</v>
      </c>
      <c r="H1973" s="234">
        <v>10.039999999999999</v>
      </c>
      <c r="I1973" s="235">
        <f t="shared" ref="I1973" si="259">F1973*H1973</f>
        <v>381.52</v>
      </c>
      <c r="K1973" s="250">
        <f>8.73*38</f>
        <v>331.74</v>
      </c>
      <c r="L1973" s="237">
        <v>41418</v>
      </c>
      <c r="M1973" s="1" t="s">
        <v>165</v>
      </c>
      <c r="N1973" s="235">
        <f>I1973</f>
        <v>381.52</v>
      </c>
      <c r="O1973" s="235">
        <f>I1973-N1973</f>
        <v>0</v>
      </c>
      <c r="P1973" s="238" t="s">
        <v>6750</v>
      </c>
      <c r="Q1973" s="1" t="s">
        <v>6559</v>
      </c>
      <c r="R1973" s="239" t="s">
        <v>4341</v>
      </c>
      <c r="S1973" s="238" t="s">
        <v>4342</v>
      </c>
      <c r="T1973" s="238" t="s">
        <v>2237</v>
      </c>
      <c r="U1973" s="238" t="s">
        <v>6938</v>
      </c>
      <c r="V1973" s="238" t="s">
        <v>6900</v>
      </c>
      <c r="W1973" s="236">
        <v>8938.52</v>
      </c>
      <c r="X1973" s="233">
        <v>41410</v>
      </c>
      <c r="Y1973" s="238" t="s">
        <v>6893</v>
      </c>
      <c r="AB1973" s="1" t="s">
        <v>1561</v>
      </c>
    </row>
    <row r="1974" spans="1:28">
      <c r="A1974" s="233">
        <v>41403</v>
      </c>
      <c r="B1974" s="1" t="s">
        <v>3405</v>
      </c>
      <c r="C1974" s="1" t="s">
        <v>162</v>
      </c>
      <c r="D1974" s="95" t="s">
        <v>1039</v>
      </c>
      <c r="E1974" s="1">
        <v>52000183617</v>
      </c>
      <c r="F1974" s="5">
        <v>2</v>
      </c>
      <c r="G1974" s="1" t="s">
        <v>170</v>
      </c>
      <c r="H1974" s="234">
        <v>1050</v>
      </c>
      <c r="I1974" s="236">
        <f>H1974*F1974</f>
        <v>2100</v>
      </c>
      <c r="K1974" s="250">
        <f>870*2</f>
        <v>1740</v>
      </c>
      <c r="L1974" s="237">
        <v>41402</v>
      </c>
      <c r="M1974" s="1" t="s">
        <v>169</v>
      </c>
      <c r="N1974" s="235">
        <f t="shared" ref="N1974" si="260">I1974</f>
        <v>2100</v>
      </c>
      <c r="O1974" s="235">
        <f>I1974-N1974</f>
        <v>0</v>
      </c>
      <c r="P1974" s="238" t="s">
        <v>6754</v>
      </c>
      <c r="Q1974" s="1" t="s">
        <v>5212</v>
      </c>
      <c r="R1974" s="10" t="s">
        <v>3407</v>
      </c>
      <c r="S1974" s="10">
        <v>15808899650</v>
      </c>
      <c r="T1974" s="10" t="s">
        <v>6761</v>
      </c>
      <c r="U1974" s="238" t="s">
        <v>6758</v>
      </c>
      <c r="AB1974" s="1" t="s">
        <v>1561</v>
      </c>
    </row>
    <row r="1975" spans="1:28">
      <c r="A1975" s="233">
        <v>41403</v>
      </c>
      <c r="B1975" s="1" t="s">
        <v>4696</v>
      </c>
      <c r="C1975" s="1" t="s">
        <v>162</v>
      </c>
      <c r="D1975" s="5" t="s">
        <v>353</v>
      </c>
      <c r="E1975" s="1" t="s">
        <v>6755</v>
      </c>
      <c r="F1975" s="1">
        <v>4</v>
      </c>
      <c r="G1975" s="1" t="s">
        <v>6756</v>
      </c>
      <c r="H1975" s="234">
        <v>18.670000000000002</v>
      </c>
      <c r="I1975" s="235">
        <f>H1975*F1975</f>
        <v>74.680000000000007</v>
      </c>
      <c r="K1975" s="250">
        <f>10.94*4</f>
        <v>43.76</v>
      </c>
      <c r="N1975" s="1">
        <v>0</v>
      </c>
      <c r="O1975" s="235">
        <f t="shared" ref="O1975:O1976" si="261">I1975-N1975</f>
        <v>74.680000000000007</v>
      </c>
      <c r="P1975" s="238" t="s">
        <v>6757</v>
      </c>
      <c r="Q1975" s="5" t="s">
        <v>1562</v>
      </c>
      <c r="R1975" s="239" t="s">
        <v>167</v>
      </c>
      <c r="S1975" s="238" t="s">
        <v>167</v>
      </c>
      <c r="T1975" s="238" t="s">
        <v>167</v>
      </c>
      <c r="U1975" s="238" t="s">
        <v>167</v>
      </c>
      <c r="AB1975" s="5" t="s">
        <v>1561</v>
      </c>
    </row>
    <row r="1976" spans="1:28">
      <c r="A1976" s="233">
        <v>41403</v>
      </c>
      <c r="B1976" s="1" t="s">
        <v>4696</v>
      </c>
      <c r="C1976" s="1" t="s">
        <v>162</v>
      </c>
      <c r="D1976" s="1" t="s">
        <v>1882</v>
      </c>
      <c r="E1976" s="1" t="s">
        <v>145</v>
      </c>
      <c r="F1976" s="1">
        <v>4</v>
      </c>
      <c r="G1976" s="1" t="s">
        <v>6756</v>
      </c>
      <c r="H1976" s="234">
        <v>14</v>
      </c>
      <c r="I1976" s="235">
        <f>H1976*F1976</f>
        <v>56</v>
      </c>
      <c r="K1976" s="250">
        <f>17.8*4</f>
        <v>71.2</v>
      </c>
      <c r="N1976" s="1">
        <v>0</v>
      </c>
      <c r="O1976" s="235">
        <f t="shared" si="261"/>
        <v>56</v>
      </c>
      <c r="P1976" s="238" t="s">
        <v>6757</v>
      </c>
      <c r="Q1976" s="5" t="s">
        <v>1562</v>
      </c>
      <c r="R1976" s="239" t="s">
        <v>167</v>
      </c>
      <c r="S1976" s="238" t="s">
        <v>167</v>
      </c>
      <c r="T1976" s="238" t="s">
        <v>167</v>
      </c>
      <c r="U1976" s="238" t="s">
        <v>167</v>
      </c>
      <c r="AB1976" s="5" t="s">
        <v>1561</v>
      </c>
    </row>
    <row r="1977" spans="1:28">
      <c r="A1977" s="233">
        <v>41403</v>
      </c>
      <c r="B1977" s="1" t="s">
        <v>4111</v>
      </c>
      <c r="C1977" s="1" t="s">
        <v>162</v>
      </c>
      <c r="D1977" s="5" t="s">
        <v>69</v>
      </c>
      <c r="E1977" s="1">
        <v>1100</v>
      </c>
      <c r="F1977" s="1">
        <v>200</v>
      </c>
      <c r="G1977" s="1" t="s">
        <v>6764</v>
      </c>
      <c r="H1977" s="234">
        <v>0.5</v>
      </c>
      <c r="I1977" s="235">
        <f>F1977*H1977</f>
        <v>100</v>
      </c>
      <c r="K1977" s="250">
        <f>0.38*200</f>
        <v>76</v>
      </c>
      <c r="N1977" s="1">
        <v>0</v>
      </c>
      <c r="O1977" s="236">
        <f>I1977-N1977</f>
        <v>100</v>
      </c>
      <c r="P1977" s="238" t="s">
        <v>6765</v>
      </c>
      <c r="Q1977" s="1" t="s">
        <v>1562</v>
      </c>
      <c r="R1977" s="239" t="s">
        <v>4113</v>
      </c>
      <c r="S1977" s="238" t="s">
        <v>4114</v>
      </c>
      <c r="T1977" s="238" t="s">
        <v>4115</v>
      </c>
      <c r="AB1977" s="1" t="s">
        <v>1561</v>
      </c>
    </row>
    <row r="1978" spans="1:28">
      <c r="A1978" s="233">
        <v>41403</v>
      </c>
      <c r="B1978" s="1" t="s">
        <v>3136</v>
      </c>
      <c r="C1978" s="5" t="s">
        <v>162</v>
      </c>
      <c r="D1978" s="5" t="s">
        <v>2013</v>
      </c>
      <c r="E1978" s="1" t="s">
        <v>1560</v>
      </c>
      <c r="F1978" s="1">
        <v>11</v>
      </c>
      <c r="G1978" s="1" t="s">
        <v>192</v>
      </c>
      <c r="H1978" s="234">
        <v>45</v>
      </c>
      <c r="I1978" s="235">
        <f>F1978*H1978</f>
        <v>495</v>
      </c>
      <c r="K1978" s="250">
        <f>27.144*11</f>
        <v>298.584</v>
      </c>
      <c r="L1978" s="237">
        <v>41403</v>
      </c>
      <c r="M1978" s="1" t="s">
        <v>698</v>
      </c>
      <c r="N1978" s="235">
        <f>I1978</f>
        <v>495</v>
      </c>
      <c r="O1978" s="235">
        <f t="shared" ref="O1978:O1982" si="262">I1978-N1978</f>
        <v>0</v>
      </c>
      <c r="P1978" s="238" t="s">
        <v>6770</v>
      </c>
      <c r="Q1978" s="395" t="s">
        <v>3120</v>
      </c>
      <c r="R1978" s="239" t="s">
        <v>3138</v>
      </c>
      <c r="S1978" s="238" t="s">
        <v>3139</v>
      </c>
      <c r="T1978" s="238" t="s">
        <v>2685</v>
      </c>
      <c r="U1978" s="238" t="s">
        <v>167</v>
      </c>
      <c r="V1978" s="238" t="s">
        <v>175</v>
      </c>
      <c r="AB1978" s="395" t="s">
        <v>3069</v>
      </c>
    </row>
    <row r="1979" spans="1:28">
      <c r="A1979" s="233">
        <v>41403</v>
      </c>
      <c r="B1979" s="1" t="s">
        <v>4111</v>
      </c>
      <c r="C1979" s="1" t="s">
        <v>162</v>
      </c>
      <c r="D1979" s="1" t="s">
        <v>1210</v>
      </c>
      <c r="E1979" s="1">
        <v>3200</v>
      </c>
      <c r="F1979" s="1">
        <v>10</v>
      </c>
      <c r="G1979" s="1" t="s">
        <v>170</v>
      </c>
      <c r="H1979" s="234">
        <v>29.16</v>
      </c>
      <c r="I1979" s="235">
        <f>F1979*H1979</f>
        <v>291.60000000000002</v>
      </c>
      <c r="K1979" s="250">
        <f>23.94*10</f>
        <v>239.4</v>
      </c>
      <c r="N1979" s="1">
        <v>0</v>
      </c>
      <c r="O1979" s="236">
        <f t="shared" si="262"/>
        <v>291.60000000000002</v>
      </c>
      <c r="P1979" s="238" t="s">
        <v>6772</v>
      </c>
      <c r="Q1979" s="1" t="s">
        <v>1562</v>
      </c>
      <c r="R1979" s="239" t="s">
        <v>4113</v>
      </c>
      <c r="S1979" s="238" t="s">
        <v>4114</v>
      </c>
      <c r="T1979" s="238" t="s">
        <v>4115</v>
      </c>
      <c r="V1979" s="238" t="s">
        <v>6771</v>
      </c>
      <c r="AB1979" s="1" t="s">
        <v>1561</v>
      </c>
    </row>
    <row r="1980" spans="1:28">
      <c r="A1980" s="233">
        <v>41403</v>
      </c>
      <c r="B1980" s="1" t="s">
        <v>4111</v>
      </c>
      <c r="C1980" s="1" t="s">
        <v>162</v>
      </c>
      <c r="D1980" s="5" t="s">
        <v>346</v>
      </c>
      <c r="E1980" s="1" t="s">
        <v>4670</v>
      </c>
      <c r="F1980" s="1">
        <v>10</v>
      </c>
      <c r="G1980" s="1" t="s">
        <v>170</v>
      </c>
      <c r="H1980" s="234">
        <v>4</v>
      </c>
      <c r="I1980" s="235">
        <f>F1980*H1980</f>
        <v>40</v>
      </c>
      <c r="K1980" s="250">
        <f>3.65*10</f>
        <v>36.5</v>
      </c>
      <c r="N1980" s="1">
        <v>0</v>
      </c>
      <c r="O1980" s="236">
        <f t="shared" si="262"/>
        <v>40</v>
      </c>
      <c r="P1980" s="238" t="s">
        <v>6772</v>
      </c>
      <c r="Q1980" s="1" t="s">
        <v>1562</v>
      </c>
      <c r="R1980" s="239" t="s">
        <v>4113</v>
      </c>
      <c r="S1980" s="238" t="s">
        <v>4114</v>
      </c>
      <c r="T1980" s="238" t="s">
        <v>4115</v>
      </c>
      <c r="V1980" s="238" t="s">
        <v>6771</v>
      </c>
      <c r="AB1980" s="1" t="s">
        <v>1561</v>
      </c>
    </row>
    <row r="1981" spans="1:28">
      <c r="A1981" s="233">
        <v>41403</v>
      </c>
      <c r="B1981" s="1" t="s">
        <v>4111</v>
      </c>
      <c r="C1981" s="1" t="s">
        <v>162</v>
      </c>
      <c r="D1981" s="5" t="s">
        <v>182</v>
      </c>
      <c r="E1981" s="1" t="s">
        <v>186</v>
      </c>
      <c r="F1981" s="1">
        <v>20</v>
      </c>
      <c r="G1981" s="1" t="s">
        <v>171</v>
      </c>
      <c r="H1981" s="234">
        <v>1.84</v>
      </c>
      <c r="I1981" s="235">
        <f>F1981*H1981</f>
        <v>36.800000000000004</v>
      </c>
      <c r="K1981" s="250">
        <f>1.54*20</f>
        <v>30.8</v>
      </c>
      <c r="N1981" s="1">
        <v>0</v>
      </c>
      <c r="O1981" s="236">
        <f t="shared" si="262"/>
        <v>36.800000000000004</v>
      </c>
      <c r="P1981" s="238" t="s">
        <v>6772</v>
      </c>
      <c r="Q1981" s="1" t="s">
        <v>1562</v>
      </c>
      <c r="R1981" s="239" t="s">
        <v>4113</v>
      </c>
      <c r="S1981" s="238" t="s">
        <v>4114</v>
      </c>
      <c r="T1981" s="238" t="s">
        <v>4115</v>
      </c>
      <c r="V1981" s="238" t="s">
        <v>6771</v>
      </c>
      <c r="AB1981" s="1" t="s">
        <v>1561</v>
      </c>
    </row>
    <row r="1982" spans="1:28">
      <c r="A1982" s="233">
        <v>41404</v>
      </c>
      <c r="B1982" s="1" t="s">
        <v>2108</v>
      </c>
      <c r="C1982" s="1" t="s">
        <v>162</v>
      </c>
      <c r="D1982" s="1" t="s">
        <v>1213</v>
      </c>
      <c r="E1982" s="1" t="s">
        <v>178</v>
      </c>
      <c r="F1982" s="1">
        <v>100</v>
      </c>
      <c r="G1982" s="1" t="s">
        <v>172</v>
      </c>
      <c r="H1982" s="234">
        <v>15</v>
      </c>
      <c r="I1982" s="235">
        <f t="shared" ref="I1982" si="263">F1982*H1982</f>
        <v>1500</v>
      </c>
      <c r="K1982" s="250">
        <f>12.4*100</f>
        <v>1240</v>
      </c>
      <c r="L1982" s="237">
        <v>41404</v>
      </c>
      <c r="M1982" s="1" t="s">
        <v>6789</v>
      </c>
      <c r="N1982" s="1">
        <v>1500</v>
      </c>
      <c r="O1982" s="236">
        <f t="shared" si="262"/>
        <v>0</v>
      </c>
      <c r="P1982" s="238" t="s">
        <v>6762</v>
      </c>
      <c r="Q1982" s="1" t="s">
        <v>1562</v>
      </c>
      <c r="R1982" s="239" t="s">
        <v>5175</v>
      </c>
      <c r="S1982" s="238" t="s">
        <v>6763</v>
      </c>
      <c r="T1982" s="238" t="s">
        <v>795</v>
      </c>
      <c r="V1982" s="238" t="s">
        <v>7000</v>
      </c>
      <c r="W1982" s="236">
        <v>5687</v>
      </c>
      <c r="X1982" s="233">
        <v>41417</v>
      </c>
      <c r="Y1982" s="238" t="s">
        <v>6988</v>
      </c>
      <c r="AB1982" s="1" t="s">
        <v>1561</v>
      </c>
    </row>
    <row r="1983" spans="1:28">
      <c r="A1983" s="233">
        <v>41407</v>
      </c>
      <c r="B1983" s="1" t="s">
        <v>1563</v>
      </c>
      <c r="C1983" s="1" t="s">
        <v>162</v>
      </c>
      <c r="D1983" s="1" t="s">
        <v>1882</v>
      </c>
      <c r="E1983" s="5" t="s">
        <v>3521</v>
      </c>
      <c r="F1983" s="5">
        <v>40</v>
      </c>
      <c r="G1983" s="1" t="s">
        <v>170</v>
      </c>
      <c r="H1983" s="234">
        <v>28.5</v>
      </c>
      <c r="I1983" s="235">
        <f t="shared" ref="I1983" si="264">F1983*H1983</f>
        <v>1140</v>
      </c>
      <c r="K1983" s="250">
        <f>17.8*40</f>
        <v>712</v>
      </c>
      <c r="N1983" s="1">
        <v>0</v>
      </c>
      <c r="O1983" s="235">
        <f t="shared" ref="O1983:O1993" si="265">I1983-N1983</f>
        <v>1140</v>
      </c>
      <c r="P1983" s="238" t="s">
        <v>6797</v>
      </c>
      <c r="Q1983" s="1" t="s">
        <v>1562</v>
      </c>
      <c r="R1983" s="239" t="s">
        <v>6017</v>
      </c>
      <c r="S1983" s="238" t="s">
        <v>6018</v>
      </c>
      <c r="T1983" s="238" t="s">
        <v>2256</v>
      </c>
      <c r="AB1983" s="5" t="s">
        <v>2064</v>
      </c>
    </row>
    <row r="1984" spans="1:28">
      <c r="A1984" s="233">
        <v>41407</v>
      </c>
      <c r="B1984" s="1" t="s">
        <v>1979</v>
      </c>
      <c r="C1984" s="1" t="s">
        <v>162</v>
      </c>
      <c r="D1984" s="1" t="s">
        <v>240</v>
      </c>
      <c r="E1984" s="1">
        <v>6200</v>
      </c>
      <c r="F1984" s="1">
        <v>24</v>
      </c>
      <c r="G1984" s="1" t="s">
        <v>170</v>
      </c>
      <c r="H1984" s="234">
        <v>46</v>
      </c>
      <c r="I1984" s="235">
        <f>H1984*F1984</f>
        <v>1104</v>
      </c>
      <c r="K1984" s="250">
        <f>44.5*24</f>
        <v>1068</v>
      </c>
      <c r="N1984" s="1">
        <v>0</v>
      </c>
      <c r="O1984" s="236">
        <f t="shared" si="265"/>
        <v>1104</v>
      </c>
      <c r="P1984" s="238" t="s">
        <v>6798</v>
      </c>
      <c r="Q1984" s="1" t="s">
        <v>2505</v>
      </c>
      <c r="R1984" s="265" t="s">
        <v>68</v>
      </c>
      <c r="S1984" s="265" t="s">
        <v>2973</v>
      </c>
      <c r="T1984" s="238" t="s">
        <v>67</v>
      </c>
      <c r="U1984" s="238" t="s">
        <v>167</v>
      </c>
      <c r="AB1984" s="1" t="s">
        <v>1561</v>
      </c>
    </row>
    <row r="1985" spans="1:28">
      <c r="A1985" s="233">
        <v>41407</v>
      </c>
      <c r="B1985" s="1" t="s">
        <v>1569</v>
      </c>
      <c r="C1985" s="1" t="s">
        <v>162</v>
      </c>
      <c r="D1985" s="398" t="s">
        <v>702</v>
      </c>
      <c r="E1985" s="1" t="s">
        <v>6823</v>
      </c>
      <c r="F1985" s="1">
        <v>240</v>
      </c>
      <c r="G1985" s="1" t="s">
        <v>6811</v>
      </c>
      <c r="H1985" s="234">
        <v>2.7</v>
      </c>
      <c r="I1985" s="235">
        <f>F1985*H1985</f>
        <v>648</v>
      </c>
      <c r="K1985" s="250">
        <f>2.3*240</f>
        <v>552</v>
      </c>
      <c r="N1985" s="235">
        <v>0</v>
      </c>
      <c r="O1985" s="235">
        <f t="shared" si="265"/>
        <v>648</v>
      </c>
      <c r="P1985" s="238" t="s">
        <v>6826</v>
      </c>
      <c r="Q1985" s="1" t="s">
        <v>1571</v>
      </c>
      <c r="R1985" s="239" t="s">
        <v>1570</v>
      </c>
      <c r="S1985" s="238">
        <v>13368068212</v>
      </c>
      <c r="T1985" s="238" t="s">
        <v>167</v>
      </c>
      <c r="U1985" s="238" t="s">
        <v>167</v>
      </c>
      <c r="V1985" s="238" t="s">
        <v>7024</v>
      </c>
      <c r="W1985" s="236">
        <v>33867.5</v>
      </c>
      <c r="X1985" s="233">
        <v>41418</v>
      </c>
      <c r="Y1985" s="238" t="s">
        <v>7025</v>
      </c>
      <c r="AB1985" s="5" t="s">
        <v>1561</v>
      </c>
    </row>
    <row r="1986" spans="1:28">
      <c r="A1986" s="233">
        <v>41407</v>
      </c>
      <c r="B1986" s="1" t="s">
        <v>1569</v>
      </c>
      <c r="C1986" s="1" t="s">
        <v>7</v>
      </c>
      <c r="D1986" s="5" t="s">
        <v>1663</v>
      </c>
      <c r="E1986" s="1" t="s">
        <v>1659</v>
      </c>
      <c r="F1986" s="1">
        <v>20</v>
      </c>
      <c r="G1986" s="1" t="s">
        <v>827</v>
      </c>
      <c r="H1986" s="234">
        <v>72</v>
      </c>
      <c r="I1986" s="235">
        <f>F1986*H1986</f>
        <v>1440</v>
      </c>
      <c r="K1986" s="250">
        <f>68.8*20</f>
        <v>1376</v>
      </c>
      <c r="N1986" s="235">
        <v>0</v>
      </c>
      <c r="O1986" s="235">
        <f t="shared" si="265"/>
        <v>1440</v>
      </c>
      <c r="P1986" s="238" t="s">
        <v>6826</v>
      </c>
      <c r="Q1986" s="1" t="s">
        <v>1571</v>
      </c>
      <c r="R1986" s="239" t="s">
        <v>1570</v>
      </c>
      <c r="S1986" s="238">
        <v>13368068212</v>
      </c>
      <c r="T1986" s="238" t="s">
        <v>167</v>
      </c>
      <c r="U1986" s="238" t="s">
        <v>167</v>
      </c>
      <c r="V1986" s="238" t="s">
        <v>7024</v>
      </c>
      <c r="W1986" s="236">
        <v>33867.5</v>
      </c>
      <c r="X1986" s="233">
        <v>41418</v>
      </c>
      <c r="Y1986" s="238" t="s">
        <v>7025</v>
      </c>
      <c r="AB1986" s="5" t="s">
        <v>1561</v>
      </c>
    </row>
    <row r="1987" spans="1:28">
      <c r="A1987" s="233">
        <v>41407</v>
      </c>
      <c r="B1987" s="1" t="s">
        <v>1569</v>
      </c>
      <c r="C1987" s="1" t="s">
        <v>861</v>
      </c>
      <c r="D1987" s="1" t="s">
        <v>6740</v>
      </c>
      <c r="E1987" s="1" t="s">
        <v>6824</v>
      </c>
      <c r="F1987" s="1">
        <v>48</v>
      </c>
      <c r="G1987" s="1" t="s">
        <v>6825</v>
      </c>
      <c r="H1987" s="234">
        <v>33</v>
      </c>
      <c r="I1987" s="235">
        <f>F1987*H1987</f>
        <v>1584</v>
      </c>
      <c r="K1987" s="250">
        <f>48*27</f>
        <v>1296</v>
      </c>
      <c r="N1987" s="235">
        <v>0</v>
      </c>
      <c r="O1987" s="235">
        <f t="shared" si="265"/>
        <v>1584</v>
      </c>
      <c r="P1987" s="238" t="s">
        <v>6826</v>
      </c>
      <c r="Q1987" s="1" t="s">
        <v>1571</v>
      </c>
      <c r="R1987" s="239" t="s">
        <v>1570</v>
      </c>
      <c r="S1987" s="238">
        <v>13368068212</v>
      </c>
      <c r="T1987" s="238" t="s">
        <v>167</v>
      </c>
      <c r="U1987" s="238" t="s">
        <v>167</v>
      </c>
      <c r="AB1987" s="5" t="s">
        <v>1561</v>
      </c>
    </row>
    <row r="1988" spans="1:28">
      <c r="A1988" s="233">
        <v>41407</v>
      </c>
      <c r="B1988" s="1" t="s">
        <v>1569</v>
      </c>
      <c r="C1988" s="1" t="s">
        <v>162</v>
      </c>
      <c r="D1988" s="1" t="s">
        <v>307</v>
      </c>
      <c r="E1988" s="1">
        <v>1110</v>
      </c>
      <c r="F1988" s="1">
        <v>100</v>
      </c>
      <c r="G1988" s="1" t="s">
        <v>6814</v>
      </c>
      <c r="H1988" s="234">
        <v>0.8</v>
      </c>
      <c r="I1988" s="235">
        <f>F1988*H1988</f>
        <v>80</v>
      </c>
      <c r="K1988" s="250">
        <f>0.71*100</f>
        <v>71</v>
      </c>
      <c r="N1988" s="235">
        <v>0</v>
      </c>
      <c r="O1988" s="235">
        <f t="shared" si="265"/>
        <v>80</v>
      </c>
      <c r="P1988" s="238" t="s">
        <v>6826</v>
      </c>
      <c r="Q1988" s="1" t="s">
        <v>1571</v>
      </c>
      <c r="R1988" s="239" t="s">
        <v>1570</v>
      </c>
      <c r="S1988" s="238">
        <v>13368068212</v>
      </c>
      <c r="T1988" s="238" t="s">
        <v>167</v>
      </c>
      <c r="U1988" s="238" t="s">
        <v>167</v>
      </c>
      <c r="V1988" s="238" t="s">
        <v>7024</v>
      </c>
      <c r="W1988" s="236">
        <v>33867.5</v>
      </c>
      <c r="X1988" s="233">
        <v>41418</v>
      </c>
      <c r="Y1988" s="238" t="s">
        <v>7025</v>
      </c>
      <c r="AB1988" s="5" t="s">
        <v>1561</v>
      </c>
    </row>
    <row r="1989" spans="1:28">
      <c r="A1989" s="233">
        <v>41407</v>
      </c>
      <c r="B1989" s="1" t="s">
        <v>1569</v>
      </c>
      <c r="C1989" s="1" t="s">
        <v>162</v>
      </c>
      <c r="D1989" s="1" t="s">
        <v>1867</v>
      </c>
      <c r="E1989" s="1">
        <v>6006</v>
      </c>
      <c r="F1989" s="1">
        <v>10</v>
      </c>
      <c r="G1989" s="1" t="s">
        <v>170</v>
      </c>
      <c r="H1989" s="234">
        <v>50.5</v>
      </c>
      <c r="I1989" s="235">
        <f>F1989*H1989</f>
        <v>505</v>
      </c>
      <c r="K1989" s="250">
        <f>47.5*10</f>
        <v>475</v>
      </c>
      <c r="N1989" s="1">
        <v>0</v>
      </c>
      <c r="O1989" s="235">
        <f t="shared" si="265"/>
        <v>505</v>
      </c>
      <c r="P1989" s="238" t="s">
        <v>6558</v>
      </c>
      <c r="Q1989" s="1" t="s">
        <v>1571</v>
      </c>
      <c r="R1989" s="239" t="s">
        <v>1570</v>
      </c>
      <c r="S1989" s="238">
        <v>13368068212</v>
      </c>
      <c r="T1989" s="238" t="s">
        <v>167</v>
      </c>
      <c r="U1989" s="238" t="s">
        <v>167</v>
      </c>
      <c r="V1989" s="238" t="s">
        <v>7024</v>
      </c>
      <c r="W1989" s="236">
        <v>33867.5</v>
      </c>
      <c r="X1989" s="233">
        <v>41418</v>
      </c>
      <c r="Y1989" s="238" t="s">
        <v>7025</v>
      </c>
      <c r="AB1989" s="5" t="s">
        <v>1561</v>
      </c>
    </row>
    <row r="1990" spans="1:28">
      <c r="A1990" s="233">
        <v>41408</v>
      </c>
      <c r="B1990" s="1" t="s">
        <v>1979</v>
      </c>
      <c r="C1990" s="1" t="s">
        <v>162</v>
      </c>
      <c r="D1990" s="398" t="s">
        <v>1760</v>
      </c>
      <c r="E1990" s="28" t="s">
        <v>234</v>
      </c>
      <c r="F1990" s="398">
        <v>876</v>
      </c>
      <c r="G1990" s="398" t="s">
        <v>170</v>
      </c>
      <c r="H1990" s="31">
        <v>1.1200000000000001</v>
      </c>
      <c r="I1990" s="235">
        <f>H1990*F1990</f>
        <v>981.12000000000012</v>
      </c>
      <c r="K1990" s="250">
        <f>876*1.08</f>
        <v>946.08</v>
      </c>
      <c r="N1990" s="1">
        <v>0</v>
      </c>
      <c r="O1990" s="236">
        <f t="shared" si="265"/>
        <v>981.12000000000012</v>
      </c>
      <c r="P1990" s="238" t="s">
        <v>6830</v>
      </c>
      <c r="Q1990" s="1" t="s">
        <v>1562</v>
      </c>
      <c r="R1990" s="265" t="s">
        <v>68</v>
      </c>
      <c r="S1990" s="265" t="s">
        <v>2973</v>
      </c>
      <c r="T1990" s="238" t="s">
        <v>67</v>
      </c>
      <c r="U1990" s="238" t="s">
        <v>167</v>
      </c>
      <c r="AB1990" s="1" t="s">
        <v>1561</v>
      </c>
    </row>
    <row r="1991" spans="1:28">
      <c r="A1991" s="233">
        <v>41408</v>
      </c>
      <c r="B1991" s="1" t="s">
        <v>2309</v>
      </c>
      <c r="C1991" s="1" t="s">
        <v>162</v>
      </c>
      <c r="D1991" s="1" t="s">
        <v>1219</v>
      </c>
      <c r="E1991" s="1" t="s">
        <v>779</v>
      </c>
      <c r="F1991" s="1">
        <v>2000</v>
      </c>
      <c r="G1991" s="1" t="s">
        <v>170</v>
      </c>
      <c r="H1991" s="234">
        <v>4.32</v>
      </c>
      <c r="I1991" s="235">
        <f>F1991*H1991</f>
        <v>8640</v>
      </c>
      <c r="J1991" s="352">
        <f>4.58*2000</f>
        <v>9160</v>
      </c>
      <c r="K1991" s="250">
        <f>3.96*2000</f>
        <v>7920</v>
      </c>
      <c r="L1991" s="237">
        <v>41411</v>
      </c>
      <c r="M1991" s="1" t="s">
        <v>166</v>
      </c>
      <c r="N1991" s="235">
        <f>I1991</f>
        <v>8640</v>
      </c>
      <c r="O1991" s="236">
        <f t="shared" si="265"/>
        <v>0</v>
      </c>
      <c r="P1991" s="238" t="s">
        <v>6821</v>
      </c>
      <c r="Q1991" s="1" t="s">
        <v>1562</v>
      </c>
      <c r="R1991" s="239" t="s">
        <v>3148</v>
      </c>
      <c r="S1991" s="238" t="s">
        <v>3149</v>
      </c>
      <c r="T1991" s="239" t="s">
        <v>167</v>
      </c>
      <c r="U1991" s="239" t="s">
        <v>167</v>
      </c>
      <c r="V1991" s="238" t="s">
        <v>6986</v>
      </c>
      <c r="W1991" s="236">
        <v>39344.81</v>
      </c>
      <c r="X1991" s="233">
        <v>41416</v>
      </c>
      <c r="Y1991" s="238" t="s">
        <v>1562</v>
      </c>
      <c r="AB1991" s="1" t="s">
        <v>1561</v>
      </c>
    </row>
    <row r="1992" spans="1:28">
      <c r="A1992" s="233">
        <v>41408</v>
      </c>
      <c r="B1992" s="1" t="s">
        <v>2362</v>
      </c>
      <c r="C1992" s="5" t="s">
        <v>162</v>
      </c>
      <c r="D1992" s="1" t="s">
        <v>232</v>
      </c>
      <c r="E1992" s="1" t="s">
        <v>186</v>
      </c>
      <c r="F1992" s="1">
        <v>400</v>
      </c>
      <c r="G1992" s="1" t="s">
        <v>6820</v>
      </c>
      <c r="H1992" s="234">
        <v>1.83</v>
      </c>
      <c r="I1992" s="235">
        <f>F1992*H1992</f>
        <v>732</v>
      </c>
      <c r="K1992" s="250">
        <f>1.54*400</f>
        <v>616</v>
      </c>
      <c r="L1992" s="237">
        <v>41408</v>
      </c>
      <c r="M1992" s="1" t="s">
        <v>166</v>
      </c>
      <c r="N1992" s="235">
        <f t="shared" ref="N1992:N1996" si="266">I1992</f>
        <v>732</v>
      </c>
      <c r="O1992" s="235">
        <f t="shared" si="265"/>
        <v>0</v>
      </c>
      <c r="P1992" s="238" t="s">
        <v>167</v>
      </c>
      <c r="Q1992" s="1" t="s">
        <v>4340</v>
      </c>
      <c r="R1992" s="239" t="s">
        <v>2364</v>
      </c>
      <c r="S1992" s="238" t="s">
        <v>3938</v>
      </c>
      <c r="T1992" s="238" t="s">
        <v>2273</v>
      </c>
      <c r="U1992" s="238" t="s">
        <v>6833</v>
      </c>
      <c r="AB1992" s="1" t="s">
        <v>1561</v>
      </c>
    </row>
    <row r="1993" spans="1:28">
      <c r="A1993" s="233">
        <v>41408</v>
      </c>
      <c r="B1993" s="1" t="s">
        <v>2362</v>
      </c>
      <c r="C1993" s="5" t="s">
        <v>162</v>
      </c>
      <c r="D1993" s="1" t="s">
        <v>307</v>
      </c>
      <c r="E1993" s="1">
        <v>1110</v>
      </c>
      <c r="F1993" s="1">
        <v>200</v>
      </c>
      <c r="G1993" s="1" t="s">
        <v>6814</v>
      </c>
      <c r="H1993" s="234">
        <v>0.73</v>
      </c>
      <c r="I1993" s="235">
        <f>F1993*H1993</f>
        <v>146</v>
      </c>
      <c r="K1993" s="250">
        <f>0.6*200</f>
        <v>120</v>
      </c>
      <c r="L1993" s="237">
        <v>41408</v>
      </c>
      <c r="M1993" s="1" t="s">
        <v>166</v>
      </c>
      <c r="N1993" s="235">
        <f t="shared" si="266"/>
        <v>146</v>
      </c>
      <c r="O1993" s="235">
        <f t="shared" si="265"/>
        <v>0</v>
      </c>
      <c r="P1993" s="238" t="s">
        <v>167</v>
      </c>
      <c r="Q1993" s="1" t="s">
        <v>4340</v>
      </c>
      <c r="R1993" s="239" t="s">
        <v>2364</v>
      </c>
      <c r="S1993" s="238" t="s">
        <v>3938</v>
      </c>
      <c r="T1993" s="238" t="s">
        <v>2273</v>
      </c>
      <c r="U1993" s="238" t="s">
        <v>6833</v>
      </c>
      <c r="AB1993" s="1" t="s">
        <v>1561</v>
      </c>
    </row>
    <row r="1994" spans="1:28">
      <c r="A1994" s="233">
        <v>41408</v>
      </c>
      <c r="B1994" s="1" t="s">
        <v>6224</v>
      </c>
      <c r="C1994" s="1" t="s">
        <v>162</v>
      </c>
      <c r="D1994" s="1" t="s">
        <v>6351</v>
      </c>
      <c r="E1994" s="1">
        <v>6100</v>
      </c>
      <c r="F1994" s="1">
        <v>15</v>
      </c>
      <c r="G1994" s="1" t="s">
        <v>170</v>
      </c>
      <c r="H1994" s="234">
        <v>55</v>
      </c>
      <c r="I1994" s="235">
        <f t="shared" ref="I1994:I1996" si="267">H1994*F1994</f>
        <v>825</v>
      </c>
      <c r="K1994" s="250">
        <f>48.4*15</f>
        <v>726</v>
      </c>
      <c r="L1994" s="237">
        <v>41410</v>
      </c>
      <c r="M1994" s="1" t="s">
        <v>165</v>
      </c>
      <c r="N1994" s="236">
        <f t="shared" si="266"/>
        <v>825</v>
      </c>
      <c r="O1994" s="235">
        <f t="shared" ref="O1994:O1996" si="268">I1994-N1994</f>
        <v>0</v>
      </c>
      <c r="P1994" s="238" t="s">
        <v>6751</v>
      </c>
      <c r="Q1994" s="1" t="s">
        <v>3664</v>
      </c>
      <c r="R1994" s="239" t="s">
        <v>6228</v>
      </c>
      <c r="S1994" s="238" t="s">
        <v>6227</v>
      </c>
      <c r="T1994" s="238" t="s">
        <v>2557</v>
      </c>
      <c r="U1994" s="238" t="s">
        <v>6832</v>
      </c>
      <c r="V1994" s="238" t="s">
        <v>6894</v>
      </c>
      <c r="W1994" s="236">
        <v>10385.75</v>
      </c>
      <c r="X1994" s="233">
        <v>41410</v>
      </c>
      <c r="Y1994" s="238" t="s">
        <v>6895</v>
      </c>
      <c r="AB1994" s="1" t="s">
        <v>1561</v>
      </c>
    </row>
    <row r="1995" spans="1:28">
      <c r="A1995" s="233">
        <v>41408</v>
      </c>
      <c r="B1995" s="1" t="s">
        <v>6224</v>
      </c>
      <c r="C1995" s="1" t="s">
        <v>162</v>
      </c>
      <c r="D1995" s="1" t="s">
        <v>240</v>
      </c>
      <c r="E1995" s="1">
        <v>6200</v>
      </c>
      <c r="F1995" s="1">
        <v>5</v>
      </c>
      <c r="G1995" s="1" t="s">
        <v>170</v>
      </c>
      <c r="H1995" s="234">
        <v>48.5</v>
      </c>
      <c r="I1995" s="235">
        <f t="shared" si="267"/>
        <v>242.5</v>
      </c>
      <c r="K1995" s="250">
        <f>44.5*5</f>
        <v>222.5</v>
      </c>
      <c r="L1995" s="237">
        <v>41410</v>
      </c>
      <c r="M1995" s="1" t="s">
        <v>165</v>
      </c>
      <c r="N1995" s="236">
        <f t="shared" si="266"/>
        <v>242.5</v>
      </c>
      <c r="O1995" s="235">
        <f t="shared" si="268"/>
        <v>0</v>
      </c>
      <c r="P1995" s="238" t="s">
        <v>6751</v>
      </c>
      <c r="Q1995" s="1" t="s">
        <v>3664</v>
      </c>
      <c r="R1995" s="239" t="s">
        <v>6228</v>
      </c>
      <c r="S1995" s="238" t="s">
        <v>6227</v>
      </c>
      <c r="T1995" s="238" t="s">
        <v>2557</v>
      </c>
      <c r="U1995" s="238" t="s">
        <v>6832</v>
      </c>
      <c r="V1995" s="238" t="s">
        <v>6894</v>
      </c>
      <c r="W1995" s="236">
        <v>10385.75</v>
      </c>
      <c r="X1995" s="233">
        <v>41410</v>
      </c>
      <c r="Y1995" s="238" t="s">
        <v>6895</v>
      </c>
      <c r="AB1995" s="1" t="s">
        <v>1561</v>
      </c>
    </row>
    <row r="1996" spans="1:28">
      <c r="A1996" s="233">
        <v>41408</v>
      </c>
      <c r="B1996" s="1" t="s">
        <v>6224</v>
      </c>
      <c r="C1996" s="1" t="s">
        <v>162</v>
      </c>
      <c r="D1996" s="5" t="s">
        <v>1223</v>
      </c>
      <c r="E1996" s="1">
        <v>6009</v>
      </c>
      <c r="F1996" s="1">
        <v>100</v>
      </c>
      <c r="G1996" s="1" t="s">
        <v>170</v>
      </c>
      <c r="H1996" s="234">
        <v>45</v>
      </c>
      <c r="I1996" s="235">
        <f t="shared" si="267"/>
        <v>4500</v>
      </c>
      <c r="K1996" s="250">
        <f>43.28*100</f>
        <v>4328</v>
      </c>
      <c r="L1996" s="237">
        <v>41410</v>
      </c>
      <c r="M1996" s="1" t="s">
        <v>165</v>
      </c>
      <c r="N1996" s="236">
        <f t="shared" si="266"/>
        <v>4500</v>
      </c>
      <c r="O1996" s="235">
        <f t="shared" si="268"/>
        <v>0</v>
      </c>
      <c r="P1996" s="238" t="s">
        <v>6751</v>
      </c>
      <c r="Q1996" s="1" t="s">
        <v>3664</v>
      </c>
      <c r="R1996" s="239" t="s">
        <v>6228</v>
      </c>
      <c r="S1996" s="238" t="s">
        <v>6227</v>
      </c>
      <c r="T1996" s="238" t="s">
        <v>2557</v>
      </c>
      <c r="U1996" s="238" t="s">
        <v>6832</v>
      </c>
      <c r="V1996" s="238" t="s">
        <v>6894</v>
      </c>
      <c r="W1996" s="236">
        <v>10385.75</v>
      </c>
      <c r="X1996" s="233">
        <v>41410</v>
      </c>
      <c r="Y1996" s="238" t="s">
        <v>6895</v>
      </c>
      <c r="AB1996" s="1" t="s">
        <v>1561</v>
      </c>
    </row>
    <row r="1997" spans="1:28">
      <c r="A1997" s="233">
        <v>41408</v>
      </c>
      <c r="B1997" s="1" t="s">
        <v>1995</v>
      </c>
      <c r="C1997" s="5" t="s">
        <v>833</v>
      </c>
      <c r="D1997" s="1" t="s">
        <v>1213</v>
      </c>
      <c r="E1997" s="5" t="s">
        <v>127</v>
      </c>
      <c r="F1997" s="1">
        <v>50</v>
      </c>
      <c r="G1997" s="1" t="s">
        <v>172</v>
      </c>
      <c r="H1997" s="234">
        <v>21</v>
      </c>
      <c r="I1997" s="235">
        <f t="shared" ref="I1997" si="269">F1997*H1997</f>
        <v>1050</v>
      </c>
      <c r="K1997" s="250">
        <f>12.4*50</f>
        <v>620</v>
      </c>
      <c r="L1997" s="237">
        <v>41408</v>
      </c>
      <c r="M1997" s="1" t="s">
        <v>166</v>
      </c>
      <c r="N1997" s="1">
        <f>I1997</f>
        <v>1050</v>
      </c>
      <c r="O1997" s="236">
        <f t="shared" ref="O1997" si="270">I1997-N1997</f>
        <v>0</v>
      </c>
      <c r="P1997" s="238" t="s">
        <v>6806</v>
      </c>
      <c r="Q1997" s="1" t="s">
        <v>726</v>
      </c>
      <c r="R1997" s="239" t="s">
        <v>3565</v>
      </c>
      <c r="S1997" s="238" t="s">
        <v>957</v>
      </c>
      <c r="T1997" s="238" t="s">
        <v>958</v>
      </c>
      <c r="U1997" s="238" t="s">
        <v>6834</v>
      </c>
      <c r="AB1997" s="1" t="s">
        <v>1561</v>
      </c>
    </row>
    <row r="1998" spans="1:28">
      <c r="A1998" s="233">
        <v>41408</v>
      </c>
      <c r="B1998" s="1" t="s">
        <v>1979</v>
      </c>
      <c r="C1998" s="1" t="s">
        <v>162</v>
      </c>
      <c r="D1998" s="5" t="s">
        <v>353</v>
      </c>
      <c r="E1998" s="1" t="s">
        <v>22</v>
      </c>
      <c r="F1998" s="1">
        <v>100</v>
      </c>
      <c r="G1998" s="399" t="s">
        <v>170</v>
      </c>
      <c r="H1998" s="234">
        <v>12.68</v>
      </c>
      <c r="I1998" s="235">
        <f t="shared" ref="I1998:I2006" si="271">F1998*H1998</f>
        <v>1268</v>
      </c>
      <c r="K1998" s="250">
        <f>10.94*50+12.55*50</f>
        <v>1174.5</v>
      </c>
      <c r="N1998" s="1">
        <v>0</v>
      </c>
      <c r="O1998" s="236">
        <f t="shared" ref="O1998:O2006" si="272">I1998-N1998</f>
        <v>1268</v>
      </c>
      <c r="P1998" s="238" t="s">
        <v>6835</v>
      </c>
      <c r="Q1998" s="1" t="s">
        <v>1562</v>
      </c>
      <c r="R1998" s="265" t="s">
        <v>68</v>
      </c>
      <c r="S1998" s="265" t="s">
        <v>2973</v>
      </c>
      <c r="T1998" s="238" t="s">
        <v>67</v>
      </c>
      <c r="U1998" s="238" t="s">
        <v>167</v>
      </c>
      <c r="AB1998" s="1" t="s">
        <v>1561</v>
      </c>
    </row>
    <row r="1999" spans="1:28">
      <c r="A1999" s="233">
        <v>41409</v>
      </c>
      <c r="B1999" s="1" t="s">
        <v>3053</v>
      </c>
      <c r="C1999" s="1" t="s">
        <v>162</v>
      </c>
      <c r="D1999" s="5" t="s">
        <v>2012</v>
      </c>
      <c r="E1999" s="1" t="s">
        <v>180</v>
      </c>
      <c r="F1999" s="1">
        <v>300</v>
      </c>
      <c r="G1999" s="1" t="s">
        <v>170</v>
      </c>
      <c r="H1999" s="234">
        <v>1.8</v>
      </c>
      <c r="I1999" s="235">
        <f t="shared" si="271"/>
        <v>540</v>
      </c>
      <c r="K1999" s="250">
        <f>1.44*300</f>
        <v>432</v>
      </c>
      <c r="L1999" s="237">
        <v>41409</v>
      </c>
      <c r="M1999" s="1" t="s">
        <v>698</v>
      </c>
      <c r="N1999" s="235">
        <f t="shared" ref="N1999:N2001" si="273">I1999</f>
        <v>540</v>
      </c>
      <c r="O1999" s="235">
        <f t="shared" si="272"/>
        <v>0</v>
      </c>
      <c r="P1999" s="238" t="s">
        <v>6838</v>
      </c>
      <c r="Q1999" s="5" t="s">
        <v>1562</v>
      </c>
      <c r="R1999" s="239" t="s">
        <v>167</v>
      </c>
      <c r="S1999" s="238" t="s">
        <v>167</v>
      </c>
      <c r="T1999" s="238" t="s">
        <v>167</v>
      </c>
      <c r="U1999" s="238" t="s">
        <v>167</v>
      </c>
      <c r="AB1999" s="5" t="s">
        <v>1561</v>
      </c>
    </row>
    <row r="2000" spans="1:28">
      <c r="A2000" s="233">
        <v>41409</v>
      </c>
      <c r="B2000" s="5" t="s">
        <v>2105</v>
      </c>
      <c r="C2000" s="1" t="s">
        <v>162</v>
      </c>
      <c r="D2000" s="5" t="s">
        <v>983</v>
      </c>
      <c r="E2000" s="1">
        <v>6800</v>
      </c>
      <c r="F2000" s="1">
        <v>4</v>
      </c>
      <c r="G2000" s="1" t="s">
        <v>170</v>
      </c>
      <c r="H2000" s="234">
        <v>462</v>
      </c>
      <c r="I2000" s="235">
        <f t="shared" si="271"/>
        <v>1848</v>
      </c>
      <c r="K2000" s="250">
        <f>420*4</f>
        <v>1680</v>
      </c>
      <c r="L2000" s="237">
        <v>41419</v>
      </c>
      <c r="M2000" s="1" t="s">
        <v>165</v>
      </c>
      <c r="N2000" s="235">
        <f t="shared" si="273"/>
        <v>1848</v>
      </c>
      <c r="O2000" s="236">
        <f t="shared" si="272"/>
        <v>0</v>
      </c>
      <c r="P2000" s="238" t="s">
        <v>6841</v>
      </c>
      <c r="Q2000" s="1" t="s">
        <v>3647</v>
      </c>
      <c r="R2000" s="247" t="s">
        <v>2470</v>
      </c>
      <c r="S2000" s="246" t="s">
        <v>2103</v>
      </c>
      <c r="T2000" s="246" t="s">
        <v>3694</v>
      </c>
      <c r="U2000" s="238" t="s">
        <v>6855</v>
      </c>
      <c r="V2000" s="238" t="s">
        <v>175</v>
      </c>
      <c r="AB2000" s="1" t="s">
        <v>1561</v>
      </c>
    </row>
    <row r="2001" spans="1:28">
      <c r="A2001" s="233">
        <v>41409</v>
      </c>
      <c r="B2001" s="5" t="s">
        <v>2105</v>
      </c>
      <c r="C2001" s="1" t="s">
        <v>162</v>
      </c>
      <c r="D2001" s="1" t="s">
        <v>6840</v>
      </c>
      <c r="E2001" s="1">
        <v>501</v>
      </c>
      <c r="F2001" s="1">
        <v>10</v>
      </c>
      <c r="G2001" s="1" t="s">
        <v>170</v>
      </c>
      <c r="H2001" s="234">
        <v>2</v>
      </c>
      <c r="I2001" s="235">
        <f t="shared" si="271"/>
        <v>20</v>
      </c>
      <c r="K2001" s="250">
        <f>1.4*10</f>
        <v>14</v>
      </c>
      <c r="L2001" s="237">
        <v>41419</v>
      </c>
      <c r="M2001" s="1" t="s">
        <v>165</v>
      </c>
      <c r="N2001" s="235">
        <f t="shared" si="273"/>
        <v>20</v>
      </c>
      <c r="O2001" s="236">
        <f t="shared" si="272"/>
        <v>0</v>
      </c>
      <c r="P2001" s="238" t="s">
        <v>6841</v>
      </c>
      <c r="Q2001" s="1" t="s">
        <v>3647</v>
      </c>
      <c r="R2001" s="247" t="s">
        <v>2470</v>
      </c>
      <c r="S2001" s="246" t="s">
        <v>2103</v>
      </c>
      <c r="T2001" s="246" t="s">
        <v>3694</v>
      </c>
      <c r="U2001" s="238" t="s">
        <v>6855</v>
      </c>
      <c r="V2001" s="238" t="s">
        <v>175</v>
      </c>
      <c r="AB2001" s="1" t="s">
        <v>1561</v>
      </c>
    </row>
    <row r="2002" spans="1:28">
      <c r="A2002" s="233">
        <v>41409</v>
      </c>
      <c r="B2002" s="1" t="s">
        <v>610</v>
      </c>
      <c r="C2002" s="1" t="s">
        <v>162</v>
      </c>
      <c r="D2002" s="5" t="s">
        <v>2012</v>
      </c>
      <c r="E2002" s="1" t="s">
        <v>180</v>
      </c>
      <c r="F2002" s="5">
        <v>500</v>
      </c>
      <c r="G2002" s="1" t="s">
        <v>170</v>
      </c>
      <c r="H2002" s="234">
        <v>1.65</v>
      </c>
      <c r="I2002" s="235">
        <f t="shared" si="271"/>
        <v>825</v>
      </c>
      <c r="K2002" s="250">
        <f>1.55*500</f>
        <v>775</v>
      </c>
      <c r="L2002" s="237">
        <v>41409</v>
      </c>
      <c r="M2002" s="1" t="s">
        <v>165</v>
      </c>
      <c r="N2002" s="235">
        <f t="shared" ref="N2002:N2003" si="274">I2002</f>
        <v>825</v>
      </c>
      <c r="O2002" s="235">
        <f t="shared" si="272"/>
        <v>0</v>
      </c>
      <c r="P2002" s="238" t="s">
        <v>6844</v>
      </c>
      <c r="Q2002" s="1" t="s">
        <v>6853</v>
      </c>
      <c r="R2002" s="239" t="s">
        <v>612</v>
      </c>
      <c r="S2002" s="238" t="s">
        <v>613</v>
      </c>
      <c r="T2002" s="238" t="s">
        <v>2285</v>
      </c>
      <c r="U2002" s="238" t="s">
        <v>6854</v>
      </c>
      <c r="V2002" s="238" t="s">
        <v>175</v>
      </c>
      <c r="AB2002" s="1" t="s">
        <v>2064</v>
      </c>
    </row>
    <row r="2003" spans="1:28">
      <c r="A2003" s="233">
        <v>41409</v>
      </c>
      <c r="B2003" s="1" t="s">
        <v>2355</v>
      </c>
      <c r="C2003" s="1" t="s">
        <v>162</v>
      </c>
      <c r="D2003" s="1" t="s">
        <v>356</v>
      </c>
      <c r="E2003" s="1" t="s">
        <v>173</v>
      </c>
      <c r="F2003" s="1">
        <v>30</v>
      </c>
      <c r="G2003" s="1" t="s">
        <v>6845</v>
      </c>
      <c r="H2003" s="234">
        <v>16.100000000000001</v>
      </c>
      <c r="I2003" s="235">
        <f t="shared" si="271"/>
        <v>483.00000000000006</v>
      </c>
      <c r="K2003" s="250">
        <f>11.78*27+14.1*3</f>
        <v>360.36</v>
      </c>
      <c r="L2003" s="237">
        <v>41409</v>
      </c>
      <c r="M2003" s="1" t="s">
        <v>698</v>
      </c>
      <c r="N2003" s="1">
        <f t="shared" si="274"/>
        <v>483.00000000000006</v>
      </c>
      <c r="O2003" s="236">
        <f t="shared" si="272"/>
        <v>0</v>
      </c>
      <c r="P2003" s="238" t="s">
        <v>6846</v>
      </c>
      <c r="Q2003" s="1" t="s">
        <v>1562</v>
      </c>
      <c r="R2003" s="239" t="s">
        <v>167</v>
      </c>
      <c r="S2003" s="238" t="s">
        <v>167</v>
      </c>
      <c r="T2003" s="238" t="s">
        <v>167</v>
      </c>
      <c r="U2003" s="238" t="s">
        <v>1562</v>
      </c>
      <c r="AB2003" s="1" t="s">
        <v>1561</v>
      </c>
    </row>
    <row r="2004" spans="1:28">
      <c r="A2004" s="233">
        <v>41409</v>
      </c>
      <c r="B2004" s="1" t="s">
        <v>1979</v>
      </c>
      <c r="C2004" s="1" t="s">
        <v>162</v>
      </c>
      <c r="D2004" s="5" t="s">
        <v>346</v>
      </c>
      <c r="E2004" s="1">
        <v>3700</v>
      </c>
      <c r="F2004" s="1">
        <v>40</v>
      </c>
      <c r="G2004" s="399" t="s">
        <v>170</v>
      </c>
      <c r="H2004" s="234">
        <v>3.83</v>
      </c>
      <c r="I2004" s="235">
        <f t="shared" si="271"/>
        <v>153.19999999999999</v>
      </c>
      <c r="K2004" s="250">
        <f>3.65*40</f>
        <v>146</v>
      </c>
      <c r="N2004" s="1">
        <v>0</v>
      </c>
      <c r="O2004" s="236">
        <f t="shared" si="272"/>
        <v>153.19999999999999</v>
      </c>
      <c r="P2004" s="238" t="s">
        <v>6849</v>
      </c>
      <c r="Q2004" s="1" t="s">
        <v>1562</v>
      </c>
      <c r="R2004" s="265" t="s">
        <v>68</v>
      </c>
      <c r="S2004" s="265" t="s">
        <v>2973</v>
      </c>
      <c r="T2004" s="238" t="s">
        <v>67</v>
      </c>
      <c r="U2004" s="238" t="s">
        <v>167</v>
      </c>
      <c r="AB2004" s="1" t="s">
        <v>1561</v>
      </c>
    </row>
    <row r="2005" spans="1:28">
      <c r="A2005" s="233">
        <v>41409</v>
      </c>
      <c r="B2005" s="1" t="s">
        <v>1979</v>
      </c>
      <c r="C2005" s="1" t="s">
        <v>162</v>
      </c>
      <c r="D2005" s="5" t="s">
        <v>346</v>
      </c>
      <c r="E2005" s="1">
        <v>3700</v>
      </c>
      <c r="F2005" s="1">
        <v>9</v>
      </c>
      <c r="G2005" s="399" t="s">
        <v>170</v>
      </c>
      <c r="H2005" s="234">
        <v>3.83</v>
      </c>
      <c r="I2005" s="235">
        <f t="shared" si="271"/>
        <v>34.47</v>
      </c>
      <c r="K2005" s="250">
        <f>3.65*9</f>
        <v>32.85</v>
      </c>
      <c r="N2005" s="1">
        <v>0</v>
      </c>
      <c r="O2005" s="236">
        <f t="shared" si="272"/>
        <v>34.47</v>
      </c>
      <c r="P2005" s="238" t="s">
        <v>6850</v>
      </c>
      <c r="Q2005" s="1" t="s">
        <v>1562</v>
      </c>
      <c r="R2005" s="265" t="s">
        <v>68</v>
      </c>
      <c r="S2005" s="265" t="s">
        <v>2973</v>
      </c>
      <c r="T2005" s="238" t="s">
        <v>67</v>
      </c>
      <c r="U2005" s="238" t="s">
        <v>167</v>
      </c>
      <c r="AB2005" s="1" t="s">
        <v>1561</v>
      </c>
    </row>
    <row r="2006" spans="1:28">
      <c r="A2006" s="233">
        <v>41409</v>
      </c>
      <c r="B2006" s="1" t="s">
        <v>1979</v>
      </c>
      <c r="C2006" s="1" t="s">
        <v>162</v>
      </c>
      <c r="D2006" s="1" t="s">
        <v>6848</v>
      </c>
      <c r="E2006" s="1" t="s">
        <v>6842</v>
      </c>
      <c r="F2006" s="1">
        <v>200</v>
      </c>
      <c r="G2006" s="399" t="s">
        <v>170</v>
      </c>
      <c r="H2006" s="234">
        <v>1.8</v>
      </c>
      <c r="I2006" s="235">
        <f t="shared" si="271"/>
        <v>360</v>
      </c>
      <c r="K2006" s="250">
        <f>1.68*200</f>
        <v>336</v>
      </c>
      <c r="N2006" s="1">
        <v>0</v>
      </c>
      <c r="O2006" s="236">
        <f t="shared" si="272"/>
        <v>360</v>
      </c>
      <c r="P2006" s="238" t="s">
        <v>6851</v>
      </c>
      <c r="Q2006" s="1" t="s">
        <v>1562</v>
      </c>
      <c r="R2006" s="265" t="s">
        <v>68</v>
      </c>
      <c r="S2006" s="265" t="s">
        <v>2973</v>
      </c>
      <c r="T2006" s="238" t="s">
        <v>67</v>
      </c>
      <c r="U2006" s="238" t="s">
        <v>167</v>
      </c>
      <c r="AB2006" s="1" t="s">
        <v>1561</v>
      </c>
    </row>
    <row r="2007" spans="1:28">
      <c r="A2007" s="233">
        <v>41410</v>
      </c>
      <c r="B2007" s="1" t="s">
        <v>1979</v>
      </c>
      <c r="C2007" s="1" t="s">
        <v>162</v>
      </c>
      <c r="D2007" s="1" t="s">
        <v>2023</v>
      </c>
      <c r="E2007" s="1" t="s">
        <v>6866</v>
      </c>
      <c r="F2007" s="1">
        <v>500</v>
      </c>
      <c r="G2007" s="401" t="s">
        <v>170</v>
      </c>
      <c r="H2007" s="234">
        <v>4.12</v>
      </c>
      <c r="I2007" s="235">
        <f>F2007*H2007</f>
        <v>2060</v>
      </c>
      <c r="K2007" s="250">
        <f>3.96*500</f>
        <v>1980</v>
      </c>
      <c r="N2007" s="1">
        <v>0</v>
      </c>
      <c r="O2007" s="236">
        <f t="shared" ref="O2007:O2009" si="275">I2007-N2007</f>
        <v>2060</v>
      </c>
      <c r="P2007" s="238" t="s">
        <v>6868</v>
      </c>
      <c r="Q2007" s="1" t="s">
        <v>2505</v>
      </c>
      <c r="R2007" s="265" t="s">
        <v>68</v>
      </c>
      <c r="S2007" s="265" t="s">
        <v>2973</v>
      </c>
      <c r="T2007" s="238" t="s">
        <v>67</v>
      </c>
      <c r="U2007" s="238" t="s">
        <v>167</v>
      </c>
      <c r="AB2007" s="1" t="s">
        <v>1561</v>
      </c>
    </row>
    <row r="2008" spans="1:28">
      <c r="A2008" s="233">
        <v>41410</v>
      </c>
      <c r="B2008" s="1" t="s">
        <v>1979</v>
      </c>
      <c r="C2008" s="1" t="s">
        <v>162</v>
      </c>
      <c r="D2008" s="401" t="s">
        <v>702</v>
      </c>
      <c r="E2008" s="1" t="s">
        <v>6867</v>
      </c>
      <c r="F2008" s="1">
        <v>4447</v>
      </c>
      <c r="G2008" s="401" t="s">
        <v>170</v>
      </c>
      <c r="H2008" s="234">
        <v>2.5499999999999998</v>
      </c>
      <c r="I2008" s="235">
        <f>F2008*H2008</f>
        <v>11339.849999999999</v>
      </c>
      <c r="K2008" s="250">
        <f>2.45*4447</f>
        <v>10895.150000000001</v>
      </c>
      <c r="N2008" s="1">
        <v>0</v>
      </c>
      <c r="O2008" s="236">
        <f t="shared" si="275"/>
        <v>11339.849999999999</v>
      </c>
      <c r="P2008" s="238" t="s">
        <v>6868</v>
      </c>
      <c r="Q2008" s="1" t="s">
        <v>2505</v>
      </c>
      <c r="R2008" s="265" t="s">
        <v>68</v>
      </c>
      <c r="S2008" s="265" t="s">
        <v>2973</v>
      </c>
      <c r="T2008" s="238" t="s">
        <v>67</v>
      </c>
      <c r="U2008" s="238" t="s">
        <v>167</v>
      </c>
      <c r="AB2008" s="1" t="s">
        <v>1561</v>
      </c>
    </row>
    <row r="2009" spans="1:28">
      <c r="A2009" s="233">
        <v>41411</v>
      </c>
      <c r="B2009" s="1" t="s">
        <v>1979</v>
      </c>
      <c r="C2009" s="1" t="s">
        <v>162</v>
      </c>
      <c r="D2009" s="1" t="s">
        <v>2023</v>
      </c>
      <c r="E2009" s="1" t="s">
        <v>6866</v>
      </c>
      <c r="F2009" s="1">
        <v>175</v>
      </c>
      <c r="G2009" s="401" t="s">
        <v>170</v>
      </c>
      <c r="H2009" s="234">
        <v>4.12</v>
      </c>
      <c r="I2009" s="235">
        <f>F2009*H2009</f>
        <v>721</v>
      </c>
      <c r="K2009" s="250">
        <f>3.96*175</f>
        <v>693</v>
      </c>
      <c r="N2009" s="1">
        <v>0</v>
      </c>
      <c r="O2009" s="236">
        <f t="shared" si="275"/>
        <v>721</v>
      </c>
      <c r="P2009" s="238" t="s">
        <v>6869</v>
      </c>
      <c r="Q2009" s="1" t="s">
        <v>1562</v>
      </c>
      <c r="R2009" s="265" t="s">
        <v>68</v>
      </c>
      <c r="S2009" s="265" t="s">
        <v>2973</v>
      </c>
      <c r="T2009" s="238" t="s">
        <v>67</v>
      </c>
      <c r="U2009" s="238" t="s">
        <v>167</v>
      </c>
      <c r="AB2009" s="1" t="s">
        <v>1561</v>
      </c>
    </row>
    <row r="2010" spans="1:28">
      <c r="A2010" s="233">
        <v>41411</v>
      </c>
      <c r="B2010" s="136" t="s">
        <v>4062</v>
      </c>
      <c r="C2010" s="1" t="s">
        <v>162</v>
      </c>
      <c r="D2010" s="5" t="s">
        <v>4582</v>
      </c>
      <c r="E2010" s="1" t="s">
        <v>1847</v>
      </c>
      <c r="F2010" s="1">
        <v>28</v>
      </c>
      <c r="G2010" s="1" t="s">
        <v>170</v>
      </c>
      <c r="H2010" s="234">
        <v>40.6</v>
      </c>
      <c r="I2010" s="235">
        <f t="shared" ref="I2010" si="276">F2010*H2010</f>
        <v>1136.8</v>
      </c>
      <c r="K2010" s="250">
        <f>29.22*28</f>
        <v>818.16</v>
      </c>
      <c r="N2010" s="235">
        <v>0</v>
      </c>
      <c r="O2010" s="235">
        <f t="shared" ref="O2010" si="277">I2010-N2010</f>
        <v>1136.8</v>
      </c>
      <c r="P2010" s="238" t="s">
        <v>6914</v>
      </c>
      <c r="Q2010" s="1" t="s">
        <v>5212</v>
      </c>
      <c r="R2010" s="239" t="s">
        <v>4586</v>
      </c>
      <c r="S2010" s="238" t="s">
        <v>4587</v>
      </c>
      <c r="T2010" s="238" t="s">
        <v>4195</v>
      </c>
      <c r="U2010" s="238" t="s">
        <v>6862</v>
      </c>
      <c r="V2010" s="238" t="s">
        <v>6861</v>
      </c>
      <c r="W2010" s="236">
        <v>6457</v>
      </c>
      <c r="X2010" s="233">
        <v>41410</v>
      </c>
      <c r="Y2010" s="238" t="s">
        <v>6862</v>
      </c>
      <c r="AB2010" s="1" t="s">
        <v>2064</v>
      </c>
    </row>
    <row r="2011" spans="1:28">
      <c r="A2011" s="233">
        <v>41411</v>
      </c>
      <c r="B2011" s="136" t="s">
        <v>5974</v>
      </c>
      <c r="C2011" s="1" t="s">
        <v>6864</v>
      </c>
      <c r="D2011" s="1" t="s">
        <v>6836</v>
      </c>
      <c r="E2011" s="1" t="s">
        <v>6865</v>
      </c>
      <c r="F2011" s="1">
        <v>15</v>
      </c>
      <c r="G2011" s="1" t="s">
        <v>170</v>
      </c>
      <c r="H2011" s="234">
        <v>78</v>
      </c>
      <c r="I2011" s="235">
        <f>F2011*H2011</f>
        <v>1170</v>
      </c>
      <c r="K2011" s="250">
        <f>55*15</f>
        <v>825</v>
      </c>
      <c r="N2011" s="235">
        <v>0</v>
      </c>
      <c r="O2011" s="236">
        <f>I2011-N2011</f>
        <v>1170</v>
      </c>
      <c r="P2011" s="238" t="s">
        <v>6852</v>
      </c>
      <c r="Q2011" s="1" t="s">
        <v>2505</v>
      </c>
      <c r="R2011" s="239" t="s">
        <v>5318</v>
      </c>
      <c r="S2011" s="238" t="s">
        <v>5319</v>
      </c>
      <c r="T2011" s="238" t="s">
        <v>5317</v>
      </c>
      <c r="U2011" s="238" t="s">
        <v>167</v>
      </c>
      <c r="V2011" s="238" t="s">
        <v>6858</v>
      </c>
      <c r="W2011" s="236">
        <v>10988</v>
      </c>
      <c r="X2011" s="233">
        <v>41410</v>
      </c>
      <c r="AB2011" s="1" t="s">
        <v>2064</v>
      </c>
    </row>
    <row r="2012" spans="1:28">
      <c r="A2012" s="233">
        <v>41411</v>
      </c>
      <c r="B2012" s="1" t="s">
        <v>2174</v>
      </c>
      <c r="C2012" s="1" t="s">
        <v>162</v>
      </c>
      <c r="D2012" s="5" t="s">
        <v>5069</v>
      </c>
      <c r="E2012" s="401" t="s">
        <v>5068</v>
      </c>
      <c r="F2012" s="401">
        <v>5</v>
      </c>
      <c r="G2012" s="401" t="s">
        <v>172</v>
      </c>
      <c r="H2012" s="234">
        <v>14</v>
      </c>
      <c r="I2012" s="235">
        <f>F2012*H2012</f>
        <v>70</v>
      </c>
      <c r="K2012" s="250">
        <f>12.06*5</f>
        <v>60.300000000000004</v>
      </c>
      <c r="L2012" s="237">
        <v>41411</v>
      </c>
      <c r="M2012" s="1" t="s">
        <v>698</v>
      </c>
      <c r="N2012" s="235">
        <f t="shared" ref="N2012:N2013" si="278">I2012</f>
        <v>70</v>
      </c>
      <c r="O2012" s="236">
        <f t="shared" ref="O2012:O2013" si="279">I2012-N2012</f>
        <v>0</v>
      </c>
      <c r="P2012" s="238" t="s">
        <v>6872</v>
      </c>
      <c r="Q2012" s="1" t="s">
        <v>2505</v>
      </c>
      <c r="R2012" s="239" t="s">
        <v>2176</v>
      </c>
      <c r="S2012" s="238" t="s">
        <v>2177</v>
      </c>
      <c r="T2012" s="238" t="s">
        <v>3533</v>
      </c>
      <c r="U2012" s="238" t="s">
        <v>167</v>
      </c>
      <c r="AB2012" s="5" t="s">
        <v>1561</v>
      </c>
    </row>
    <row r="2013" spans="1:28">
      <c r="A2013" s="233">
        <v>41411</v>
      </c>
      <c r="B2013" s="1" t="s">
        <v>2174</v>
      </c>
      <c r="C2013" s="1" t="s">
        <v>162</v>
      </c>
      <c r="D2013" s="401" t="s">
        <v>5047</v>
      </c>
      <c r="E2013" s="1">
        <v>8210</v>
      </c>
      <c r="F2013" s="1">
        <v>50</v>
      </c>
      <c r="G2013" s="1" t="s">
        <v>6871</v>
      </c>
      <c r="H2013" s="234">
        <v>4.5</v>
      </c>
      <c r="I2013" s="235">
        <f>F2013*H2013</f>
        <v>225</v>
      </c>
      <c r="K2013" s="250">
        <f>3.78*50</f>
        <v>189</v>
      </c>
      <c r="L2013" s="237">
        <v>41411</v>
      </c>
      <c r="M2013" s="1" t="s">
        <v>698</v>
      </c>
      <c r="N2013" s="235">
        <f t="shared" si="278"/>
        <v>225</v>
      </c>
      <c r="O2013" s="236">
        <f t="shared" si="279"/>
        <v>0</v>
      </c>
      <c r="P2013" s="238" t="s">
        <v>6872</v>
      </c>
      <c r="Q2013" s="1" t="s">
        <v>2505</v>
      </c>
      <c r="R2013" s="239" t="s">
        <v>2176</v>
      </c>
      <c r="S2013" s="238" t="s">
        <v>2177</v>
      </c>
      <c r="T2013" s="238" t="s">
        <v>3533</v>
      </c>
      <c r="U2013" s="238" t="s">
        <v>167</v>
      </c>
      <c r="AB2013" s="5" t="s">
        <v>1561</v>
      </c>
    </row>
    <row r="2014" spans="1:28">
      <c r="A2014" s="233">
        <v>41411</v>
      </c>
      <c r="B2014" s="1" t="s">
        <v>1569</v>
      </c>
      <c r="C2014" s="220" t="s">
        <v>7</v>
      </c>
      <c r="D2014" s="95" t="s">
        <v>5008</v>
      </c>
      <c r="E2014" s="28" t="s">
        <v>855</v>
      </c>
      <c r="F2014" s="401">
        <f>144*8</f>
        <v>1152</v>
      </c>
      <c r="G2014" s="401" t="s">
        <v>827</v>
      </c>
      <c r="H2014" s="234">
        <v>10</v>
      </c>
      <c r="I2014" s="235">
        <f t="shared" ref="I2014" si="280">H2014*F2014</f>
        <v>11520</v>
      </c>
      <c r="K2014" s="250">
        <f>9.84*1152</f>
        <v>11335.68</v>
      </c>
      <c r="N2014" s="1">
        <v>0</v>
      </c>
      <c r="O2014" s="236">
        <f t="shared" ref="O2014:O2022" si="281">I2014-N2014</f>
        <v>11520</v>
      </c>
      <c r="P2014" s="238" t="s">
        <v>6558</v>
      </c>
      <c r="Q2014" s="1" t="s">
        <v>1571</v>
      </c>
      <c r="R2014" s="239" t="s">
        <v>1570</v>
      </c>
      <c r="S2014" s="238">
        <v>13368068212</v>
      </c>
      <c r="T2014" s="238" t="s">
        <v>167</v>
      </c>
      <c r="U2014" s="238" t="s">
        <v>167</v>
      </c>
      <c r="AB2014" s="5" t="s">
        <v>1561</v>
      </c>
    </row>
    <row r="2015" spans="1:28">
      <c r="A2015" s="233">
        <v>41411</v>
      </c>
      <c r="B2015" s="1" t="s">
        <v>2174</v>
      </c>
      <c r="C2015" s="1" t="s">
        <v>162</v>
      </c>
      <c r="D2015" s="1" t="s">
        <v>287</v>
      </c>
      <c r="E2015" s="1">
        <v>10434</v>
      </c>
      <c r="F2015" s="1">
        <v>10</v>
      </c>
      <c r="G2015" s="1" t="s">
        <v>6874</v>
      </c>
      <c r="H2015" s="234">
        <v>15.6</v>
      </c>
      <c r="I2015" s="235">
        <f>F2015*H2015</f>
        <v>156</v>
      </c>
      <c r="K2015" s="250">
        <f>14.2*10</f>
        <v>142</v>
      </c>
      <c r="N2015" s="1">
        <v>0</v>
      </c>
      <c r="O2015" s="236">
        <f t="shared" si="281"/>
        <v>156</v>
      </c>
      <c r="P2015" s="238" t="s">
        <v>6875</v>
      </c>
      <c r="Q2015" s="1" t="s">
        <v>2505</v>
      </c>
      <c r="R2015" s="239" t="s">
        <v>2176</v>
      </c>
      <c r="S2015" s="238" t="s">
        <v>2177</v>
      </c>
      <c r="T2015" s="238" t="s">
        <v>3533</v>
      </c>
      <c r="U2015" s="238" t="s">
        <v>167</v>
      </c>
      <c r="AB2015" s="5" t="s">
        <v>1561</v>
      </c>
    </row>
    <row r="2016" spans="1:28">
      <c r="A2016" s="233">
        <v>41411</v>
      </c>
      <c r="B2016" s="1" t="s">
        <v>1979</v>
      </c>
      <c r="C2016" s="1" t="s">
        <v>162</v>
      </c>
      <c r="D2016" s="401" t="s">
        <v>1760</v>
      </c>
      <c r="E2016" s="28" t="s">
        <v>234</v>
      </c>
      <c r="F2016" s="401">
        <v>1000</v>
      </c>
      <c r="G2016" s="401" t="s">
        <v>170</v>
      </c>
      <c r="H2016" s="234">
        <v>1.1200000000000001</v>
      </c>
      <c r="I2016" s="235">
        <f>F2016*H2016</f>
        <v>1120</v>
      </c>
      <c r="K2016" s="250">
        <f>1.08*1000</f>
        <v>1080</v>
      </c>
      <c r="N2016" s="1">
        <v>0</v>
      </c>
      <c r="O2016" s="236">
        <f t="shared" si="281"/>
        <v>1120</v>
      </c>
      <c r="P2016" s="238" t="s">
        <v>6884</v>
      </c>
      <c r="Q2016" s="1" t="s">
        <v>1562</v>
      </c>
      <c r="R2016" s="265" t="s">
        <v>68</v>
      </c>
      <c r="S2016" s="265" t="s">
        <v>2973</v>
      </c>
      <c r="T2016" s="238" t="s">
        <v>67</v>
      </c>
      <c r="U2016" s="238" t="s">
        <v>167</v>
      </c>
      <c r="AB2016" s="1" t="s">
        <v>1561</v>
      </c>
    </row>
    <row r="2017" spans="1:28">
      <c r="A2017" s="233">
        <v>41411</v>
      </c>
      <c r="B2017" s="1" t="s">
        <v>1995</v>
      </c>
      <c r="C2017" s="5" t="s">
        <v>833</v>
      </c>
      <c r="D2017" s="401" t="s">
        <v>5047</v>
      </c>
      <c r="E2017" s="1">
        <v>8210</v>
      </c>
      <c r="F2017" s="1">
        <v>200</v>
      </c>
      <c r="G2017" s="1" t="s">
        <v>6871</v>
      </c>
      <c r="H2017" s="234">
        <v>6.9</v>
      </c>
      <c r="I2017" s="235">
        <f>F2017*H2017</f>
        <v>1380</v>
      </c>
      <c r="K2017" s="250">
        <f>3.78*200</f>
        <v>756</v>
      </c>
      <c r="L2017" s="237">
        <v>41411</v>
      </c>
      <c r="M2017" s="1" t="s">
        <v>166</v>
      </c>
      <c r="N2017" s="1">
        <f t="shared" ref="N2017:N2022" si="282">I2017</f>
        <v>1380</v>
      </c>
      <c r="O2017" s="236">
        <f t="shared" si="281"/>
        <v>0</v>
      </c>
      <c r="P2017" s="238" t="s">
        <v>6893</v>
      </c>
      <c r="Q2017" s="1" t="s">
        <v>726</v>
      </c>
      <c r="R2017" s="239" t="s">
        <v>3565</v>
      </c>
      <c r="S2017" s="238" t="s">
        <v>957</v>
      </c>
      <c r="T2017" s="238" t="s">
        <v>958</v>
      </c>
      <c r="U2017" s="238" t="s">
        <v>6913</v>
      </c>
      <c r="AB2017" s="1" t="s">
        <v>1561</v>
      </c>
    </row>
    <row r="2018" spans="1:28">
      <c r="A2018" s="233">
        <v>41411</v>
      </c>
      <c r="B2018" s="1" t="s">
        <v>3254</v>
      </c>
      <c r="C2018" s="1" t="s">
        <v>162</v>
      </c>
      <c r="D2018" s="1" t="s">
        <v>86</v>
      </c>
      <c r="E2018" s="1">
        <v>9032</v>
      </c>
      <c r="F2018" s="1">
        <v>500</v>
      </c>
      <c r="G2018" s="1" t="s">
        <v>170</v>
      </c>
      <c r="H2018" s="234">
        <v>2.4</v>
      </c>
      <c r="I2018" s="236">
        <f>H2018*F2018</f>
        <v>1200</v>
      </c>
      <c r="K2018" s="250">
        <f>1.56*500</f>
        <v>780</v>
      </c>
      <c r="L2018" s="237">
        <v>41411</v>
      </c>
      <c r="M2018" s="1" t="s">
        <v>165</v>
      </c>
      <c r="N2018" s="236">
        <f t="shared" si="282"/>
        <v>1200</v>
      </c>
      <c r="O2018" s="236">
        <f t="shared" si="281"/>
        <v>0</v>
      </c>
      <c r="P2018" s="238" t="s">
        <v>6873</v>
      </c>
      <c r="Q2018" s="1" t="s">
        <v>6931</v>
      </c>
      <c r="R2018" s="239" t="s">
        <v>2147</v>
      </c>
      <c r="S2018" s="238" t="s">
        <v>3258</v>
      </c>
      <c r="T2018" s="238" t="s">
        <v>2149</v>
      </c>
      <c r="U2018" s="238" t="s">
        <v>6932</v>
      </c>
      <c r="AB2018" s="1" t="s">
        <v>2064</v>
      </c>
    </row>
    <row r="2019" spans="1:28">
      <c r="A2019" s="233">
        <v>41411</v>
      </c>
      <c r="B2019" s="1" t="s">
        <v>3412</v>
      </c>
      <c r="C2019" s="1" t="s">
        <v>162</v>
      </c>
      <c r="D2019" s="401" t="s">
        <v>5047</v>
      </c>
      <c r="E2019" s="1">
        <v>8210</v>
      </c>
      <c r="F2019" s="1">
        <v>50</v>
      </c>
      <c r="G2019" s="1" t="s">
        <v>170</v>
      </c>
      <c r="H2019" s="234">
        <v>6.9</v>
      </c>
      <c r="I2019" s="235">
        <f>F2019*H2019</f>
        <v>345</v>
      </c>
      <c r="K2019" s="250">
        <f>3.78</f>
        <v>3.78</v>
      </c>
      <c r="L2019" s="237">
        <v>41410</v>
      </c>
      <c r="M2019" s="1" t="s">
        <v>165</v>
      </c>
      <c r="N2019" s="235">
        <f t="shared" si="282"/>
        <v>345</v>
      </c>
      <c r="O2019" s="235">
        <f t="shared" si="281"/>
        <v>0</v>
      </c>
      <c r="P2019" s="238" t="s">
        <v>6870</v>
      </c>
      <c r="Q2019" s="1" t="s">
        <v>6927</v>
      </c>
      <c r="R2019" s="239" t="s">
        <v>2934</v>
      </c>
      <c r="S2019" s="238" t="s">
        <v>3954</v>
      </c>
      <c r="T2019" s="238" t="s">
        <v>4001</v>
      </c>
      <c r="U2019" s="238" t="s">
        <v>6928</v>
      </c>
      <c r="AB2019" s="1" t="s">
        <v>2064</v>
      </c>
    </row>
    <row r="2020" spans="1:28">
      <c r="A2020" s="233">
        <v>41411</v>
      </c>
      <c r="B2020" s="1" t="s">
        <v>3412</v>
      </c>
      <c r="C2020" s="1" t="s">
        <v>162</v>
      </c>
      <c r="D2020" s="1" t="s">
        <v>1882</v>
      </c>
      <c r="E2020" s="1" t="s">
        <v>145</v>
      </c>
      <c r="F2020" s="1">
        <v>10</v>
      </c>
      <c r="G2020" s="1" t="s">
        <v>170</v>
      </c>
      <c r="H2020" s="234">
        <v>30</v>
      </c>
      <c r="I2020" s="235">
        <f>F2020*H2020</f>
        <v>300</v>
      </c>
      <c r="K2020" s="250">
        <f>17.8*10</f>
        <v>178</v>
      </c>
      <c r="L2020" s="237">
        <v>41410</v>
      </c>
      <c r="M2020" s="1" t="s">
        <v>165</v>
      </c>
      <c r="N2020" s="235">
        <f t="shared" si="282"/>
        <v>300</v>
      </c>
      <c r="O2020" s="235">
        <f t="shared" si="281"/>
        <v>0</v>
      </c>
      <c r="P2020" s="238" t="s">
        <v>6870</v>
      </c>
      <c r="Q2020" s="1" t="s">
        <v>6927</v>
      </c>
      <c r="R2020" s="239" t="s">
        <v>2934</v>
      </c>
      <c r="S2020" s="238" t="s">
        <v>3954</v>
      </c>
      <c r="T2020" s="238" t="s">
        <v>4001</v>
      </c>
      <c r="U2020" s="238" t="s">
        <v>6928</v>
      </c>
      <c r="AB2020" s="1" t="s">
        <v>2064</v>
      </c>
    </row>
    <row r="2021" spans="1:28">
      <c r="A2021" s="233">
        <v>41411</v>
      </c>
      <c r="B2021" s="1" t="s">
        <v>3412</v>
      </c>
      <c r="C2021" s="1" t="s">
        <v>162</v>
      </c>
      <c r="D2021" s="5" t="s">
        <v>182</v>
      </c>
      <c r="E2021" s="1" t="s">
        <v>194</v>
      </c>
      <c r="F2021" s="1">
        <v>20</v>
      </c>
      <c r="G2021" s="1" t="s">
        <v>171</v>
      </c>
      <c r="H2021" s="234">
        <v>9</v>
      </c>
      <c r="I2021" s="235">
        <f>F2021*H2021</f>
        <v>180</v>
      </c>
      <c r="K2021" s="250">
        <f>4.75*20</f>
        <v>95</v>
      </c>
      <c r="L2021" s="237">
        <v>41410</v>
      </c>
      <c r="M2021" s="1" t="s">
        <v>165</v>
      </c>
      <c r="N2021" s="235">
        <f t="shared" si="282"/>
        <v>180</v>
      </c>
      <c r="O2021" s="235">
        <f t="shared" si="281"/>
        <v>0</v>
      </c>
      <c r="P2021" s="238" t="s">
        <v>6870</v>
      </c>
      <c r="Q2021" s="1" t="s">
        <v>6927</v>
      </c>
      <c r="R2021" s="239" t="s">
        <v>2934</v>
      </c>
      <c r="S2021" s="238" t="s">
        <v>3954</v>
      </c>
      <c r="T2021" s="238" t="s">
        <v>4001</v>
      </c>
      <c r="U2021" s="238" t="s">
        <v>6928</v>
      </c>
      <c r="AB2021" s="1" t="s">
        <v>2064</v>
      </c>
    </row>
    <row r="2022" spans="1:28">
      <c r="A2022" s="233">
        <v>41411</v>
      </c>
      <c r="B2022" s="1" t="s">
        <v>2692</v>
      </c>
      <c r="C2022" s="1" t="s">
        <v>162</v>
      </c>
      <c r="D2022" s="5" t="s">
        <v>1908</v>
      </c>
      <c r="E2022" s="1">
        <v>8246</v>
      </c>
      <c r="F2022" s="1">
        <v>120</v>
      </c>
      <c r="G2022" s="1" t="s">
        <v>6871</v>
      </c>
      <c r="H2022" s="234">
        <v>13</v>
      </c>
      <c r="I2022" s="235">
        <f>F2022*H2022</f>
        <v>1560</v>
      </c>
      <c r="K2022" s="250">
        <f>12.35*120</f>
        <v>1482</v>
      </c>
      <c r="L2022" s="237">
        <v>41411</v>
      </c>
      <c r="M2022" s="1" t="s">
        <v>166</v>
      </c>
      <c r="N2022" s="236">
        <f t="shared" si="282"/>
        <v>1560</v>
      </c>
      <c r="O2022" s="236">
        <f t="shared" si="281"/>
        <v>0</v>
      </c>
      <c r="P2022" s="238" t="s">
        <v>6908</v>
      </c>
      <c r="Q2022" s="1" t="s">
        <v>4010</v>
      </c>
      <c r="R2022" s="239" t="s">
        <v>2688</v>
      </c>
      <c r="S2022" s="238" t="s">
        <v>2689</v>
      </c>
      <c r="T2022" s="238" t="s">
        <v>2557</v>
      </c>
      <c r="U2022" s="238" t="s">
        <v>6929</v>
      </c>
      <c r="V2022" s="238" t="s">
        <v>6997</v>
      </c>
      <c r="W2022" s="236">
        <v>6366.3</v>
      </c>
      <c r="X2022" s="233">
        <v>41417</v>
      </c>
      <c r="Y2022" s="238" t="s">
        <v>6998</v>
      </c>
      <c r="AB2022" s="1" t="s">
        <v>1561</v>
      </c>
    </row>
    <row r="2023" spans="1:28">
      <c r="A2023" s="233">
        <v>41411</v>
      </c>
      <c r="B2023" s="1" t="s">
        <v>2692</v>
      </c>
      <c r="C2023" s="1" t="s">
        <v>162</v>
      </c>
      <c r="D2023" s="1" t="s">
        <v>1219</v>
      </c>
      <c r="E2023" s="1" t="s">
        <v>6907</v>
      </c>
      <c r="F2023" s="1">
        <v>150</v>
      </c>
      <c r="G2023" s="1" t="s">
        <v>6871</v>
      </c>
      <c r="H2023" s="234">
        <v>4.3</v>
      </c>
      <c r="I2023" s="235">
        <f>F2023*H2023</f>
        <v>645</v>
      </c>
      <c r="K2023" s="250">
        <f>3.96*150</f>
        <v>594</v>
      </c>
      <c r="L2023" s="237">
        <v>41411</v>
      </c>
      <c r="M2023" s="1" t="s">
        <v>166</v>
      </c>
      <c r="N2023" s="236">
        <f t="shared" ref="N2023:N2028" si="283">I2023</f>
        <v>645</v>
      </c>
      <c r="O2023" s="236">
        <f t="shared" ref="O2023:O2025" si="284">I2023-N2023</f>
        <v>0</v>
      </c>
      <c r="P2023" s="238" t="s">
        <v>6908</v>
      </c>
      <c r="Q2023" s="1" t="s">
        <v>4010</v>
      </c>
      <c r="R2023" s="239" t="s">
        <v>2688</v>
      </c>
      <c r="S2023" s="238" t="s">
        <v>2689</v>
      </c>
      <c r="T2023" s="238" t="s">
        <v>2557</v>
      </c>
      <c r="U2023" s="238" t="s">
        <v>6929</v>
      </c>
      <c r="V2023" s="238" t="s">
        <v>6997</v>
      </c>
      <c r="W2023" s="236">
        <v>6366.3</v>
      </c>
      <c r="X2023" s="233">
        <v>41417</v>
      </c>
      <c r="Y2023" s="238" t="s">
        <v>6998</v>
      </c>
      <c r="AB2023" s="1" t="s">
        <v>1561</v>
      </c>
    </row>
    <row r="2024" spans="1:28">
      <c r="A2024" s="233">
        <v>41411</v>
      </c>
      <c r="B2024" s="1" t="s">
        <v>2692</v>
      </c>
      <c r="C2024" s="1" t="s">
        <v>162</v>
      </c>
      <c r="D2024" s="1" t="s">
        <v>2023</v>
      </c>
      <c r="E2024" s="1" t="s">
        <v>6866</v>
      </c>
      <c r="F2024" s="1">
        <v>100</v>
      </c>
      <c r="G2024" s="1" t="s">
        <v>6871</v>
      </c>
      <c r="H2024" s="234">
        <v>4.3</v>
      </c>
      <c r="I2024" s="235">
        <f t="shared" ref="I2024" si="285">F2024*H2024</f>
        <v>430</v>
      </c>
      <c r="K2024" s="250">
        <f>3.96*100</f>
        <v>396</v>
      </c>
      <c r="L2024" s="237">
        <v>41411</v>
      </c>
      <c r="M2024" s="1" t="s">
        <v>166</v>
      </c>
      <c r="N2024" s="236">
        <f t="shared" si="283"/>
        <v>430</v>
      </c>
      <c r="O2024" s="236">
        <f t="shared" ref="O2024" si="286">I2024-N2024</f>
        <v>0</v>
      </c>
      <c r="P2024" s="238" t="s">
        <v>6908</v>
      </c>
      <c r="Q2024" s="1" t="s">
        <v>4010</v>
      </c>
      <c r="R2024" s="239" t="s">
        <v>2688</v>
      </c>
      <c r="S2024" s="238" t="s">
        <v>2689</v>
      </c>
      <c r="T2024" s="238" t="s">
        <v>2557</v>
      </c>
      <c r="U2024" s="238" t="s">
        <v>6929</v>
      </c>
      <c r="V2024" s="238" t="s">
        <v>6997</v>
      </c>
      <c r="W2024" s="236">
        <v>6366.3</v>
      </c>
      <c r="X2024" s="233">
        <v>41417</v>
      </c>
      <c r="Y2024" s="238" t="s">
        <v>6998</v>
      </c>
      <c r="AB2024" s="1" t="s">
        <v>1561</v>
      </c>
    </row>
    <row r="2025" spans="1:28">
      <c r="A2025" s="233">
        <v>41411</v>
      </c>
      <c r="B2025" s="1" t="s">
        <v>2692</v>
      </c>
      <c r="C2025" s="1" t="s">
        <v>162</v>
      </c>
      <c r="D2025" s="401" t="s">
        <v>5047</v>
      </c>
      <c r="E2025" s="1">
        <v>8210</v>
      </c>
      <c r="F2025" s="1">
        <v>320</v>
      </c>
      <c r="G2025" s="1" t="s">
        <v>6871</v>
      </c>
      <c r="H2025" s="234">
        <v>4.12</v>
      </c>
      <c r="I2025" s="235">
        <f t="shared" ref="I2025:I2030" si="287">F2025*H2025</f>
        <v>1318.4</v>
      </c>
      <c r="K2025" s="250">
        <f>3.78*320</f>
        <v>1209.5999999999999</v>
      </c>
      <c r="L2025" s="237">
        <v>41411</v>
      </c>
      <c r="M2025" s="1" t="s">
        <v>166</v>
      </c>
      <c r="N2025" s="236">
        <f t="shared" si="283"/>
        <v>1318.4</v>
      </c>
      <c r="O2025" s="236">
        <f t="shared" si="284"/>
        <v>0</v>
      </c>
      <c r="P2025" s="238" t="s">
        <v>6908</v>
      </c>
      <c r="Q2025" s="1" t="s">
        <v>4010</v>
      </c>
      <c r="R2025" s="239" t="s">
        <v>2688</v>
      </c>
      <c r="S2025" s="238" t="s">
        <v>2689</v>
      </c>
      <c r="T2025" s="238" t="s">
        <v>2557</v>
      </c>
      <c r="U2025" s="238" t="s">
        <v>6929</v>
      </c>
      <c r="V2025" s="238" t="s">
        <v>6997</v>
      </c>
      <c r="W2025" s="236">
        <v>6366.3</v>
      </c>
      <c r="X2025" s="233">
        <v>41417</v>
      </c>
      <c r="Y2025" s="238" t="s">
        <v>6998</v>
      </c>
      <c r="AB2025" s="1" t="s">
        <v>1561</v>
      </c>
    </row>
    <row r="2026" spans="1:28">
      <c r="A2026" s="233">
        <v>41411</v>
      </c>
      <c r="B2026" s="228" t="s">
        <v>1488</v>
      </c>
      <c r="C2026" s="1" t="s">
        <v>162</v>
      </c>
      <c r="D2026" s="1" t="s">
        <v>1867</v>
      </c>
      <c r="E2026" s="1">
        <v>6006</v>
      </c>
      <c r="F2026" s="1">
        <v>180</v>
      </c>
      <c r="G2026" s="1" t="s">
        <v>6871</v>
      </c>
      <c r="H2026" s="234">
        <v>57.7</v>
      </c>
      <c r="I2026" s="235">
        <f t="shared" si="287"/>
        <v>10386</v>
      </c>
      <c r="K2026" s="250">
        <f>55.3*180</f>
        <v>9954</v>
      </c>
      <c r="L2026" s="237">
        <v>41414</v>
      </c>
      <c r="M2026" s="1" t="s">
        <v>166</v>
      </c>
      <c r="N2026" s="236">
        <f t="shared" si="283"/>
        <v>10386</v>
      </c>
      <c r="O2026" s="236">
        <f t="shared" ref="O2026:O2033" si="288">I2026-N2026</f>
        <v>0</v>
      </c>
      <c r="P2026" s="238" t="s">
        <v>6912</v>
      </c>
      <c r="Q2026" s="1" t="s">
        <v>6274</v>
      </c>
      <c r="R2026" s="239" t="s">
        <v>4326</v>
      </c>
      <c r="S2026" s="238" t="s">
        <v>4327</v>
      </c>
      <c r="T2026" s="238" t="s">
        <v>1471</v>
      </c>
      <c r="U2026" s="238" t="s">
        <v>6930</v>
      </c>
      <c r="V2026" s="238" t="s">
        <v>6999</v>
      </c>
      <c r="W2026" s="236">
        <v>21820.05</v>
      </c>
      <c r="X2026" s="233">
        <v>41417</v>
      </c>
      <c r="AB2026" s="1" t="s">
        <v>1561</v>
      </c>
    </row>
    <row r="2027" spans="1:28">
      <c r="A2027" s="233">
        <v>41411</v>
      </c>
      <c r="B2027" s="228" t="s">
        <v>1488</v>
      </c>
      <c r="C2027" s="1" t="s">
        <v>162</v>
      </c>
      <c r="D2027" s="1" t="s">
        <v>240</v>
      </c>
      <c r="E2027" s="1">
        <v>6200</v>
      </c>
      <c r="F2027" s="1">
        <v>100</v>
      </c>
      <c r="G2027" s="1" t="s">
        <v>6871</v>
      </c>
      <c r="H2027" s="234">
        <v>47.8</v>
      </c>
      <c r="I2027" s="235">
        <f t="shared" si="287"/>
        <v>4780</v>
      </c>
      <c r="K2027" s="250">
        <f>44.5*28+72*46</f>
        <v>4558</v>
      </c>
      <c r="L2027" s="237">
        <v>41414</v>
      </c>
      <c r="M2027" s="1" t="s">
        <v>166</v>
      </c>
      <c r="N2027" s="236">
        <f t="shared" si="283"/>
        <v>4780</v>
      </c>
      <c r="O2027" s="236">
        <f t="shared" si="288"/>
        <v>0</v>
      </c>
      <c r="P2027" s="238" t="s">
        <v>6912</v>
      </c>
      <c r="Q2027" s="1" t="s">
        <v>6274</v>
      </c>
      <c r="R2027" s="239" t="s">
        <v>4326</v>
      </c>
      <c r="S2027" s="238" t="s">
        <v>4327</v>
      </c>
      <c r="T2027" s="238" t="s">
        <v>1471</v>
      </c>
      <c r="U2027" s="238" t="s">
        <v>6930</v>
      </c>
      <c r="V2027" s="238" t="s">
        <v>6999</v>
      </c>
      <c r="W2027" s="236">
        <v>21820.05</v>
      </c>
      <c r="X2027" s="233">
        <v>41417</v>
      </c>
      <c r="AB2027" s="1" t="s">
        <v>1561</v>
      </c>
    </row>
    <row r="2028" spans="1:28">
      <c r="A2028" s="233">
        <v>41411</v>
      </c>
      <c r="B2028" s="228" t="s">
        <v>1488</v>
      </c>
      <c r="C2028" s="1" t="s">
        <v>162</v>
      </c>
      <c r="D2028" s="1" t="s">
        <v>305</v>
      </c>
      <c r="E2028" s="1">
        <v>1270</v>
      </c>
      <c r="F2028" s="1">
        <v>50</v>
      </c>
      <c r="G2028" s="1" t="s">
        <v>6874</v>
      </c>
      <c r="H2028" s="234">
        <v>4.5199999999999996</v>
      </c>
      <c r="I2028" s="235">
        <f t="shared" si="287"/>
        <v>225.99999999999997</v>
      </c>
      <c r="K2028" s="250">
        <f>4.28*50</f>
        <v>214</v>
      </c>
      <c r="L2028" s="237">
        <v>41414</v>
      </c>
      <c r="M2028" s="1" t="s">
        <v>166</v>
      </c>
      <c r="N2028" s="236">
        <f t="shared" si="283"/>
        <v>225.99999999999997</v>
      </c>
      <c r="O2028" s="236">
        <f t="shared" si="288"/>
        <v>0</v>
      </c>
      <c r="P2028" s="238" t="s">
        <v>6912</v>
      </c>
      <c r="Q2028" s="1" t="s">
        <v>6274</v>
      </c>
      <c r="R2028" s="239" t="s">
        <v>4326</v>
      </c>
      <c r="S2028" s="238" t="s">
        <v>4327</v>
      </c>
      <c r="T2028" s="238" t="s">
        <v>1471</v>
      </c>
      <c r="U2028" s="238" t="s">
        <v>6930</v>
      </c>
      <c r="V2028" s="238" t="s">
        <v>6999</v>
      </c>
      <c r="W2028" s="236">
        <v>21820.05</v>
      </c>
      <c r="X2028" s="233">
        <v>41417</v>
      </c>
      <c r="AB2028" s="1" t="s">
        <v>1561</v>
      </c>
    </row>
    <row r="2029" spans="1:28">
      <c r="A2029" s="233">
        <v>41411</v>
      </c>
      <c r="B2029" s="1" t="s">
        <v>1979</v>
      </c>
      <c r="C2029" s="1" t="s">
        <v>162</v>
      </c>
      <c r="D2029" s="1" t="s">
        <v>6920</v>
      </c>
      <c r="E2029" s="1" t="s">
        <v>6907</v>
      </c>
      <c r="F2029" s="1">
        <v>80</v>
      </c>
      <c r="G2029" s="401" t="s">
        <v>170</v>
      </c>
      <c r="H2029" s="234">
        <v>4.12</v>
      </c>
      <c r="I2029" s="235">
        <f t="shared" si="287"/>
        <v>329.6</v>
      </c>
      <c r="K2029" s="250">
        <f>3.96*80</f>
        <v>316.8</v>
      </c>
      <c r="N2029" s="1">
        <v>0</v>
      </c>
      <c r="O2029" s="236">
        <f t="shared" si="288"/>
        <v>329.6</v>
      </c>
      <c r="P2029" s="238" t="s">
        <v>6921</v>
      </c>
      <c r="Q2029" s="1" t="s">
        <v>1562</v>
      </c>
      <c r="R2029" s="265" t="s">
        <v>68</v>
      </c>
      <c r="S2029" s="265" t="s">
        <v>2973</v>
      </c>
      <c r="T2029" s="238" t="s">
        <v>67</v>
      </c>
      <c r="U2029" s="238" t="s">
        <v>167</v>
      </c>
      <c r="AB2029" s="1" t="s">
        <v>1561</v>
      </c>
    </row>
    <row r="2030" spans="1:28">
      <c r="A2030" s="233">
        <v>41411</v>
      </c>
      <c r="B2030" s="1" t="s">
        <v>1979</v>
      </c>
      <c r="C2030" s="1" t="s">
        <v>162</v>
      </c>
      <c r="D2030" s="1" t="s">
        <v>1213</v>
      </c>
      <c r="E2030" s="1" t="s">
        <v>178</v>
      </c>
      <c r="F2030" s="1">
        <v>50</v>
      </c>
      <c r="G2030" s="1" t="s">
        <v>6874</v>
      </c>
      <c r="H2030" s="234">
        <v>13</v>
      </c>
      <c r="I2030" s="235">
        <f t="shared" si="287"/>
        <v>650</v>
      </c>
      <c r="K2030" s="250">
        <f>12.4*50</f>
        <v>620</v>
      </c>
      <c r="N2030" s="1">
        <v>0</v>
      </c>
      <c r="O2030" s="236">
        <f t="shared" si="288"/>
        <v>650</v>
      </c>
      <c r="P2030" s="238" t="s">
        <v>6921</v>
      </c>
      <c r="Q2030" s="1" t="s">
        <v>1562</v>
      </c>
      <c r="R2030" s="265" t="s">
        <v>68</v>
      </c>
      <c r="S2030" s="265" t="s">
        <v>2973</v>
      </c>
      <c r="T2030" s="238" t="s">
        <v>67</v>
      </c>
      <c r="U2030" s="238" t="s">
        <v>167</v>
      </c>
      <c r="AB2030" s="1" t="s">
        <v>1561</v>
      </c>
    </row>
    <row r="2031" spans="1:28">
      <c r="A2031" s="233">
        <v>41414</v>
      </c>
      <c r="B2031" s="1" t="s">
        <v>1979</v>
      </c>
      <c r="C2031" s="1" t="s">
        <v>162</v>
      </c>
      <c r="D2031" s="1" t="s">
        <v>6848</v>
      </c>
      <c r="E2031" s="1" t="s">
        <v>6922</v>
      </c>
      <c r="F2031" s="1">
        <v>600</v>
      </c>
      <c r="G2031" s="403" t="s">
        <v>170</v>
      </c>
      <c r="H2031" s="234">
        <v>1.8</v>
      </c>
      <c r="I2031" s="235">
        <f>F2031*H2031</f>
        <v>1080</v>
      </c>
      <c r="K2031" s="250">
        <f>1.68*600</f>
        <v>1008</v>
      </c>
      <c r="N2031" s="1">
        <v>0</v>
      </c>
      <c r="O2031" s="236">
        <f t="shared" si="288"/>
        <v>1080</v>
      </c>
      <c r="P2031" s="238" t="s">
        <v>6924</v>
      </c>
      <c r="Q2031" s="1" t="s">
        <v>1562</v>
      </c>
      <c r="R2031" s="265" t="s">
        <v>68</v>
      </c>
      <c r="S2031" s="265" t="s">
        <v>2973</v>
      </c>
      <c r="T2031" s="238" t="s">
        <v>67</v>
      </c>
      <c r="U2031" s="238" t="s">
        <v>167</v>
      </c>
      <c r="AB2031" s="1" t="s">
        <v>1561</v>
      </c>
    </row>
    <row r="2032" spans="1:28">
      <c r="A2032" s="233">
        <v>41414</v>
      </c>
      <c r="B2032" s="1" t="s">
        <v>1979</v>
      </c>
      <c r="C2032" s="1" t="s">
        <v>162</v>
      </c>
      <c r="D2032" s="1" t="s">
        <v>6923</v>
      </c>
      <c r="E2032" s="1" t="s">
        <v>6922</v>
      </c>
      <c r="F2032" s="1">
        <v>500</v>
      </c>
      <c r="G2032" s="403" t="s">
        <v>170</v>
      </c>
      <c r="H2032" s="234">
        <v>1.62</v>
      </c>
      <c r="I2032" s="235">
        <f>F2032*H2032</f>
        <v>810</v>
      </c>
      <c r="K2032" s="250">
        <f>1.55*500</f>
        <v>775</v>
      </c>
      <c r="N2032" s="1">
        <v>0</v>
      </c>
      <c r="O2032" s="236">
        <f t="shared" si="288"/>
        <v>810</v>
      </c>
      <c r="P2032" s="238" t="s">
        <v>6924</v>
      </c>
      <c r="Q2032" s="1" t="s">
        <v>1562</v>
      </c>
      <c r="R2032" s="265" t="s">
        <v>68</v>
      </c>
      <c r="S2032" s="265" t="s">
        <v>2973</v>
      </c>
      <c r="T2032" s="238" t="s">
        <v>67</v>
      </c>
      <c r="U2032" s="238" t="s">
        <v>167</v>
      </c>
      <c r="AB2032" s="1" t="s">
        <v>1561</v>
      </c>
    </row>
    <row r="2033" spans="1:28">
      <c r="A2033" s="233">
        <v>41414</v>
      </c>
      <c r="B2033" s="1" t="s">
        <v>6199</v>
      </c>
      <c r="C2033" s="1" t="s">
        <v>162</v>
      </c>
      <c r="D2033" s="5" t="s">
        <v>2012</v>
      </c>
      <c r="E2033" s="1" t="s">
        <v>180</v>
      </c>
      <c r="F2033" s="1">
        <v>500</v>
      </c>
      <c r="G2033" s="1" t="s">
        <v>170</v>
      </c>
      <c r="H2033" s="234">
        <v>1.63</v>
      </c>
      <c r="I2033" s="235">
        <f>H2033*F2033</f>
        <v>815</v>
      </c>
      <c r="K2033" s="250">
        <f>1.55*500</f>
        <v>775</v>
      </c>
      <c r="L2033" s="237">
        <v>41414</v>
      </c>
      <c r="M2033" s="1" t="s">
        <v>6939</v>
      </c>
      <c r="N2033" s="236">
        <f>I2033</f>
        <v>815</v>
      </c>
      <c r="O2033" s="236">
        <f t="shared" si="288"/>
        <v>0</v>
      </c>
      <c r="P2033" s="238" t="s">
        <v>6933</v>
      </c>
      <c r="Q2033" s="5" t="s">
        <v>1562</v>
      </c>
      <c r="R2033" s="239" t="s">
        <v>6202</v>
      </c>
      <c r="S2033" s="238" t="s">
        <v>6208</v>
      </c>
      <c r="T2033" s="238" t="s">
        <v>167</v>
      </c>
      <c r="U2033" s="238" t="s">
        <v>167</v>
      </c>
      <c r="AB2033" s="5" t="s">
        <v>1561</v>
      </c>
    </row>
    <row r="2034" spans="1:28">
      <c r="A2034" s="233">
        <v>41415</v>
      </c>
      <c r="B2034" s="1" t="s">
        <v>1979</v>
      </c>
      <c r="C2034" s="1" t="s">
        <v>162</v>
      </c>
      <c r="D2034" s="1" t="s">
        <v>1213</v>
      </c>
      <c r="E2034" s="1" t="s">
        <v>178</v>
      </c>
      <c r="F2034" s="1">
        <v>10</v>
      </c>
      <c r="G2034" s="1" t="s">
        <v>172</v>
      </c>
      <c r="H2034" s="234">
        <v>13</v>
      </c>
      <c r="I2034" s="235">
        <f t="shared" ref="I2034" si="289">F2034*H2034</f>
        <v>130</v>
      </c>
      <c r="K2034" s="250">
        <f>12.4*10</f>
        <v>124</v>
      </c>
      <c r="N2034" s="1">
        <v>0</v>
      </c>
      <c r="O2034" s="236">
        <f t="shared" ref="O2034" si="290">I2034-N2034</f>
        <v>130</v>
      </c>
      <c r="P2034" s="238" t="s">
        <v>6940</v>
      </c>
      <c r="Q2034" s="1" t="s">
        <v>1562</v>
      </c>
      <c r="R2034" s="265" t="s">
        <v>68</v>
      </c>
      <c r="S2034" s="265" t="s">
        <v>2973</v>
      </c>
      <c r="T2034" s="238" t="s">
        <v>67</v>
      </c>
      <c r="U2034" s="238" t="s">
        <v>167</v>
      </c>
      <c r="AB2034" s="1" t="s">
        <v>1561</v>
      </c>
    </row>
    <row r="2035" spans="1:28">
      <c r="A2035" s="233">
        <v>41415</v>
      </c>
      <c r="B2035" s="1" t="s">
        <v>6941</v>
      </c>
      <c r="C2035" s="1" t="s">
        <v>162</v>
      </c>
      <c r="D2035" s="1" t="s">
        <v>6942</v>
      </c>
      <c r="E2035" s="404" t="s">
        <v>5880</v>
      </c>
      <c r="F2035" s="1">
        <v>2</v>
      </c>
      <c r="G2035" s="1" t="s">
        <v>192</v>
      </c>
      <c r="H2035" s="234">
        <v>9571</v>
      </c>
      <c r="I2035" s="235">
        <f t="shared" ref="I2035:I2041" si="291">F2035*H2035</f>
        <v>19142</v>
      </c>
      <c r="K2035" s="250">
        <f>6795.13*2</f>
        <v>13590.26</v>
      </c>
      <c r="N2035" s="1">
        <v>0</v>
      </c>
      <c r="O2035" s="236">
        <f t="shared" ref="O2035:O2041" si="292">I2035-N2035</f>
        <v>19142</v>
      </c>
      <c r="P2035" s="238" t="s">
        <v>6944</v>
      </c>
      <c r="Q2035" s="1" t="s">
        <v>6945</v>
      </c>
      <c r="R2035" s="239" t="s">
        <v>6946</v>
      </c>
      <c r="S2035" s="238" t="s">
        <v>6947</v>
      </c>
      <c r="T2035" s="238" t="s">
        <v>6948</v>
      </c>
      <c r="U2035" s="238" t="s">
        <v>6949</v>
      </c>
      <c r="V2035" s="238" t="s">
        <v>6950</v>
      </c>
      <c r="W2035" s="236">
        <v>20826</v>
      </c>
      <c r="X2035" s="233">
        <v>41415</v>
      </c>
      <c r="Y2035" s="238" t="s">
        <v>6951</v>
      </c>
      <c r="AB2035" s="1" t="s">
        <v>2064</v>
      </c>
    </row>
    <row r="2036" spans="1:28">
      <c r="A2036" s="233">
        <v>41415</v>
      </c>
      <c r="B2036" s="1" t="s">
        <v>6941</v>
      </c>
      <c r="C2036" s="1" t="s">
        <v>162</v>
      </c>
      <c r="D2036" s="1" t="s">
        <v>6943</v>
      </c>
      <c r="E2036" s="404" t="s">
        <v>5881</v>
      </c>
      <c r="F2036" s="1">
        <v>2</v>
      </c>
      <c r="G2036" s="1" t="s">
        <v>170</v>
      </c>
      <c r="H2036" s="234">
        <v>842</v>
      </c>
      <c r="I2036" s="235">
        <f t="shared" si="291"/>
        <v>1684</v>
      </c>
      <c r="K2036" s="250">
        <f>597.27*2</f>
        <v>1194.54</v>
      </c>
      <c r="N2036" s="1">
        <v>0</v>
      </c>
      <c r="O2036" s="236">
        <f t="shared" si="292"/>
        <v>1684</v>
      </c>
      <c r="P2036" s="238" t="s">
        <v>6944</v>
      </c>
      <c r="Q2036" s="1" t="s">
        <v>6945</v>
      </c>
      <c r="R2036" s="239" t="s">
        <v>6946</v>
      </c>
      <c r="S2036" s="238" t="s">
        <v>6947</v>
      </c>
      <c r="T2036" s="238" t="s">
        <v>6948</v>
      </c>
      <c r="U2036" s="238" t="s">
        <v>6949</v>
      </c>
      <c r="V2036" s="238" t="s">
        <v>6950</v>
      </c>
      <c r="W2036" s="236">
        <v>20826</v>
      </c>
      <c r="X2036" s="233">
        <v>41415</v>
      </c>
      <c r="Y2036" s="238" t="s">
        <v>6951</v>
      </c>
      <c r="AB2036" s="1" t="s">
        <v>2064</v>
      </c>
    </row>
    <row r="2037" spans="1:28">
      <c r="A2037" s="233">
        <v>41415</v>
      </c>
      <c r="B2037" s="1" t="s">
        <v>1569</v>
      </c>
      <c r="C2037" s="1" t="s">
        <v>162</v>
      </c>
      <c r="D2037" s="5" t="s">
        <v>182</v>
      </c>
      <c r="E2037" s="1" t="s">
        <v>186</v>
      </c>
      <c r="F2037" s="1">
        <v>200</v>
      </c>
      <c r="G2037" s="1" t="s">
        <v>6953</v>
      </c>
      <c r="H2037" s="234">
        <v>1.65</v>
      </c>
      <c r="I2037" s="235">
        <f t="shared" si="291"/>
        <v>330</v>
      </c>
      <c r="K2037" s="250">
        <f>1.54*200</f>
        <v>308</v>
      </c>
      <c r="N2037" s="1">
        <v>0</v>
      </c>
      <c r="O2037" s="236">
        <f t="shared" si="292"/>
        <v>330</v>
      </c>
      <c r="P2037" s="238" t="s">
        <v>6954</v>
      </c>
      <c r="Q2037" s="1" t="s">
        <v>1571</v>
      </c>
      <c r="R2037" s="239" t="s">
        <v>1570</v>
      </c>
      <c r="S2037" s="238">
        <v>13368068212</v>
      </c>
      <c r="T2037" s="238" t="s">
        <v>167</v>
      </c>
      <c r="U2037" s="238" t="s">
        <v>167</v>
      </c>
      <c r="V2037" s="238" t="s">
        <v>7024</v>
      </c>
      <c r="W2037" s="236">
        <v>33867.5</v>
      </c>
      <c r="X2037" s="233">
        <v>41418</v>
      </c>
      <c r="Y2037" s="238" t="s">
        <v>7025</v>
      </c>
      <c r="AB2037" s="5" t="s">
        <v>1561</v>
      </c>
    </row>
    <row r="2038" spans="1:28">
      <c r="A2038" s="233">
        <v>41415</v>
      </c>
      <c r="B2038" s="1" t="s">
        <v>1569</v>
      </c>
      <c r="C2038" s="1" t="s">
        <v>162</v>
      </c>
      <c r="D2038" s="5" t="s">
        <v>182</v>
      </c>
      <c r="E2038" s="1" t="s">
        <v>194</v>
      </c>
      <c r="F2038" s="1">
        <v>50</v>
      </c>
      <c r="G2038" s="1" t="s">
        <v>6953</v>
      </c>
      <c r="H2038" s="234">
        <v>5.2</v>
      </c>
      <c r="I2038" s="235">
        <f t="shared" si="291"/>
        <v>260</v>
      </c>
      <c r="K2038" s="250">
        <f>4.75*50</f>
        <v>237.5</v>
      </c>
      <c r="N2038" s="1">
        <v>0</v>
      </c>
      <c r="O2038" s="236">
        <f t="shared" si="292"/>
        <v>260</v>
      </c>
      <c r="P2038" s="238" t="s">
        <v>6954</v>
      </c>
      <c r="Q2038" s="1" t="s">
        <v>1571</v>
      </c>
      <c r="R2038" s="239" t="s">
        <v>1570</v>
      </c>
      <c r="S2038" s="238">
        <v>13368068212</v>
      </c>
      <c r="T2038" s="238" t="s">
        <v>167</v>
      </c>
      <c r="U2038" s="238" t="s">
        <v>167</v>
      </c>
      <c r="V2038" s="238" t="s">
        <v>7024</v>
      </c>
      <c r="W2038" s="236">
        <v>33867.5</v>
      </c>
      <c r="X2038" s="233">
        <v>41418</v>
      </c>
      <c r="Y2038" s="238" t="s">
        <v>7025</v>
      </c>
      <c r="AB2038" s="5" t="s">
        <v>1561</v>
      </c>
    </row>
    <row r="2039" spans="1:28">
      <c r="A2039" s="233">
        <v>41415</v>
      </c>
      <c r="B2039" s="1" t="s">
        <v>4646</v>
      </c>
      <c r="C2039" s="1" t="s">
        <v>162</v>
      </c>
      <c r="D2039" s="1" t="s">
        <v>1210</v>
      </c>
      <c r="E2039" s="1">
        <v>3200</v>
      </c>
      <c r="F2039" s="1">
        <v>20</v>
      </c>
      <c r="G2039" s="1" t="s">
        <v>170</v>
      </c>
      <c r="H2039" s="234">
        <v>29.51</v>
      </c>
      <c r="I2039" s="235">
        <f t="shared" si="291"/>
        <v>590.20000000000005</v>
      </c>
      <c r="K2039" s="250">
        <f>20.89*20</f>
        <v>417.8</v>
      </c>
      <c r="L2039" s="237">
        <v>41414</v>
      </c>
      <c r="M2039" s="1" t="s">
        <v>165</v>
      </c>
      <c r="N2039" s="235">
        <f>I2039</f>
        <v>590.20000000000005</v>
      </c>
      <c r="O2039" s="235">
        <f t="shared" si="292"/>
        <v>0</v>
      </c>
      <c r="P2039" s="238" t="s">
        <v>6934</v>
      </c>
      <c r="Q2039" s="1" t="s">
        <v>6968</v>
      </c>
      <c r="R2039" s="239" t="s">
        <v>4649</v>
      </c>
      <c r="S2039" s="238" t="s">
        <v>4650</v>
      </c>
      <c r="T2039" s="238" t="s">
        <v>5752</v>
      </c>
      <c r="U2039" s="238" t="s">
        <v>6969</v>
      </c>
      <c r="V2039" s="238" t="s">
        <v>6958</v>
      </c>
      <c r="W2039" s="236">
        <v>900</v>
      </c>
      <c r="X2039" s="233">
        <v>41415</v>
      </c>
      <c r="AA2039" s="282" t="s">
        <v>6959</v>
      </c>
      <c r="AB2039" s="1" t="s">
        <v>1561</v>
      </c>
    </row>
    <row r="2040" spans="1:28">
      <c r="A2040" s="233">
        <v>41415</v>
      </c>
      <c r="B2040" s="1" t="s">
        <v>4646</v>
      </c>
      <c r="C2040" s="1" t="s">
        <v>162</v>
      </c>
      <c r="D2040" s="5" t="s">
        <v>346</v>
      </c>
      <c r="E2040" s="1">
        <v>3700</v>
      </c>
      <c r="F2040" s="1">
        <v>20</v>
      </c>
      <c r="G2040" s="1" t="s">
        <v>170</v>
      </c>
      <c r="H2040" s="234">
        <v>3.66</v>
      </c>
      <c r="I2040" s="235">
        <f t="shared" si="291"/>
        <v>73.2</v>
      </c>
      <c r="K2040" s="250">
        <f>2.865*20</f>
        <v>57.300000000000004</v>
      </c>
      <c r="L2040" s="237">
        <v>41414</v>
      </c>
      <c r="M2040" s="1" t="s">
        <v>165</v>
      </c>
      <c r="N2040" s="235">
        <f>I2040</f>
        <v>73.2</v>
      </c>
      <c r="O2040" s="235">
        <f t="shared" si="292"/>
        <v>0</v>
      </c>
      <c r="P2040" s="238" t="s">
        <v>6934</v>
      </c>
      <c r="Q2040" s="1" t="s">
        <v>6968</v>
      </c>
      <c r="R2040" s="239" t="s">
        <v>4649</v>
      </c>
      <c r="S2040" s="238" t="s">
        <v>4650</v>
      </c>
      <c r="T2040" s="238" t="s">
        <v>5752</v>
      </c>
      <c r="U2040" s="238" t="s">
        <v>6969</v>
      </c>
      <c r="V2040" s="238" t="s">
        <v>6958</v>
      </c>
      <c r="W2040" s="236">
        <v>900</v>
      </c>
      <c r="X2040" s="233">
        <v>41415</v>
      </c>
      <c r="AA2040" s="282" t="s">
        <v>6959</v>
      </c>
      <c r="AB2040" s="1" t="s">
        <v>1561</v>
      </c>
    </row>
    <row r="2041" spans="1:28">
      <c r="A2041" s="233">
        <v>41415</v>
      </c>
      <c r="B2041" s="1" t="s">
        <v>4646</v>
      </c>
      <c r="C2041" s="1" t="s">
        <v>162</v>
      </c>
      <c r="D2041" s="1" t="s">
        <v>232</v>
      </c>
      <c r="E2041" s="1" t="s">
        <v>186</v>
      </c>
      <c r="F2041" s="1">
        <v>20</v>
      </c>
      <c r="G2041" s="1" t="s">
        <v>171</v>
      </c>
      <c r="H2041" s="234">
        <v>1.83</v>
      </c>
      <c r="I2041" s="235">
        <f t="shared" si="291"/>
        <v>36.6</v>
      </c>
      <c r="K2041" s="250">
        <f>1.54*20</f>
        <v>30.8</v>
      </c>
      <c r="L2041" s="237">
        <v>41414</v>
      </c>
      <c r="M2041" s="1" t="s">
        <v>165</v>
      </c>
      <c r="N2041" s="235">
        <f>I2041</f>
        <v>36.6</v>
      </c>
      <c r="O2041" s="235">
        <f t="shared" si="292"/>
        <v>0</v>
      </c>
      <c r="P2041" s="238" t="s">
        <v>6934</v>
      </c>
      <c r="Q2041" s="1" t="s">
        <v>6968</v>
      </c>
      <c r="R2041" s="239" t="s">
        <v>4649</v>
      </c>
      <c r="S2041" s="238" t="s">
        <v>4650</v>
      </c>
      <c r="T2041" s="238" t="s">
        <v>5752</v>
      </c>
      <c r="U2041" s="238" t="s">
        <v>6969</v>
      </c>
      <c r="V2041" s="238" t="s">
        <v>6958</v>
      </c>
      <c r="W2041" s="236">
        <v>900</v>
      </c>
      <c r="X2041" s="233">
        <v>41415</v>
      </c>
      <c r="AA2041" s="282" t="s">
        <v>6959</v>
      </c>
      <c r="AB2041" s="1" t="s">
        <v>1561</v>
      </c>
    </row>
    <row r="2042" spans="1:28">
      <c r="A2042" s="233">
        <v>41416</v>
      </c>
      <c r="B2042" s="1" t="s">
        <v>1979</v>
      </c>
      <c r="C2042" s="1" t="s">
        <v>162</v>
      </c>
      <c r="D2042" s="1" t="s">
        <v>305</v>
      </c>
      <c r="E2042" s="1">
        <v>1270</v>
      </c>
      <c r="F2042" s="1">
        <v>105</v>
      </c>
      <c r="G2042" s="405" t="s">
        <v>172</v>
      </c>
      <c r="H2042" s="234">
        <v>4.3099999999999996</v>
      </c>
      <c r="I2042" s="235">
        <f t="shared" ref="I2042:I2053" si="293">F2042*H2042</f>
        <v>452.54999999999995</v>
      </c>
      <c r="K2042" s="250">
        <f>4.28*105</f>
        <v>449.40000000000003</v>
      </c>
      <c r="N2042" s="1">
        <v>0</v>
      </c>
      <c r="O2042" s="236">
        <f t="shared" ref="O2042" si="294">I2042-N2042</f>
        <v>452.54999999999995</v>
      </c>
      <c r="P2042" s="238" t="s">
        <v>6970</v>
      </c>
      <c r="Q2042" s="1" t="s">
        <v>1562</v>
      </c>
      <c r="R2042" s="265" t="s">
        <v>68</v>
      </c>
      <c r="S2042" s="265" t="s">
        <v>2973</v>
      </c>
      <c r="T2042" s="238" t="s">
        <v>67</v>
      </c>
      <c r="U2042" s="238" t="s">
        <v>167</v>
      </c>
      <c r="V2042" s="238" t="s">
        <v>6972</v>
      </c>
      <c r="AB2042" s="1" t="s">
        <v>1561</v>
      </c>
    </row>
    <row r="2043" spans="1:28">
      <c r="A2043" s="233">
        <v>41416</v>
      </c>
      <c r="B2043" s="1" t="s">
        <v>2174</v>
      </c>
      <c r="C2043" s="1" t="s">
        <v>6978</v>
      </c>
      <c r="D2043" s="1" t="s">
        <v>6776</v>
      </c>
      <c r="E2043" s="28" t="s">
        <v>6775</v>
      </c>
      <c r="F2043" s="406">
        <v>2</v>
      </c>
      <c r="G2043" s="406" t="s">
        <v>192</v>
      </c>
      <c r="H2043" s="234">
        <v>35</v>
      </c>
      <c r="I2043" s="235">
        <f t="shared" si="293"/>
        <v>70</v>
      </c>
      <c r="K2043" s="250">
        <f>24.5*2</f>
        <v>49</v>
      </c>
      <c r="L2043" s="237">
        <v>41416</v>
      </c>
      <c r="M2043" s="1" t="s">
        <v>698</v>
      </c>
      <c r="N2043" s="236">
        <f>I2043</f>
        <v>70</v>
      </c>
      <c r="O2043" s="236">
        <f>I2043-N2043</f>
        <v>0</v>
      </c>
      <c r="P2043" s="238" t="s">
        <v>6980</v>
      </c>
      <c r="Q2043" s="1" t="s">
        <v>2505</v>
      </c>
      <c r="R2043" s="239" t="s">
        <v>2176</v>
      </c>
      <c r="S2043" s="238" t="s">
        <v>2177</v>
      </c>
      <c r="T2043" s="238" t="s">
        <v>3533</v>
      </c>
      <c r="U2043" s="238" t="s">
        <v>167</v>
      </c>
      <c r="V2043" s="238" t="s">
        <v>6979</v>
      </c>
      <c r="AB2043" s="5" t="s">
        <v>1561</v>
      </c>
    </row>
    <row r="2044" spans="1:28">
      <c r="A2044" s="233">
        <v>41416</v>
      </c>
      <c r="B2044" s="1" t="s">
        <v>2174</v>
      </c>
      <c r="C2044" s="1" t="s">
        <v>6978</v>
      </c>
      <c r="D2044" s="1" t="s">
        <v>6740</v>
      </c>
      <c r="E2044" s="28" t="s">
        <v>6775</v>
      </c>
      <c r="F2044" s="406">
        <v>2</v>
      </c>
      <c r="G2044" s="406" t="s">
        <v>192</v>
      </c>
      <c r="H2044" s="234">
        <v>35</v>
      </c>
      <c r="I2044" s="235">
        <f t="shared" si="293"/>
        <v>70</v>
      </c>
      <c r="K2044" s="250">
        <f>24.5*2</f>
        <v>49</v>
      </c>
      <c r="L2044" s="237">
        <v>41416</v>
      </c>
      <c r="M2044" s="1" t="s">
        <v>698</v>
      </c>
      <c r="N2044" s="236">
        <f t="shared" ref="N2044:N2047" si="295">I2044</f>
        <v>70</v>
      </c>
      <c r="O2044" s="236">
        <f>I2044-N2044</f>
        <v>0</v>
      </c>
      <c r="P2044" s="238" t="s">
        <v>6980</v>
      </c>
      <c r="Q2044" s="1" t="s">
        <v>2505</v>
      </c>
      <c r="R2044" s="239" t="s">
        <v>2176</v>
      </c>
      <c r="S2044" s="238" t="s">
        <v>2177</v>
      </c>
      <c r="T2044" s="238" t="s">
        <v>3533</v>
      </c>
      <c r="U2044" s="238" t="s">
        <v>167</v>
      </c>
      <c r="V2044" s="238" t="s">
        <v>6979</v>
      </c>
      <c r="AB2044" s="5" t="s">
        <v>1561</v>
      </c>
    </row>
    <row r="2045" spans="1:28">
      <c r="A2045" s="233">
        <v>41416</v>
      </c>
      <c r="B2045" s="1" t="s">
        <v>2174</v>
      </c>
      <c r="C2045" s="1" t="s">
        <v>6978</v>
      </c>
      <c r="D2045" s="1" t="s">
        <v>6777</v>
      </c>
      <c r="E2045" s="28" t="s">
        <v>6775</v>
      </c>
      <c r="F2045" s="406">
        <v>2</v>
      </c>
      <c r="G2045" s="406" t="s">
        <v>192</v>
      </c>
      <c r="H2045" s="234">
        <v>35</v>
      </c>
      <c r="I2045" s="235">
        <f t="shared" si="293"/>
        <v>70</v>
      </c>
      <c r="K2045" s="250">
        <f>25.5*2</f>
        <v>51</v>
      </c>
      <c r="L2045" s="237">
        <v>41416</v>
      </c>
      <c r="M2045" s="1" t="s">
        <v>698</v>
      </c>
      <c r="N2045" s="236">
        <f t="shared" si="295"/>
        <v>70</v>
      </c>
      <c r="O2045" s="236">
        <f>I2045-N2045</f>
        <v>0</v>
      </c>
      <c r="P2045" s="238" t="s">
        <v>6980</v>
      </c>
      <c r="Q2045" s="1" t="s">
        <v>2505</v>
      </c>
      <c r="R2045" s="239" t="s">
        <v>2176</v>
      </c>
      <c r="S2045" s="238" t="s">
        <v>2177</v>
      </c>
      <c r="T2045" s="238" t="s">
        <v>3533</v>
      </c>
      <c r="U2045" s="238" t="s">
        <v>167</v>
      </c>
      <c r="V2045" s="238" t="s">
        <v>6979</v>
      </c>
      <c r="AB2045" s="5" t="s">
        <v>1561</v>
      </c>
    </row>
    <row r="2046" spans="1:28">
      <c r="A2046" s="233">
        <v>41416</v>
      </c>
      <c r="B2046" s="1" t="s">
        <v>2174</v>
      </c>
      <c r="C2046" s="1" t="s">
        <v>6978</v>
      </c>
      <c r="D2046" s="1" t="s">
        <v>6778</v>
      </c>
      <c r="E2046" s="28" t="s">
        <v>6775</v>
      </c>
      <c r="F2046" s="406">
        <v>2</v>
      </c>
      <c r="G2046" s="406" t="s">
        <v>192</v>
      </c>
      <c r="H2046" s="234">
        <v>35</v>
      </c>
      <c r="I2046" s="235">
        <f t="shared" si="293"/>
        <v>70</v>
      </c>
      <c r="K2046" s="250">
        <f>26.5*2</f>
        <v>53</v>
      </c>
      <c r="L2046" s="237">
        <v>41416</v>
      </c>
      <c r="M2046" s="1" t="s">
        <v>698</v>
      </c>
      <c r="N2046" s="236">
        <f t="shared" si="295"/>
        <v>70</v>
      </c>
      <c r="O2046" s="236">
        <f>I2046-N2046</f>
        <v>0</v>
      </c>
      <c r="P2046" s="238" t="s">
        <v>6980</v>
      </c>
      <c r="Q2046" s="1" t="s">
        <v>2505</v>
      </c>
      <c r="R2046" s="239" t="s">
        <v>2176</v>
      </c>
      <c r="S2046" s="238" t="s">
        <v>2177</v>
      </c>
      <c r="T2046" s="238" t="s">
        <v>3533</v>
      </c>
      <c r="U2046" s="238" t="s">
        <v>167</v>
      </c>
      <c r="V2046" s="238" t="s">
        <v>6979</v>
      </c>
      <c r="AB2046" s="5" t="s">
        <v>1561</v>
      </c>
    </row>
    <row r="2047" spans="1:28">
      <c r="A2047" s="233">
        <v>41416</v>
      </c>
      <c r="B2047" s="1" t="s">
        <v>2174</v>
      </c>
      <c r="C2047" s="1" t="s">
        <v>6978</v>
      </c>
      <c r="D2047" s="1" t="s">
        <v>6779</v>
      </c>
      <c r="E2047" s="28" t="s">
        <v>6775</v>
      </c>
      <c r="F2047" s="406">
        <v>2</v>
      </c>
      <c r="G2047" s="406" t="s">
        <v>192</v>
      </c>
      <c r="H2047" s="234">
        <v>35</v>
      </c>
      <c r="I2047" s="235">
        <f t="shared" si="293"/>
        <v>70</v>
      </c>
      <c r="K2047" s="250">
        <f>26.5*2</f>
        <v>53</v>
      </c>
      <c r="L2047" s="237">
        <v>41416</v>
      </c>
      <c r="M2047" s="1" t="s">
        <v>698</v>
      </c>
      <c r="N2047" s="236">
        <f t="shared" si="295"/>
        <v>70</v>
      </c>
      <c r="O2047" s="236">
        <f>I2047-N2047</f>
        <v>0</v>
      </c>
      <c r="P2047" s="238" t="s">
        <v>6980</v>
      </c>
      <c r="Q2047" s="1" t="s">
        <v>2505</v>
      </c>
      <c r="R2047" s="239" t="s">
        <v>2176</v>
      </c>
      <c r="S2047" s="238" t="s">
        <v>2177</v>
      </c>
      <c r="T2047" s="238" t="s">
        <v>3533</v>
      </c>
      <c r="U2047" s="238" t="s">
        <v>167</v>
      </c>
      <c r="V2047" s="238" t="s">
        <v>6979</v>
      </c>
      <c r="AB2047" s="5" t="s">
        <v>1561</v>
      </c>
    </row>
    <row r="2048" spans="1:28">
      <c r="A2048" s="233">
        <v>41417</v>
      </c>
      <c r="B2048" s="1" t="s">
        <v>3053</v>
      </c>
      <c r="C2048" s="1" t="s">
        <v>162</v>
      </c>
      <c r="D2048" s="5" t="s">
        <v>2012</v>
      </c>
      <c r="E2048" s="1" t="s">
        <v>180</v>
      </c>
      <c r="F2048" s="1">
        <v>750</v>
      </c>
      <c r="G2048" s="1" t="s">
        <v>170</v>
      </c>
      <c r="H2048" s="234">
        <v>1.7</v>
      </c>
      <c r="I2048" s="235">
        <f t="shared" si="293"/>
        <v>1275</v>
      </c>
      <c r="K2048" s="250">
        <f>1.55*750</f>
        <v>1162.5</v>
      </c>
      <c r="L2048" s="237">
        <v>41417</v>
      </c>
      <c r="M2048" s="1" t="s">
        <v>698</v>
      </c>
      <c r="N2048" s="235">
        <f t="shared" ref="N2048" si="296">I2048</f>
        <v>1275</v>
      </c>
      <c r="O2048" s="235">
        <f t="shared" ref="O2048" si="297">I2048-N2048</f>
        <v>0</v>
      </c>
      <c r="P2048" s="238" t="s">
        <v>6983</v>
      </c>
      <c r="Q2048" s="5" t="s">
        <v>1562</v>
      </c>
      <c r="R2048" s="239" t="s">
        <v>167</v>
      </c>
      <c r="S2048" s="238" t="s">
        <v>167</v>
      </c>
      <c r="T2048" s="238" t="s">
        <v>167</v>
      </c>
      <c r="U2048" s="238" t="s">
        <v>167</v>
      </c>
      <c r="V2048" s="238" t="s">
        <v>6984</v>
      </c>
      <c r="AB2048" s="5" t="s">
        <v>1561</v>
      </c>
    </row>
    <row r="2049" spans="1:28">
      <c r="A2049" s="233">
        <v>41417</v>
      </c>
      <c r="B2049" s="1" t="s">
        <v>1979</v>
      </c>
      <c r="C2049" s="1" t="s">
        <v>162</v>
      </c>
      <c r="D2049" s="5" t="s">
        <v>182</v>
      </c>
      <c r="E2049" s="1" t="s">
        <v>186</v>
      </c>
      <c r="F2049" s="1">
        <v>5000</v>
      </c>
      <c r="G2049" s="1" t="s">
        <v>7003</v>
      </c>
      <c r="H2049" s="234">
        <v>1.59</v>
      </c>
      <c r="I2049" s="235">
        <f t="shared" si="293"/>
        <v>7950</v>
      </c>
      <c r="K2049" s="250">
        <f>1.54*5000</f>
        <v>7700</v>
      </c>
      <c r="N2049" s="1">
        <v>0</v>
      </c>
      <c r="O2049" s="236">
        <f t="shared" ref="O2049:O2052" si="298">I2049-N2049</f>
        <v>7950</v>
      </c>
      <c r="P2049" s="238" t="s">
        <v>7006</v>
      </c>
      <c r="Q2049" s="1" t="s">
        <v>2505</v>
      </c>
      <c r="R2049" s="265" t="s">
        <v>68</v>
      </c>
      <c r="S2049" s="265" t="s">
        <v>2973</v>
      </c>
      <c r="T2049" s="238" t="s">
        <v>67</v>
      </c>
      <c r="U2049" s="238" t="s">
        <v>167</v>
      </c>
      <c r="V2049" s="238" t="s">
        <v>6984</v>
      </c>
      <c r="AB2049" s="1" t="s">
        <v>1561</v>
      </c>
    </row>
    <row r="2050" spans="1:28">
      <c r="A2050" s="233">
        <v>41417</v>
      </c>
      <c r="B2050" s="1" t="s">
        <v>1979</v>
      </c>
      <c r="C2050" s="1" t="s">
        <v>162</v>
      </c>
      <c r="D2050" s="5" t="s">
        <v>346</v>
      </c>
      <c r="E2050" s="1">
        <v>3700</v>
      </c>
      <c r="F2050" s="1">
        <v>30</v>
      </c>
      <c r="G2050" s="1" t="s">
        <v>7004</v>
      </c>
      <c r="H2050" s="234">
        <v>3.83</v>
      </c>
      <c r="I2050" s="235">
        <f t="shared" si="293"/>
        <v>114.9</v>
      </c>
      <c r="K2050" s="250">
        <f>3.63*30</f>
        <v>108.89999999999999</v>
      </c>
      <c r="N2050" s="1">
        <v>0</v>
      </c>
      <c r="O2050" s="236">
        <f t="shared" si="298"/>
        <v>114.9</v>
      </c>
      <c r="P2050" s="238" t="s">
        <v>7006</v>
      </c>
      <c r="Q2050" s="1" t="s">
        <v>2505</v>
      </c>
      <c r="R2050" s="265" t="s">
        <v>68</v>
      </c>
      <c r="S2050" s="265" t="s">
        <v>2973</v>
      </c>
      <c r="T2050" s="238" t="s">
        <v>67</v>
      </c>
      <c r="U2050" s="238" t="s">
        <v>167</v>
      </c>
      <c r="AB2050" s="1" t="s">
        <v>1561</v>
      </c>
    </row>
    <row r="2051" spans="1:28">
      <c r="A2051" s="233">
        <v>41417</v>
      </c>
      <c r="B2051" s="1" t="s">
        <v>1979</v>
      </c>
      <c r="C2051" s="1" t="s">
        <v>162</v>
      </c>
      <c r="D2051" s="1" t="s">
        <v>240</v>
      </c>
      <c r="E2051" s="1">
        <v>6200</v>
      </c>
      <c r="F2051" s="1">
        <v>12</v>
      </c>
      <c r="G2051" s="1" t="s">
        <v>7004</v>
      </c>
      <c r="H2051" s="234">
        <v>45.5</v>
      </c>
      <c r="I2051" s="235">
        <f t="shared" si="293"/>
        <v>546</v>
      </c>
      <c r="K2051" s="250">
        <f>44.5*12</f>
        <v>534</v>
      </c>
      <c r="N2051" s="1">
        <v>0</v>
      </c>
      <c r="O2051" s="236">
        <f t="shared" si="298"/>
        <v>546</v>
      </c>
      <c r="P2051" s="238" t="s">
        <v>7006</v>
      </c>
      <c r="Q2051" s="1" t="s">
        <v>2505</v>
      </c>
      <c r="R2051" s="265" t="s">
        <v>68</v>
      </c>
      <c r="S2051" s="265" t="s">
        <v>2973</v>
      </c>
      <c r="T2051" s="238" t="s">
        <v>67</v>
      </c>
      <c r="U2051" s="238" t="s">
        <v>167</v>
      </c>
      <c r="AB2051" s="1" t="s">
        <v>1561</v>
      </c>
    </row>
    <row r="2052" spans="1:28">
      <c r="A2052" s="233">
        <v>41417</v>
      </c>
      <c r="B2052" s="1" t="s">
        <v>1979</v>
      </c>
      <c r="C2052" s="1" t="s">
        <v>162</v>
      </c>
      <c r="D2052" s="1" t="s">
        <v>1213</v>
      </c>
      <c r="E2052" s="1" t="s">
        <v>178</v>
      </c>
      <c r="F2052" s="1">
        <v>100</v>
      </c>
      <c r="G2052" s="1" t="s">
        <v>7005</v>
      </c>
      <c r="H2052" s="234">
        <v>13</v>
      </c>
      <c r="I2052" s="235">
        <f t="shared" si="293"/>
        <v>1300</v>
      </c>
      <c r="K2052" s="250">
        <f>12.4*100</f>
        <v>1240</v>
      </c>
      <c r="N2052" s="1">
        <v>0</v>
      </c>
      <c r="O2052" s="236">
        <f t="shared" si="298"/>
        <v>1300</v>
      </c>
      <c r="P2052" s="238" t="s">
        <v>7007</v>
      </c>
      <c r="Q2052" s="1" t="s">
        <v>2505</v>
      </c>
      <c r="R2052" s="265" t="s">
        <v>68</v>
      </c>
      <c r="S2052" s="265" t="s">
        <v>2973</v>
      </c>
      <c r="T2052" s="238" t="s">
        <v>67</v>
      </c>
      <c r="U2052" s="238" t="s">
        <v>167</v>
      </c>
      <c r="AB2052" s="1" t="s">
        <v>1561</v>
      </c>
    </row>
    <row r="2053" spans="1:28">
      <c r="A2053" s="233">
        <v>41417</v>
      </c>
      <c r="B2053" s="1" t="s">
        <v>3770</v>
      </c>
      <c r="C2053" s="1" t="s">
        <v>162</v>
      </c>
      <c r="D2053" s="1" t="s">
        <v>1763</v>
      </c>
      <c r="E2053" s="1">
        <v>1860</v>
      </c>
      <c r="F2053" s="1">
        <v>120</v>
      </c>
      <c r="G2053" s="1" t="s">
        <v>170</v>
      </c>
      <c r="H2053" s="234">
        <v>14</v>
      </c>
      <c r="I2053" s="235">
        <f t="shared" si="293"/>
        <v>1680</v>
      </c>
      <c r="K2053" s="250">
        <f>13.2*120</f>
        <v>1584</v>
      </c>
      <c r="N2053" s="1">
        <v>0</v>
      </c>
      <c r="O2053" s="235">
        <f>I2053-N2053</f>
        <v>1680</v>
      </c>
      <c r="P2053" s="238" t="s">
        <v>7009</v>
      </c>
      <c r="Q2053" s="1" t="s">
        <v>1562</v>
      </c>
      <c r="R2053" s="1" t="s">
        <v>3772</v>
      </c>
      <c r="S2053" s="238" t="s">
        <v>3773</v>
      </c>
      <c r="T2053" s="238" t="s">
        <v>4404</v>
      </c>
      <c r="U2053" s="238" t="s">
        <v>167</v>
      </c>
      <c r="AB2053" s="1" t="s">
        <v>1561</v>
      </c>
    </row>
    <row r="2054" spans="1:28">
      <c r="A2054" s="233">
        <v>41418</v>
      </c>
      <c r="B2054" s="1" t="s">
        <v>1569</v>
      </c>
      <c r="C2054" s="1" t="s">
        <v>162</v>
      </c>
      <c r="D2054" s="408" t="s">
        <v>593</v>
      </c>
      <c r="E2054" s="1">
        <v>3200</v>
      </c>
      <c r="F2054" s="1">
        <v>10</v>
      </c>
      <c r="G2054" s="1" t="s">
        <v>7015</v>
      </c>
      <c r="H2054" s="234">
        <v>27.5</v>
      </c>
      <c r="I2054" s="235">
        <f t="shared" ref="I2054:I2068" si="299">F2054*H2054</f>
        <v>275</v>
      </c>
      <c r="K2054" s="250">
        <f>23.94*10</f>
        <v>239.4</v>
      </c>
      <c r="N2054" s="1">
        <v>0</v>
      </c>
      <c r="O2054" s="235">
        <f t="shared" ref="O2054:O2061" si="300">I2054-N2054</f>
        <v>275</v>
      </c>
      <c r="P2054" s="238" t="s">
        <v>7026</v>
      </c>
      <c r="Q2054" s="1" t="s">
        <v>1571</v>
      </c>
      <c r="R2054" s="239" t="s">
        <v>1570</v>
      </c>
      <c r="S2054" s="238">
        <v>13368068212</v>
      </c>
      <c r="T2054" s="238" t="s">
        <v>167</v>
      </c>
      <c r="U2054" s="238" t="s">
        <v>167</v>
      </c>
      <c r="V2054" s="238" t="s">
        <v>7024</v>
      </c>
      <c r="W2054" s="236">
        <v>33867.5</v>
      </c>
      <c r="X2054" s="233">
        <v>41418</v>
      </c>
      <c r="Y2054" s="238" t="s">
        <v>7025</v>
      </c>
      <c r="AB2054" s="5" t="s">
        <v>1561</v>
      </c>
    </row>
    <row r="2055" spans="1:28">
      <c r="A2055" s="233">
        <v>41418</v>
      </c>
      <c r="B2055" s="1" t="s">
        <v>1569</v>
      </c>
      <c r="C2055" s="1" t="s">
        <v>162</v>
      </c>
      <c r="D2055" s="5" t="s">
        <v>182</v>
      </c>
      <c r="E2055" s="1" t="s">
        <v>186</v>
      </c>
      <c r="F2055" s="1">
        <v>2700</v>
      </c>
      <c r="G2055" s="1" t="s">
        <v>7022</v>
      </c>
      <c r="H2055" s="234">
        <v>1.65</v>
      </c>
      <c r="I2055" s="235">
        <f t="shared" si="299"/>
        <v>4455</v>
      </c>
      <c r="K2055" s="250">
        <f>1.54*2700</f>
        <v>4158</v>
      </c>
      <c r="N2055" s="1">
        <v>0</v>
      </c>
      <c r="O2055" s="235">
        <f t="shared" si="300"/>
        <v>4455</v>
      </c>
      <c r="P2055" s="238" t="s">
        <v>7026</v>
      </c>
      <c r="Q2055" s="1" t="s">
        <v>1571</v>
      </c>
      <c r="R2055" s="239" t="s">
        <v>1570</v>
      </c>
      <c r="S2055" s="238">
        <v>13368068212</v>
      </c>
      <c r="T2055" s="238" t="s">
        <v>167</v>
      </c>
      <c r="U2055" s="238" t="s">
        <v>167</v>
      </c>
      <c r="V2055" s="238" t="s">
        <v>7024</v>
      </c>
      <c r="W2055" s="236">
        <v>33867.5</v>
      </c>
      <c r="X2055" s="233">
        <v>41418</v>
      </c>
      <c r="Y2055" s="238" t="s">
        <v>7025</v>
      </c>
      <c r="AB2055" s="5" t="s">
        <v>1561</v>
      </c>
    </row>
    <row r="2056" spans="1:28">
      <c r="A2056" s="233">
        <v>41418</v>
      </c>
      <c r="B2056" s="1" t="s">
        <v>1569</v>
      </c>
      <c r="C2056" s="1" t="s">
        <v>162</v>
      </c>
      <c r="D2056" s="5" t="s">
        <v>346</v>
      </c>
      <c r="E2056" s="1">
        <v>3700</v>
      </c>
      <c r="F2056" s="1">
        <v>100</v>
      </c>
      <c r="G2056" s="1" t="s">
        <v>7015</v>
      </c>
      <c r="H2056" s="234">
        <v>4</v>
      </c>
      <c r="I2056" s="235">
        <f t="shared" si="299"/>
        <v>400</v>
      </c>
      <c r="K2056" s="250">
        <f>3.8*100</f>
        <v>380</v>
      </c>
      <c r="N2056" s="1">
        <v>0</v>
      </c>
      <c r="O2056" s="235">
        <f t="shared" si="300"/>
        <v>400</v>
      </c>
      <c r="P2056" s="238" t="s">
        <v>7026</v>
      </c>
      <c r="Q2056" s="1" t="s">
        <v>1571</v>
      </c>
      <c r="R2056" s="239" t="s">
        <v>1570</v>
      </c>
      <c r="S2056" s="238">
        <v>13368068212</v>
      </c>
      <c r="T2056" s="238" t="s">
        <v>167</v>
      </c>
      <c r="U2056" s="238" t="s">
        <v>167</v>
      </c>
      <c r="V2056" s="238" t="s">
        <v>7024</v>
      </c>
      <c r="W2056" s="236">
        <v>33867.5</v>
      </c>
      <c r="X2056" s="233">
        <v>41418</v>
      </c>
      <c r="Y2056" s="238" t="s">
        <v>7025</v>
      </c>
      <c r="AB2056" s="5" t="s">
        <v>1561</v>
      </c>
    </row>
    <row r="2057" spans="1:28">
      <c r="A2057" s="233">
        <v>41418</v>
      </c>
      <c r="B2057" s="1" t="s">
        <v>1569</v>
      </c>
      <c r="C2057" s="1" t="s">
        <v>162</v>
      </c>
      <c r="D2057" s="5" t="s">
        <v>353</v>
      </c>
      <c r="E2057" s="1" t="s">
        <v>7023</v>
      </c>
      <c r="F2057" s="1">
        <v>10</v>
      </c>
      <c r="G2057" s="1" t="s">
        <v>7015</v>
      </c>
      <c r="H2057" s="234">
        <v>12.93</v>
      </c>
      <c r="I2057" s="235">
        <f t="shared" si="299"/>
        <v>129.30000000000001</v>
      </c>
      <c r="K2057" s="250">
        <f>12*10</f>
        <v>120</v>
      </c>
      <c r="N2057" s="1">
        <v>0</v>
      </c>
      <c r="O2057" s="235">
        <f t="shared" si="300"/>
        <v>129.30000000000001</v>
      </c>
      <c r="P2057" s="238" t="s">
        <v>7026</v>
      </c>
      <c r="Q2057" s="1" t="s">
        <v>1571</v>
      </c>
      <c r="R2057" s="239" t="s">
        <v>1570</v>
      </c>
      <c r="S2057" s="238">
        <v>13368068212</v>
      </c>
      <c r="T2057" s="238" t="s">
        <v>167</v>
      </c>
      <c r="U2057" s="238" t="s">
        <v>167</v>
      </c>
      <c r="AB2057" s="5" t="s">
        <v>1561</v>
      </c>
    </row>
    <row r="2058" spans="1:28">
      <c r="A2058" s="233">
        <v>41418</v>
      </c>
      <c r="B2058" s="1" t="s">
        <v>1569</v>
      </c>
      <c r="C2058" s="1" t="s">
        <v>162</v>
      </c>
      <c r="D2058" s="1" t="s">
        <v>240</v>
      </c>
      <c r="E2058" s="1">
        <v>6200</v>
      </c>
      <c r="F2058" s="1">
        <v>48</v>
      </c>
      <c r="G2058" s="1" t="s">
        <v>7015</v>
      </c>
      <c r="H2058" s="234">
        <v>46.65</v>
      </c>
      <c r="I2058" s="235">
        <f t="shared" si="299"/>
        <v>2239.1999999999998</v>
      </c>
      <c r="K2058" s="250">
        <f>45.2*48</f>
        <v>2169.6000000000004</v>
      </c>
      <c r="N2058" s="1">
        <v>0</v>
      </c>
      <c r="O2058" s="235">
        <f t="shared" si="300"/>
        <v>2239.1999999999998</v>
      </c>
      <c r="P2058" s="238" t="s">
        <v>7026</v>
      </c>
      <c r="Q2058" s="1" t="s">
        <v>1571</v>
      </c>
      <c r="R2058" s="239" t="s">
        <v>1570</v>
      </c>
      <c r="S2058" s="238">
        <v>13368068212</v>
      </c>
      <c r="T2058" s="238" t="s">
        <v>167</v>
      </c>
      <c r="U2058" s="238" t="s">
        <v>167</v>
      </c>
      <c r="V2058" s="238" t="s">
        <v>7024</v>
      </c>
      <c r="W2058" s="236">
        <v>33867.5</v>
      </c>
      <c r="X2058" s="233">
        <v>41418</v>
      </c>
      <c r="Y2058" s="238" t="s">
        <v>7025</v>
      </c>
      <c r="AB2058" s="5" t="s">
        <v>1561</v>
      </c>
    </row>
    <row r="2059" spans="1:28">
      <c r="A2059" s="233">
        <v>41418</v>
      </c>
      <c r="B2059" s="1" t="s">
        <v>1569</v>
      </c>
      <c r="C2059" s="1" t="s">
        <v>162</v>
      </c>
      <c r="D2059" s="1" t="s">
        <v>1882</v>
      </c>
      <c r="E2059" s="1" t="s">
        <v>145</v>
      </c>
      <c r="F2059" s="1">
        <v>60</v>
      </c>
      <c r="G2059" s="1" t="s">
        <v>7015</v>
      </c>
      <c r="H2059" s="234">
        <v>18.350000000000001</v>
      </c>
      <c r="I2059" s="235">
        <f t="shared" si="299"/>
        <v>1101</v>
      </c>
      <c r="K2059" s="250">
        <f>17.8*60</f>
        <v>1068</v>
      </c>
      <c r="N2059" s="1">
        <v>0</v>
      </c>
      <c r="O2059" s="235">
        <f t="shared" si="300"/>
        <v>1101</v>
      </c>
      <c r="P2059" s="238" t="s">
        <v>7026</v>
      </c>
      <c r="Q2059" s="1" t="s">
        <v>1571</v>
      </c>
      <c r="R2059" s="239" t="s">
        <v>1570</v>
      </c>
      <c r="S2059" s="238">
        <v>13368068212</v>
      </c>
      <c r="T2059" s="238" t="s">
        <v>167</v>
      </c>
      <c r="U2059" s="238" t="s">
        <v>167</v>
      </c>
      <c r="AB2059" s="5" t="s">
        <v>1561</v>
      </c>
    </row>
    <row r="2060" spans="1:28">
      <c r="A2060" s="233">
        <v>41418</v>
      </c>
      <c r="B2060" s="1" t="s">
        <v>1569</v>
      </c>
      <c r="C2060" s="1" t="s">
        <v>162</v>
      </c>
      <c r="D2060" s="5" t="s">
        <v>182</v>
      </c>
      <c r="E2060" s="1" t="s">
        <v>194</v>
      </c>
      <c r="F2060" s="1">
        <v>50</v>
      </c>
      <c r="G2060" s="1" t="s">
        <v>7022</v>
      </c>
      <c r="H2060" s="234">
        <v>5.2</v>
      </c>
      <c r="I2060" s="235">
        <f t="shared" si="299"/>
        <v>260</v>
      </c>
      <c r="K2060" s="250">
        <f>4.75*50</f>
        <v>237.5</v>
      </c>
      <c r="N2060" s="1">
        <v>0</v>
      </c>
      <c r="O2060" s="235">
        <f t="shared" si="300"/>
        <v>260</v>
      </c>
      <c r="P2060" s="238" t="s">
        <v>7026</v>
      </c>
      <c r="Q2060" s="1" t="s">
        <v>1571</v>
      </c>
      <c r="R2060" s="239" t="s">
        <v>1570</v>
      </c>
      <c r="S2060" s="238">
        <v>13368068212</v>
      </c>
      <c r="T2060" s="238" t="s">
        <v>167</v>
      </c>
      <c r="U2060" s="238" t="s">
        <v>167</v>
      </c>
      <c r="V2060" s="238" t="s">
        <v>7024</v>
      </c>
      <c r="W2060" s="236">
        <v>33867.5</v>
      </c>
      <c r="X2060" s="233">
        <v>41418</v>
      </c>
      <c r="Y2060" s="238" t="s">
        <v>7025</v>
      </c>
      <c r="AB2060" s="5" t="s">
        <v>1561</v>
      </c>
    </row>
    <row r="2061" spans="1:28">
      <c r="A2061" s="233">
        <v>41418</v>
      </c>
      <c r="B2061" s="1" t="s">
        <v>1569</v>
      </c>
      <c r="C2061" s="1" t="s">
        <v>162</v>
      </c>
      <c r="D2061" s="1" t="s">
        <v>307</v>
      </c>
      <c r="E2061" s="1">
        <v>1110</v>
      </c>
      <c r="F2061" s="1">
        <v>200</v>
      </c>
      <c r="G2061" s="1" t="s">
        <v>7021</v>
      </c>
      <c r="H2061" s="234">
        <v>0.8</v>
      </c>
      <c r="I2061" s="235">
        <f t="shared" si="299"/>
        <v>160</v>
      </c>
      <c r="K2061" s="250">
        <f>0.6*200</f>
        <v>120</v>
      </c>
      <c r="N2061" s="1">
        <v>0</v>
      </c>
      <c r="O2061" s="235">
        <f t="shared" si="300"/>
        <v>160</v>
      </c>
      <c r="P2061" s="238" t="s">
        <v>7026</v>
      </c>
      <c r="Q2061" s="1" t="s">
        <v>1571</v>
      </c>
      <c r="R2061" s="239" t="s">
        <v>1570</v>
      </c>
      <c r="S2061" s="238">
        <v>13368068212</v>
      </c>
      <c r="T2061" s="238" t="s">
        <v>167</v>
      </c>
      <c r="U2061" s="238" t="s">
        <v>167</v>
      </c>
      <c r="V2061" s="238" t="s">
        <v>7024</v>
      </c>
      <c r="W2061" s="236">
        <v>33867.5</v>
      </c>
      <c r="X2061" s="233">
        <v>41418</v>
      </c>
      <c r="Y2061" s="238" t="s">
        <v>7025</v>
      </c>
      <c r="AB2061" s="5" t="s">
        <v>1561</v>
      </c>
    </row>
    <row r="2062" spans="1:28">
      <c r="A2062" s="233">
        <v>41418</v>
      </c>
      <c r="B2062" s="136" t="s">
        <v>5974</v>
      </c>
      <c r="C2062" s="1" t="s">
        <v>167</v>
      </c>
      <c r="D2062" s="1" t="s">
        <v>5680</v>
      </c>
      <c r="E2062" s="1" t="s">
        <v>167</v>
      </c>
      <c r="F2062" s="1">
        <v>1000</v>
      </c>
      <c r="G2062" s="1" t="s">
        <v>1497</v>
      </c>
      <c r="H2062" s="234">
        <v>1.3</v>
      </c>
      <c r="I2062" s="235">
        <f t="shared" si="299"/>
        <v>1300</v>
      </c>
      <c r="K2062" s="250">
        <f>0.68*1000</f>
        <v>680</v>
      </c>
      <c r="N2062" s="235">
        <v>0</v>
      </c>
      <c r="O2062" s="236">
        <f t="shared" ref="O2062:O2070" si="301">I2062-N2062</f>
        <v>1300</v>
      </c>
      <c r="P2062" s="238" t="s">
        <v>167</v>
      </c>
      <c r="Q2062" s="1" t="s">
        <v>2505</v>
      </c>
      <c r="R2062" s="239" t="s">
        <v>5318</v>
      </c>
      <c r="S2062" s="238" t="s">
        <v>5319</v>
      </c>
      <c r="T2062" s="238" t="s">
        <v>5317</v>
      </c>
      <c r="U2062" s="238" t="s">
        <v>167</v>
      </c>
      <c r="AB2062" s="1" t="s">
        <v>2064</v>
      </c>
    </row>
    <row r="2063" spans="1:28">
      <c r="A2063" s="233">
        <v>41418</v>
      </c>
      <c r="B2063" s="136" t="s">
        <v>5974</v>
      </c>
      <c r="C2063" s="1" t="s">
        <v>167</v>
      </c>
      <c r="D2063" s="1" t="s">
        <v>5679</v>
      </c>
      <c r="E2063" s="1" t="s">
        <v>167</v>
      </c>
      <c r="F2063" s="1">
        <v>20</v>
      </c>
      <c r="G2063" s="1" t="s">
        <v>1071</v>
      </c>
      <c r="H2063" s="234">
        <v>38</v>
      </c>
      <c r="I2063" s="235">
        <f t="shared" si="299"/>
        <v>760</v>
      </c>
      <c r="K2063" s="250">
        <f>30*20</f>
        <v>600</v>
      </c>
      <c r="N2063" s="235">
        <v>0</v>
      </c>
      <c r="O2063" s="236">
        <f t="shared" si="301"/>
        <v>760</v>
      </c>
      <c r="P2063" s="238" t="s">
        <v>167</v>
      </c>
      <c r="Q2063" s="1" t="s">
        <v>2505</v>
      </c>
      <c r="R2063" s="239" t="s">
        <v>5318</v>
      </c>
      <c r="S2063" s="238" t="s">
        <v>5319</v>
      </c>
      <c r="T2063" s="238" t="s">
        <v>5317</v>
      </c>
      <c r="U2063" s="238" t="s">
        <v>167</v>
      </c>
      <c r="AB2063" s="1" t="s">
        <v>2064</v>
      </c>
    </row>
    <row r="2064" spans="1:28">
      <c r="A2064" s="233">
        <v>41418</v>
      </c>
      <c r="B2064" s="136" t="s">
        <v>5974</v>
      </c>
      <c r="C2064" s="1" t="s">
        <v>167</v>
      </c>
      <c r="D2064" s="1" t="s">
        <v>5678</v>
      </c>
      <c r="E2064" s="1" t="s">
        <v>167</v>
      </c>
      <c r="F2064" s="1">
        <v>50</v>
      </c>
      <c r="G2064" s="1" t="s">
        <v>1497</v>
      </c>
      <c r="H2064" s="234">
        <v>2</v>
      </c>
      <c r="I2064" s="235">
        <f t="shared" si="299"/>
        <v>100</v>
      </c>
      <c r="K2064" s="250">
        <f>1.7*50</f>
        <v>85</v>
      </c>
      <c r="N2064" s="235">
        <v>0</v>
      </c>
      <c r="O2064" s="236">
        <f t="shared" si="301"/>
        <v>100</v>
      </c>
      <c r="P2064" s="238" t="s">
        <v>167</v>
      </c>
      <c r="Q2064" s="1" t="s">
        <v>2505</v>
      </c>
      <c r="R2064" s="239" t="s">
        <v>5318</v>
      </c>
      <c r="S2064" s="238" t="s">
        <v>5319</v>
      </c>
      <c r="T2064" s="238" t="s">
        <v>5317</v>
      </c>
      <c r="U2064" s="238" t="s">
        <v>167</v>
      </c>
      <c r="AB2064" s="1" t="s">
        <v>2064</v>
      </c>
    </row>
    <row r="2065" spans="1:28">
      <c r="A2065" s="233">
        <v>41418</v>
      </c>
      <c r="B2065" s="136" t="s">
        <v>5974</v>
      </c>
      <c r="C2065" s="1" t="s">
        <v>7</v>
      </c>
      <c r="D2065" s="1" t="s">
        <v>7033</v>
      </c>
      <c r="E2065" s="1" t="s">
        <v>5357</v>
      </c>
      <c r="F2065" s="1">
        <v>100</v>
      </c>
      <c r="G2065" s="1" t="s">
        <v>827</v>
      </c>
      <c r="H2065" s="234">
        <v>8</v>
      </c>
      <c r="I2065" s="235">
        <f t="shared" si="299"/>
        <v>800</v>
      </c>
      <c r="K2065" s="282">
        <f>0</f>
        <v>0</v>
      </c>
      <c r="N2065" s="235">
        <v>0</v>
      </c>
      <c r="O2065" s="236">
        <f t="shared" si="301"/>
        <v>800</v>
      </c>
      <c r="P2065" s="238" t="s">
        <v>167</v>
      </c>
      <c r="Q2065" s="1" t="s">
        <v>2505</v>
      </c>
      <c r="R2065" s="239" t="s">
        <v>5318</v>
      </c>
      <c r="S2065" s="238" t="s">
        <v>5319</v>
      </c>
      <c r="T2065" s="238" t="s">
        <v>5317</v>
      </c>
      <c r="U2065" s="238" t="s">
        <v>167</v>
      </c>
      <c r="Z2065" s="255" t="s">
        <v>7031</v>
      </c>
      <c r="AB2065" s="1" t="s">
        <v>2064</v>
      </c>
    </row>
    <row r="2066" spans="1:28">
      <c r="A2066" s="233">
        <v>41418</v>
      </c>
      <c r="B2066" s="136" t="s">
        <v>5974</v>
      </c>
      <c r="C2066" s="1" t="s">
        <v>7</v>
      </c>
      <c r="D2066" s="1" t="s">
        <v>5681</v>
      </c>
      <c r="E2066" s="1">
        <v>3985</v>
      </c>
      <c r="F2066" s="1">
        <v>300</v>
      </c>
      <c r="G2066" s="1" t="s">
        <v>827</v>
      </c>
      <c r="H2066" s="234">
        <v>9</v>
      </c>
      <c r="I2066" s="235">
        <f t="shared" si="299"/>
        <v>2700</v>
      </c>
      <c r="K2066" s="250">
        <f>6.72*300</f>
        <v>2016</v>
      </c>
      <c r="N2066" s="235">
        <v>0</v>
      </c>
      <c r="O2066" s="236">
        <f t="shared" si="301"/>
        <v>2700</v>
      </c>
      <c r="P2066" s="238" t="s">
        <v>167</v>
      </c>
      <c r="Q2066" s="1" t="s">
        <v>2505</v>
      </c>
      <c r="R2066" s="239" t="s">
        <v>5318</v>
      </c>
      <c r="S2066" s="238" t="s">
        <v>5319</v>
      </c>
      <c r="T2066" s="238" t="s">
        <v>5317</v>
      </c>
      <c r="U2066" s="238" t="s">
        <v>167</v>
      </c>
      <c r="AB2066" s="1" t="s">
        <v>2064</v>
      </c>
    </row>
    <row r="2067" spans="1:28">
      <c r="A2067" s="233">
        <v>41418</v>
      </c>
      <c r="B2067" s="136" t="s">
        <v>5974</v>
      </c>
      <c r="C2067" s="1" t="s">
        <v>6216</v>
      </c>
      <c r="D2067" s="1" t="s">
        <v>6214</v>
      </c>
      <c r="E2067" s="406">
        <v>110110</v>
      </c>
      <c r="F2067" s="1">
        <v>150</v>
      </c>
      <c r="G2067" s="1" t="s">
        <v>754</v>
      </c>
      <c r="H2067" s="234">
        <v>18</v>
      </c>
      <c r="I2067" s="235">
        <f t="shared" si="299"/>
        <v>2700</v>
      </c>
      <c r="K2067" s="250">
        <f>13.5*150</f>
        <v>2025</v>
      </c>
      <c r="N2067" s="235">
        <v>0</v>
      </c>
      <c r="O2067" s="236">
        <f t="shared" si="301"/>
        <v>2700</v>
      </c>
      <c r="P2067" s="238" t="s">
        <v>167</v>
      </c>
      <c r="Q2067" s="1" t="s">
        <v>2505</v>
      </c>
      <c r="R2067" s="239" t="s">
        <v>5318</v>
      </c>
      <c r="S2067" s="238" t="s">
        <v>5319</v>
      </c>
      <c r="T2067" s="238" t="s">
        <v>5317</v>
      </c>
      <c r="U2067" s="238" t="s">
        <v>167</v>
      </c>
      <c r="AB2067" s="1" t="s">
        <v>2064</v>
      </c>
    </row>
    <row r="2068" spans="1:28">
      <c r="A2068" s="233">
        <v>41418</v>
      </c>
      <c r="B2068" s="1" t="s">
        <v>5615</v>
      </c>
      <c r="C2068" s="1" t="s">
        <v>162</v>
      </c>
      <c r="D2068" s="408" t="s">
        <v>5047</v>
      </c>
      <c r="E2068" s="1">
        <v>8210</v>
      </c>
      <c r="F2068" s="1">
        <v>40</v>
      </c>
      <c r="G2068" s="1" t="s">
        <v>170</v>
      </c>
      <c r="H2068" s="234">
        <v>4.32</v>
      </c>
      <c r="I2068" s="235">
        <f t="shared" si="299"/>
        <v>172.8</v>
      </c>
      <c r="K2068" s="250">
        <f>3.78*40</f>
        <v>151.19999999999999</v>
      </c>
      <c r="L2068" s="237">
        <v>41420</v>
      </c>
      <c r="M2068" s="1" t="s">
        <v>166</v>
      </c>
      <c r="N2068" s="235">
        <f>I2068</f>
        <v>172.8</v>
      </c>
      <c r="O2068" s="236">
        <f t="shared" si="301"/>
        <v>0</v>
      </c>
      <c r="P2068" s="238" t="s">
        <v>7017</v>
      </c>
      <c r="Q2068" s="1" t="s">
        <v>726</v>
      </c>
      <c r="R2068" s="239" t="s">
        <v>5624</v>
      </c>
      <c r="S2068" s="238" t="s">
        <v>5625</v>
      </c>
      <c r="T2068" s="238" t="s">
        <v>5626</v>
      </c>
      <c r="U2068" s="238" t="s">
        <v>7042</v>
      </c>
      <c r="AB2068" s="1" t="s">
        <v>1561</v>
      </c>
    </row>
    <row r="2069" spans="1:28">
      <c r="A2069" s="233">
        <v>41418</v>
      </c>
      <c r="B2069" s="5" t="s">
        <v>2105</v>
      </c>
      <c r="C2069" s="1" t="s">
        <v>162</v>
      </c>
      <c r="D2069" s="408" t="s">
        <v>7016</v>
      </c>
      <c r="E2069" s="1">
        <v>6885</v>
      </c>
      <c r="F2069" s="1">
        <v>20</v>
      </c>
      <c r="G2069" s="1" t="s">
        <v>7022</v>
      </c>
      <c r="H2069" s="234">
        <v>5</v>
      </c>
      <c r="I2069" s="235">
        <f t="shared" ref="I2069:I2070" si="302">F2069*H2069</f>
        <v>100</v>
      </c>
      <c r="K2069" s="250">
        <f>4.2*20</f>
        <v>84</v>
      </c>
      <c r="N2069" s="235">
        <v>0</v>
      </c>
      <c r="O2069" s="236">
        <f t="shared" si="301"/>
        <v>100</v>
      </c>
      <c r="P2069" s="238" t="s">
        <v>7048</v>
      </c>
      <c r="Q2069" s="1" t="s">
        <v>3647</v>
      </c>
      <c r="R2069" s="247" t="s">
        <v>2470</v>
      </c>
      <c r="S2069" s="246" t="s">
        <v>2103</v>
      </c>
      <c r="T2069" s="246" t="s">
        <v>3694</v>
      </c>
      <c r="U2069" s="238" t="s">
        <v>7088</v>
      </c>
      <c r="V2069" s="238" t="s">
        <v>175</v>
      </c>
      <c r="AB2069" s="1" t="s">
        <v>1561</v>
      </c>
    </row>
    <row r="2070" spans="1:28">
      <c r="A2070" s="233">
        <v>41418</v>
      </c>
      <c r="B2070" s="5" t="s">
        <v>2105</v>
      </c>
      <c r="C2070" s="1" t="s">
        <v>162</v>
      </c>
      <c r="D2070" s="408" t="s">
        <v>5047</v>
      </c>
      <c r="E2070" s="1">
        <v>8210</v>
      </c>
      <c r="F2070" s="1">
        <v>480</v>
      </c>
      <c r="G2070" s="1" t="s">
        <v>170</v>
      </c>
      <c r="H2070" s="234">
        <v>4.6500000000000004</v>
      </c>
      <c r="I2070" s="235">
        <f t="shared" si="302"/>
        <v>2232</v>
      </c>
      <c r="K2070" s="250">
        <f>480*3.78</f>
        <v>1814.3999999999999</v>
      </c>
      <c r="N2070" s="235">
        <v>0</v>
      </c>
      <c r="O2070" s="236">
        <f t="shared" si="301"/>
        <v>2232</v>
      </c>
      <c r="P2070" s="238" t="s">
        <v>7048</v>
      </c>
      <c r="Q2070" s="1" t="s">
        <v>3647</v>
      </c>
      <c r="R2070" s="247" t="s">
        <v>2470</v>
      </c>
      <c r="S2070" s="246" t="s">
        <v>2103</v>
      </c>
      <c r="T2070" s="246" t="s">
        <v>3694</v>
      </c>
      <c r="U2070" s="238" t="s">
        <v>7088</v>
      </c>
      <c r="V2070" s="238" t="s">
        <v>175</v>
      </c>
      <c r="AB2070" s="1" t="s">
        <v>1561</v>
      </c>
    </row>
    <row r="2071" spans="1:28">
      <c r="A2071" s="233">
        <v>41418</v>
      </c>
      <c r="B2071" s="1" t="s">
        <v>4698</v>
      </c>
      <c r="C2071" s="1" t="s">
        <v>162</v>
      </c>
      <c r="D2071" s="5" t="s">
        <v>2012</v>
      </c>
      <c r="E2071" s="1" t="s">
        <v>180</v>
      </c>
      <c r="F2071" s="1">
        <v>500</v>
      </c>
      <c r="G2071" s="1" t="s">
        <v>170</v>
      </c>
      <c r="H2071" s="234">
        <v>1.75</v>
      </c>
      <c r="I2071" s="235">
        <f>F2071*H2071</f>
        <v>875</v>
      </c>
      <c r="K2071" s="250">
        <f>1.55*500</f>
        <v>775</v>
      </c>
      <c r="L2071" s="237">
        <v>41415</v>
      </c>
      <c r="M2071" s="1" t="s">
        <v>165</v>
      </c>
      <c r="N2071" s="235">
        <f t="shared" ref="N2071:N2073" si="303">I2071</f>
        <v>875</v>
      </c>
      <c r="O2071" s="235">
        <f t="shared" ref="O2071:O2078" si="304">I2071-N2071</f>
        <v>0</v>
      </c>
      <c r="P2071" s="238" t="s">
        <v>6935</v>
      </c>
      <c r="Q2071" s="1" t="s">
        <v>3647</v>
      </c>
      <c r="R2071" s="239" t="s">
        <v>4700</v>
      </c>
      <c r="S2071" s="238" t="s">
        <v>4701</v>
      </c>
      <c r="T2071" s="238" t="s">
        <v>4702</v>
      </c>
      <c r="U2071" s="238" t="s">
        <v>7089</v>
      </c>
      <c r="AB2071" s="1" t="s">
        <v>1561</v>
      </c>
    </row>
    <row r="2072" spans="1:28">
      <c r="A2072" s="233">
        <v>41418</v>
      </c>
      <c r="B2072" s="1" t="s">
        <v>4698</v>
      </c>
      <c r="C2072" s="1" t="s">
        <v>162</v>
      </c>
      <c r="D2072" s="5" t="s">
        <v>6254</v>
      </c>
      <c r="E2072" s="1" t="s">
        <v>180</v>
      </c>
      <c r="F2072" s="1">
        <v>500</v>
      </c>
      <c r="G2072" s="1" t="s">
        <v>170</v>
      </c>
      <c r="H2072" s="234">
        <v>1.75</v>
      </c>
      <c r="I2072" s="235">
        <f>F2072*H2072</f>
        <v>875</v>
      </c>
      <c r="K2072" s="250">
        <f>1.63*500</f>
        <v>815</v>
      </c>
      <c r="L2072" s="237">
        <v>41415</v>
      </c>
      <c r="M2072" s="1" t="s">
        <v>165</v>
      </c>
      <c r="N2072" s="235">
        <f t="shared" ref="N2072" si="305">I2072</f>
        <v>875</v>
      </c>
      <c r="O2072" s="235">
        <f t="shared" ref="O2072" si="306">I2072-N2072</f>
        <v>0</v>
      </c>
      <c r="P2072" s="238" t="s">
        <v>6935</v>
      </c>
      <c r="Q2072" s="1" t="s">
        <v>3647</v>
      </c>
      <c r="R2072" s="239" t="s">
        <v>4700</v>
      </c>
      <c r="S2072" s="238" t="s">
        <v>4701</v>
      </c>
      <c r="T2072" s="238" t="s">
        <v>4702</v>
      </c>
      <c r="U2072" s="238" t="s">
        <v>7089</v>
      </c>
      <c r="AB2072" s="1" t="s">
        <v>1561</v>
      </c>
    </row>
    <row r="2073" spans="1:28">
      <c r="A2073" s="233">
        <v>41418</v>
      </c>
      <c r="B2073" s="1" t="s">
        <v>4698</v>
      </c>
      <c r="C2073" s="1" t="s">
        <v>162</v>
      </c>
      <c r="D2073" s="1" t="s">
        <v>2023</v>
      </c>
      <c r="E2073" s="1" t="s">
        <v>1083</v>
      </c>
      <c r="F2073" s="1">
        <v>500</v>
      </c>
      <c r="G2073" s="1" t="s">
        <v>170</v>
      </c>
      <c r="H2073" s="234">
        <v>4.32</v>
      </c>
      <c r="I2073" s="235">
        <f>F2073*H2073</f>
        <v>2160</v>
      </c>
      <c r="K2073" s="250">
        <f>3.96*500</f>
        <v>1980</v>
      </c>
      <c r="L2073" s="237">
        <v>41415</v>
      </c>
      <c r="M2073" s="1" t="s">
        <v>165</v>
      </c>
      <c r="N2073" s="235">
        <f t="shared" si="303"/>
        <v>2160</v>
      </c>
      <c r="O2073" s="235">
        <f t="shared" si="304"/>
        <v>0</v>
      </c>
      <c r="P2073" s="238" t="s">
        <v>6935</v>
      </c>
      <c r="Q2073" s="1" t="s">
        <v>3647</v>
      </c>
      <c r="R2073" s="239" t="s">
        <v>4700</v>
      </c>
      <c r="S2073" s="238" t="s">
        <v>4701</v>
      </c>
      <c r="T2073" s="238" t="s">
        <v>4702</v>
      </c>
      <c r="U2073" s="238" t="s">
        <v>7089</v>
      </c>
      <c r="AB2073" s="1" t="s">
        <v>1561</v>
      </c>
    </row>
    <row r="2074" spans="1:28">
      <c r="A2074" s="233">
        <v>41418</v>
      </c>
      <c r="B2074" s="1" t="s">
        <v>4338</v>
      </c>
      <c r="C2074" s="1" t="s">
        <v>162</v>
      </c>
      <c r="D2074" s="1" t="s">
        <v>307</v>
      </c>
      <c r="E2074" s="1">
        <v>1110</v>
      </c>
      <c r="F2074" s="1">
        <v>500</v>
      </c>
      <c r="G2074" s="1" t="s">
        <v>6936</v>
      </c>
      <c r="H2074" s="234">
        <v>0.8</v>
      </c>
      <c r="I2074" s="235">
        <f t="shared" ref="I2074:I2078" si="307">F2074*H2074</f>
        <v>400</v>
      </c>
      <c r="K2074" s="250">
        <f>0.71*450+0.6*50</f>
        <v>349.5</v>
      </c>
      <c r="L2074" s="237">
        <v>41418</v>
      </c>
      <c r="M2074" s="1" t="s">
        <v>165</v>
      </c>
      <c r="N2074" s="235">
        <f>I2074</f>
        <v>400</v>
      </c>
      <c r="O2074" s="236">
        <f t="shared" si="304"/>
        <v>0</v>
      </c>
      <c r="P2074" s="238" t="s">
        <v>6937</v>
      </c>
      <c r="Q2074" s="1" t="s">
        <v>6559</v>
      </c>
      <c r="R2074" s="239" t="s">
        <v>4341</v>
      </c>
      <c r="S2074" s="238" t="s">
        <v>4342</v>
      </c>
      <c r="T2074" s="238" t="s">
        <v>2237</v>
      </c>
      <c r="AB2074" s="1" t="s">
        <v>1561</v>
      </c>
    </row>
    <row r="2075" spans="1:28">
      <c r="A2075" s="233">
        <v>41418</v>
      </c>
      <c r="B2075" s="228" t="s">
        <v>1488</v>
      </c>
      <c r="C2075" s="1" t="s">
        <v>162</v>
      </c>
      <c r="D2075" s="1" t="s">
        <v>6966</v>
      </c>
      <c r="E2075" s="1">
        <v>6894</v>
      </c>
      <c r="F2075" s="1">
        <v>30</v>
      </c>
      <c r="G2075" s="1" t="s">
        <v>170</v>
      </c>
      <c r="H2075" s="234">
        <v>79</v>
      </c>
      <c r="I2075" s="235">
        <f t="shared" si="307"/>
        <v>2370</v>
      </c>
      <c r="K2075" s="250">
        <f>74.4*5+74.3*25</f>
        <v>2229.5</v>
      </c>
      <c r="L2075" s="237">
        <v>41421</v>
      </c>
      <c r="M2075" s="1" t="s">
        <v>166</v>
      </c>
      <c r="N2075" s="236">
        <f t="shared" ref="N2075:N2078" si="308">I2075</f>
        <v>2370</v>
      </c>
      <c r="O2075" s="236">
        <f t="shared" si="304"/>
        <v>0</v>
      </c>
      <c r="P2075" s="238" t="s">
        <v>6960</v>
      </c>
      <c r="Q2075" s="1" t="s">
        <v>2272</v>
      </c>
      <c r="R2075" s="239" t="s">
        <v>4326</v>
      </c>
      <c r="S2075" s="238" t="s">
        <v>4327</v>
      </c>
      <c r="T2075" s="238" t="s">
        <v>1471</v>
      </c>
      <c r="U2075" s="238" t="s">
        <v>7090</v>
      </c>
      <c r="AB2075" s="1" t="s">
        <v>1561</v>
      </c>
    </row>
    <row r="2076" spans="1:28">
      <c r="A2076" s="233">
        <v>41418</v>
      </c>
      <c r="B2076" s="228" t="s">
        <v>1488</v>
      </c>
      <c r="C2076" s="1" t="s">
        <v>162</v>
      </c>
      <c r="D2076" s="1" t="s">
        <v>6965</v>
      </c>
      <c r="E2076" s="1">
        <v>6893</v>
      </c>
      <c r="F2076" s="1">
        <v>30</v>
      </c>
      <c r="G2076" s="1" t="s">
        <v>171</v>
      </c>
      <c r="H2076" s="234">
        <v>2.38</v>
      </c>
      <c r="I2076" s="235">
        <f t="shared" si="307"/>
        <v>71.399999999999991</v>
      </c>
      <c r="K2076" s="250">
        <f>2.28*30</f>
        <v>68.399999999999991</v>
      </c>
      <c r="L2076" s="237">
        <v>41421</v>
      </c>
      <c r="M2076" s="1" t="s">
        <v>166</v>
      </c>
      <c r="N2076" s="236">
        <f t="shared" si="308"/>
        <v>71.399999999999991</v>
      </c>
      <c r="O2076" s="236">
        <f t="shared" si="304"/>
        <v>0</v>
      </c>
      <c r="P2076" s="238" t="s">
        <v>6960</v>
      </c>
      <c r="Q2076" s="1" t="s">
        <v>2272</v>
      </c>
      <c r="R2076" s="239" t="s">
        <v>4326</v>
      </c>
      <c r="S2076" s="238" t="s">
        <v>4327</v>
      </c>
      <c r="T2076" s="238" t="s">
        <v>1471</v>
      </c>
      <c r="U2076" s="238" t="s">
        <v>7090</v>
      </c>
      <c r="AB2076" s="1" t="s">
        <v>1561</v>
      </c>
    </row>
    <row r="2077" spans="1:28">
      <c r="A2077" s="233">
        <v>41418</v>
      </c>
      <c r="B2077" s="228" t="s">
        <v>1488</v>
      </c>
      <c r="C2077" s="1" t="s">
        <v>162</v>
      </c>
      <c r="D2077" s="1" t="s">
        <v>6967</v>
      </c>
      <c r="E2077" s="1">
        <v>6889</v>
      </c>
      <c r="F2077" s="1">
        <v>20</v>
      </c>
      <c r="G2077" s="1" t="s">
        <v>170</v>
      </c>
      <c r="H2077" s="234">
        <v>8.7799999999999994</v>
      </c>
      <c r="I2077" s="235">
        <f t="shared" si="307"/>
        <v>175.6</v>
      </c>
      <c r="K2077" s="250">
        <f>8.42*20</f>
        <v>168.4</v>
      </c>
      <c r="L2077" s="237">
        <v>41421</v>
      </c>
      <c r="M2077" s="1" t="s">
        <v>166</v>
      </c>
      <c r="N2077" s="236">
        <f t="shared" si="308"/>
        <v>175.6</v>
      </c>
      <c r="O2077" s="236">
        <f t="shared" si="304"/>
        <v>0</v>
      </c>
      <c r="P2077" s="238" t="s">
        <v>6960</v>
      </c>
      <c r="Q2077" s="1" t="s">
        <v>2272</v>
      </c>
      <c r="R2077" s="239" t="s">
        <v>4326</v>
      </c>
      <c r="S2077" s="238" t="s">
        <v>4327</v>
      </c>
      <c r="T2077" s="238" t="s">
        <v>1471</v>
      </c>
      <c r="U2077" s="238" t="s">
        <v>7090</v>
      </c>
      <c r="AB2077" s="1" t="s">
        <v>1561</v>
      </c>
    </row>
    <row r="2078" spans="1:28">
      <c r="A2078" s="233">
        <v>41418</v>
      </c>
      <c r="B2078" s="228" t="s">
        <v>1488</v>
      </c>
      <c r="C2078" s="1" t="s">
        <v>162</v>
      </c>
      <c r="D2078" s="1" t="s">
        <v>6581</v>
      </c>
      <c r="E2078" s="1">
        <v>8512</v>
      </c>
      <c r="F2078" s="1">
        <v>50</v>
      </c>
      <c r="G2078" s="1" t="s">
        <v>170</v>
      </c>
      <c r="H2078" s="234">
        <v>50.54</v>
      </c>
      <c r="I2078" s="235">
        <f t="shared" si="307"/>
        <v>2527</v>
      </c>
      <c r="K2078" s="282">
        <f>48.1*44+43*6</f>
        <v>2374.4</v>
      </c>
      <c r="L2078" s="237">
        <v>41421</v>
      </c>
      <c r="M2078" s="1" t="s">
        <v>166</v>
      </c>
      <c r="N2078" s="236">
        <f t="shared" si="308"/>
        <v>2527</v>
      </c>
      <c r="O2078" s="236">
        <f t="shared" si="304"/>
        <v>0</v>
      </c>
      <c r="P2078" s="238" t="s">
        <v>6960</v>
      </c>
      <c r="Q2078" s="1" t="s">
        <v>2272</v>
      </c>
      <c r="R2078" s="239" t="s">
        <v>4326</v>
      </c>
      <c r="S2078" s="238" t="s">
        <v>4327</v>
      </c>
      <c r="T2078" s="238" t="s">
        <v>1471</v>
      </c>
      <c r="U2078" s="238" t="s">
        <v>7090</v>
      </c>
      <c r="Z2078" s="255" t="s">
        <v>7036</v>
      </c>
      <c r="AB2078" s="1" t="s">
        <v>1561</v>
      </c>
    </row>
    <row r="2079" spans="1:28">
      <c r="A2079" s="233">
        <v>41418</v>
      </c>
      <c r="B2079" s="1" t="s">
        <v>525</v>
      </c>
      <c r="C2079" s="1" t="s">
        <v>162</v>
      </c>
      <c r="D2079" s="1" t="s">
        <v>353</v>
      </c>
      <c r="E2079" s="1" t="s">
        <v>926</v>
      </c>
      <c r="F2079" s="1">
        <v>5</v>
      </c>
      <c r="G2079" s="1" t="s">
        <v>7015</v>
      </c>
      <c r="H2079" s="234">
        <v>20</v>
      </c>
      <c r="I2079" s="235">
        <f t="shared" ref="I2079:I2084" si="309">F2079*H2079</f>
        <v>100</v>
      </c>
      <c r="K2079" s="250">
        <f>12*5</f>
        <v>60</v>
      </c>
      <c r="L2079" s="237">
        <v>41417</v>
      </c>
      <c r="M2079" s="1" t="s">
        <v>165</v>
      </c>
      <c r="N2079" s="236">
        <f>I2079</f>
        <v>100</v>
      </c>
      <c r="O2079" s="236">
        <f t="shared" ref="O2079:O2080" si="310">I2079-N2079</f>
        <v>0</v>
      </c>
      <c r="P2079" s="238" t="s">
        <v>7052</v>
      </c>
      <c r="Q2079" s="1" t="s">
        <v>7053</v>
      </c>
      <c r="R2079" s="239" t="s">
        <v>7054</v>
      </c>
      <c r="S2079" s="238" t="s">
        <v>7055</v>
      </c>
      <c r="T2079" s="238" t="s">
        <v>7057</v>
      </c>
      <c r="U2079" s="238" t="s">
        <v>7056</v>
      </c>
      <c r="V2079" s="238" t="s">
        <v>254</v>
      </c>
      <c r="AB2079" s="1" t="s">
        <v>382</v>
      </c>
    </row>
    <row r="2080" spans="1:28">
      <c r="A2080" s="233">
        <v>41418</v>
      </c>
      <c r="B2080" s="1" t="s">
        <v>525</v>
      </c>
      <c r="C2080" s="1" t="s">
        <v>162</v>
      </c>
      <c r="D2080" s="5" t="s">
        <v>2012</v>
      </c>
      <c r="E2080" s="1" t="s">
        <v>7051</v>
      </c>
      <c r="F2080" s="1">
        <v>200</v>
      </c>
      <c r="G2080" s="1" t="s">
        <v>7015</v>
      </c>
      <c r="H2080" s="234">
        <v>2.6</v>
      </c>
      <c r="I2080" s="235">
        <f t="shared" si="309"/>
        <v>520</v>
      </c>
      <c r="K2080" s="250">
        <f>1.55*200</f>
        <v>310</v>
      </c>
      <c r="L2080" s="237">
        <v>41417</v>
      </c>
      <c r="M2080" s="1" t="s">
        <v>165</v>
      </c>
      <c r="N2080" s="236">
        <f>I2080</f>
        <v>520</v>
      </c>
      <c r="O2080" s="236">
        <f t="shared" si="310"/>
        <v>0</v>
      </c>
      <c r="P2080" s="238" t="s">
        <v>7052</v>
      </c>
      <c r="Q2080" s="1" t="s">
        <v>7053</v>
      </c>
      <c r="R2080" s="239" t="s">
        <v>7054</v>
      </c>
      <c r="S2080" s="238" t="s">
        <v>7055</v>
      </c>
      <c r="T2080" s="238" t="s">
        <v>7057</v>
      </c>
      <c r="U2080" s="238" t="s">
        <v>7056</v>
      </c>
      <c r="V2080" s="238" t="s">
        <v>254</v>
      </c>
      <c r="AB2080" s="1" t="s">
        <v>382</v>
      </c>
    </row>
    <row r="2081" spans="1:28">
      <c r="A2081" s="233">
        <v>41418</v>
      </c>
      <c r="B2081" s="1" t="s">
        <v>1569</v>
      </c>
      <c r="C2081" s="1" t="s">
        <v>162</v>
      </c>
      <c r="D2081" s="1" t="s">
        <v>6920</v>
      </c>
      <c r="E2081" s="1" t="s">
        <v>7050</v>
      </c>
      <c r="F2081" s="1">
        <v>150</v>
      </c>
      <c r="G2081" s="1" t="s">
        <v>170</v>
      </c>
      <c r="H2081" s="234">
        <v>4.12</v>
      </c>
      <c r="I2081" s="235">
        <f t="shared" si="309"/>
        <v>618</v>
      </c>
      <c r="K2081" s="250">
        <f>3.96*150</f>
        <v>594</v>
      </c>
      <c r="N2081" s="1">
        <v>0</v>
      </c>
      <c r="O2081" s="235">
        <f>I2081-N2081</f>
        <v>618</v>
      </c>
      <c r="P2081" s="238" t="s">
        <v>7060</v>
      </c>
      <c r="Q2081" s="1" t="s">
        <v>1571</v>
      </c>
      <c r="R2081" s="239" t="s">
        <v>1570</v>
      </c>
      <c r="S2081" s="238">
        <v>13368068212</v>
      </c>
      <c r="T2081" s="238" t="s">
        <v>167</v>
      </c>
      <c r="U2081" s="238" t="s">
        <v>167</v>
      </c>
      <c r="AB2081" s="1" t="s">
        <v>1561</v>
      </c>
    </row>
    <row r="2082" spans="1:28">
      <c r="A2082" s="233">
        <v>41418</v>
      </c>
      <c r="B2082" s="1" t="s">
        <v>2169</v>
      </c>
      <c r="C2082" s="1" t="s">
        <v>162</v>
      </c>
      <c r="D2082" s="1" t="s">
        <v>1749</v>
      </c>
      <c r="E2082" s="1">
        <v>1621</v>
      </c>
      <c r="F2082" s="1">
        <v>30</v>
      </c>
      <c r="G2082" s="1" t="s">
        <v>7021</v>
      </c>
      <c r="H2082" s="234">
        <v>10</v>
      </c>
      <c r="I2082" s="235">
        <f t="shared" si="309"/>
        <v>300</v>
      </c>
      <c r="K2082" s="250">
        <f>8.84*30</f>
        <v>265.2</v>
      </c>
      <c r="N2082" s="235">
        <v>0</v>
      </c>
      <c r="O2082" s="236">
        <f t="shared" ref="O2082:O2085" si="311">I2082-N2082</f>
        <v>300</v>
      </c>
      <c r="P2082" s="238" t="s">
        <v>167</v>
      </c>
      <c r="Q2082" s="1" t="s">
        <v>7086</v>
      </c>
      <c r="R2082" s="239" t="s">
        <v>1557</v>
      </c>
      <c r="S2082" s="238" t="s">
        <v>1558</v>
      </c>
      <c r="T2082" s="238" t="s">
        <v>1559</v>
      </c>
      <c r="U2082" s="238" t="s">
        <v>7087</v>
      </c>
      <c r="AB2082" s="1" t="s">
        <v>1561</v>
      </c>
    </row>
    <row r="2083" spans="1:28">
      <c r="A2083" s="233">
        <v>41418</v>
      </c>
      <c r="B2083" s="1" t="s">
        <v>2169</v>
      </c>
      <c r="C2083" s="1" t="s">
        <v>162</v>
      </c>
      <c r="D2083" s="1" t="s">
        <v>1213</v>
      </c>
      <c r="E2083" s="1" t="s">
        <v>178</v>
      </c>
      <c r="F2083" s="1">
        <v>10</v>
      </c>
      <c r="G2083" s="1" t="s">
        <v>7021</v>
      </c>
      <c r="H2083" s="234">
        <v>13.5</v>
      </c>
      <c r="I2083" s="235">
        <f t="shared" si="309"/>
        <v>135</v>
      </c>
      <c r="K2083" s="250">
        <f>12.4*10</f>
        <v>124</v>
      </c>
      <c r="N2083" s="235">
        <v>0</v>
      </c>
      <c r="O2083" s="236">
        <f t="shared" si="311"/>
        <v>135</v>
      </c>
      <c r="P2083" s="238" t="s">
        <v>167</v>
      </c>
      <c r="Q2083" s="1" t="s">
        <v>7086</v>
      </c>
      <c r="R2083" s="239" t="s">
        <v>1557</v>
      </c>
      <c r="S2083" s="238" t="s">
        <v>1558</v>
      </c>
      <c r="T2083" s="238" t="s">
        <v>1559</v>
      </c>
      <c r="U2083" s="238" t="s">
        <v>7087</v>
      </c>
      <c r="AB2083" s="1" t="s">
        <v>1561</v>
      </c>
    </row>
    <row r="2084" spans="1:28">
      <c r="A2084" s="233">
        <v>41418</v>
      </c>
      <c r="B2084" s="1" t="s">
        <v>2169</v>
      </c>
      <c r="C2084" s="1" t="s">
        <v>162</v>
      </c>
      <c r="D2084" s="1" t="s">
        <v>2359</v>
      </c>
      <c r="E2084" s="1">
        <v>1711</v>
      </c>
      <c r="F2084" s="1">
        <v>80</v>
      </c>
      <c r="G2084" s="1" t="s">
        <v>7021</v>
      </c>
      <c r="H2084" s="234">
        <v>12.3</v>
      </c>
      <c r="I2084" s="235">
        <f t="shared" si="309"/>
        <v>984</v>
      </c>
      <c r="K2084" s="250">
        <f>11.78*80</f>
        <v>942.4</v>
      </c>
      <c r="N2084" s="235">
        <v>0</v>
      </c>
      <c r="O2084" s="236">
        <f t="shared" si="311"/>
        <v>984</v>
      </c>
      <c r="P2084" s="238" t="s">
        <v>167</v>
      </c>
      <c r="Q2084" s="1" t="s">
        <v>7086</v>
      </c>
      <c r="R2084" s="239" t="s">
        <v>1557</v>
      </c>
      <c r="S2084" s="238" t="s">
        <v>1558</v>
      </c>
      <c r="T2084" s="238" t="s">
        <v>1559</v>
      </c>
      <c r="U2084" s="238" t="s">
        <v>7087</v>
      </c>
      <c r="AB2084" s="1" t="s">
        <v>1561</v>
      </c>
    </row>
    <row r="2085" spans="1:28">
      <c r="A2085" s="233">
        <v>41418</v>
      </c>
      <c r="B2085" s="1" t="s">
        <v>2169</v>
      </c>
      <c r="C2085" s="1" t="s">
        <v>162</v>
      </c>
      <c r="D2085" s="5" t="s">
        <v>1873</v>
      </c>
      <c r="E2085" s="1">
        <v>4941</v>
      </c>
      <c r="F2085" s="1" t="s">
        <v>7058</v>
      </c>
      <c r="G2085" s="1" t="s">
        <v>7059</v>
      </c>
      <c r="H2085" s="234">
        <v>400</v>
      </c>
      <c r="I2085" s="235">
        <f>H2085*10*0.8</f>
        <v>3200</v>
      </c>
      <c r="K2085" s="250">
        <f>359*10*0.8</f>
        <v>2872</v>
      </c>
      <c r="N2085" s="235">
        <v>0</v>
      </c>
      <c r="O2085" s="236">
        <f t="shared" si="311"/>
        <v>3200</v>
      </c>
      <c r="P2085" s="238" t="s">
        <v>167</v>
      </c>
      <c r="Q2085" s="1" t="s">
        <v>7086</v>
      </c>
      <c r="R2085" s="239" t="s">
        <v>1557</v>
      </c>
      <c r="S2085" s="238" t="s">
        <v>1558</v>
      </c>
      <c r="T2085" s="238" t="s">
        <v>1559</v>
      </c>
      <c r="U2085" s="238" t="s">
        <v>7087</v>
      </c>
      <c r="AB2085" s="1" t="s">
        <v>1561</v>
      </c>
    </row>
    <row r="2086" spans="1:28">
      <c r="A2086" s="233">
        <v>41418</v>
      </c>
      <c r="B2086" s="410" t="s">
        <v>7063</v>
      </c>
      <c r="C2086" s="1" t="s">
        <v>162</v>
      </c>
      <c r="D2086" s="5" t="s">
        <v>182</v>
      </c>
      <c r="E2086" s="1" t="s">
        <v>194</v>
      </c>
      <c r="F2086" s="1">
        <v>300</v>
      </c>
      <c r="G2086" s="1" t="s">
        <v>170</v>
      </c>
      <c r="H2086" s="234">
        <v>5.6</v>
      </c>
      <c r="I2086" s="235">
        <f t="shared" ref="I2086:I2095" si="312">F2086*H2086</f>
        <v>1680</v>
      </c>
      <c r="K2086" s="250">
        <f>5.1*300</f>
        <v>1530</v>
      </c>
      <c r="L2086" s="237">
        <v>41418</v>
      </c>
      <c r="M2086" s="1" t="s">
        <v>166</v>
      </c>
      <c r="N2086" s="236">
        <f>I2086</f>
        <v>1680</v>
      </c>
      <c r="O2086" s="235">
        <f>I2086-N2086</f>
        <v>0</v>
      </c>
      <c r="P2086" s="238" t="s">
        <v>7065</v>
      </c>
      <c r="Q2086" s="1" t="s">
        <v>7066</v>
      </c>
      <c r="R2086" s="239" t="s">
        <v>7067</v>
      </c>
      <c r="S2086" s="238" t="s">
        <v>7070</v>
      </c>
      <c r="T2086" s="238" t="s">
        <v>7069</v>
      </c>
      <c r="U2086" s="238" t="s">
        <v>7068</v>
      </c>
      <c r="AB2086" s="1" t="s">
        <v>1561</v>
      </c>
    </row>
    <row r="2087" spans="1:28">
      <c r="A2087" s="233">
        <v>41421</v>
      </c>
      <c r="B2087" s="1" t="s">
        <v>7173</v>
      </c>
      <c r="C2087" s="1" t="s">
        <v>162</v>
      </c>
      <c r="D2087" s="1" t="s">
        <v>681</v>
      </c>
      <c r="E2087" s="1" t="s">
        <v>7077</v>
      </c>
      <c r="F2087" s="1">
        <v>80</v>
      </c>
      <c r="G2087" s="1" t="s">
        <v>7078</v>
      </c>
      <c r="H2087" s="234">
        <v>5</v>
      </c>
      <c r="I2087" s="235">
        <f t="shared" si="312"/>
        <v>400</v>
      </c>
      <c r="K2087" s="250">
        <f>3.31*80</f>
        <v>264.8</v>
      </c>
      <c r="L2087" s="237">
        <v>41424</v>
      </c>
      <c r="M2087" s="1" t="s">
        <v>7172</v>
      </c>
      <c r="N2087" s="236">
        <f t="shared" ref="N2087:N2088" si="313">I2087</f>
        <v>400</v>
      </c>
      <c r="O2087" s="236">
        <f>I2087-N2087</f>
        <v>0</v>
      </c>
      <c r="P2087" s="238" t="s">
        <v>167</v>
      </c>
      <c r="Q2087" s="1" t="s">
        <v>2505</v>
      </c>
      <c r="R2087" s="239" t="s">
        <v>7082</v>
      </c>
      <c r="V2087" s="238" t="s">
        <v>7083</v>
      </c>
      <c r="W2087" s="236">
        <v>640</v>
      </c>
      <c r="X2087" s="233">
        <v>41421</v>
      </c>
      <c r="AA2087" s="282" t="s">
        <v>7084</v>
      </c>
      <c r="AB2087" s="1" t="s">
        <v>2064</v>
      </c>
    </row>
    <row r="2088" spans="1:28">
      <c r="A2088" s="233">
        <v>41421</v>
      </c>
      <c r="B2088" s="1" t="s">
        <v>7173</v>
      </c>
      <c r="C2088" s="1" t="s">
        <v>162</v>
      </c>
      <c r="D2088" s="5" t="s">
        <v>51</v>
      </c>
      <c r="E2088" s="1">
        <v>9032</v>
      </c>
      <c r="F2088" s="1">
        <v>100</v>
      </c>
      <c r="G2088" s="1" t="s">
        <v>7079</v>
      </c>
      <c r="H2088" s="234">
        <v>2.4</v>
      </c>
      <c r="I2088" s="235">
        <f t="shared" si="312"/>
        <v>240</v>
      </c>
      <c r="K2088" s="250">
        <f>1.56*100</f>
        <v>156</v>
      </c>
      <c r="L2088" s="237">
        <v>41424</v>
      </c>
      <c r="M2088" s="1" t="s">
        <v>7172</v>
      </c>
      <c r="N2088" s="236">
        <f t="shared" si="313"/>
        <v>240</v>
      </c>
      <c r="O2088" s="236">
        <f t="shared" ref="O2088" si="314">I2088-N2088</f>
        <v>0</v>
      </c>
      <c r="P2088" s="238" t="s">
        <v>7081</v>
      </c>
      <c r="Q2088" s="1" t="s">
        <v>2505</v>
      </c>
      <c r="R2088" s="239" t="s">
        <v>7082</v>
      </c>
      <c r="V2088" s="238" t="s">
        <v>7083</v>
      </c>
      <c r="W2088" s="236">
        <v>640</v>
      </c>
      <c r="X2088" s="233">
        <v>41421</v>
      </c>
      <c r="AA2088" s="282" t="s">
        <v>7084</v>
      </c>
      <c r="AB2088" s="1" t="s">
        <v>2064</v>
      </c>
    </row>
    <row r="2089" spans="1:28">
      <c r="A2089" s="233">
        <v>41421</v>
      </c>
      <c r="B2089" s="1" t="s">
        <v>6074</v>
      </c>
      <c r="C2089" s="1" t="s">
        <v>162</v>
      </c>
      <c r="D2089" s="5" t="s">
        <v>51</v>
      </c>
      <c r="E2089" s="1">
        <v>9032</v>
      </c>
      <c r="F2089" s="1">
        <v>4000</v>
      </c>
      <c r="G2089" s="1" t="s">
        <v>170</v>
      </c>
      <c r="H2089" s="234">
        <v>1.65</v>
      </c>
      <c r="I2089" s="235">
        <f t="shared" si="312"/>
        <v>6600</v>
      </c>
      <c r="K2089" s="250">
        <f>1.56*4000</f>
        <v>6240</v>
      </c>
      <c r="N2089" s="1">
        <v>0</v>
      </c>
      <c r="O2089" s="236">
        <f t="shared" ref="O2089:O2095" si="315">I2089-N2089</f>
        <v>6600</v>
      </c>
      <c r="P2089" s="238" t="s">
        <v>7085</v>
      </c>
      <c r="Q2089" s="1" t="s">
        <v>2505</v>
      </c>
      <c r="R2089" s="239" t="s">
        <v>5760</v>
      </c>
      <c r="S2089" s="238" t="s">
        <v>5759</v>
      </c>
      <c r="T2089" s="238" t="s">
        <v>6329</v>
      </c>
      <c r="U2089" s="238" t="s">
        <v>167</v>
      </c>
      <c r="AB2089" s="1" t="s">
        <v>2064</v>
      </c>
    </row>
    <row r="2090" spans="1:28">
      <c r="A2090" s="233">
        <v>41421</v>
      </c>
      <c r="B2090" s="1" t="s">
        <v>6074</v>
      </c>
      <c r="C2090" s="1" t="s">
        <v>167</v>
      </c>
      <c r="D2090" s="1" t="s">
        <v>5942</v>
      </c>
      <c r="E2090" s="1" t="s">
        <v>167</v>
      </c>
      <c r="F2090" s="1">
        <v>200</v>
      </c>
      <c r="G2090" s="1" t="s">
        <v>1071</v>
      </c>
      <c r="H2090" s="234">
        <v>5</v>
      </c>
      <c r="I2090" s="235">
        <f t="shared" si="312"/>
        <v>1000</v>
      </c>
      <c r="K2090" s="250">
        <f>3.8*200</f>
        <v>760</v>
      </c>
      <c r="N2090" s="1">
        <v>0</v>
      </c>
      <c r="O2090" s="236">
        <f t="shared" si="315"/>
        <v>1000</v>
      </c>
      <c r="P2090" s="238" t="s">
        <v>7085</v>
      </c>
      <c r="Q2090" s="1" t="s">
        <v>2505</v>
      </c>
      <c r="R2090" s="239" t="s">
        <v>5760</v>
      </c>
      <c r="S2090" s="238" t="s">
        <v>5759</v>
      </c>
      <c r="T2090" s="238" t="s">
        <v>6329</v>
      </c>
      <c r="U2090" s="238" t="s">
        <v>167</v>
      </c>
      <c r="AB2090" s="1" t="s">
        <v>2064</v>
      </c>
    </row>
    <row r="2091" spans="1:28">
      <c r="A2091" s="233">
        <v>41421</v>
      </c>
      <c r="B2091" s="1" t="s">
        <v>6074</v>
      </c>
      <c r="C2091" s="1" t="s">
        <v>167</v>
      </c>
      <c r="D2091" s="1" t="s">
        <v>5943</v>
      </c>
      <c r="E2091" s="1" t="s">
        <v>167</v>
      </c>
      <c r="F2091" s="1">
        <v>200</v>
      </c>
      <c r="G2091" s="1" t="s">
        <v>827</v>
      </c>
      <c r="H2091" s="234">
        <v>3</v>
      </c>
      <c r="I2091" s="235">
        <f t="shared" si="312"/>
        <v>600</v>
      </c>
      <c r="K2091" s="250">
        <f>200*2</f>
        <v>400</v>
      </c>
      <c r="N2091" s="1">
        <v>0</v>
      </c>
      <c r="O2091" s="236">
        <f t="shared" si="315"/>
        <v>600</v>
      </c>
      <c r="P2091" s="238" t="s">
        <v>7085</v>
      </c>
      <c r="Q2091" s="1" t="s">
        <v>2505</v>
      </c>
      <c r="R2091" s="239" t="s">
        <v>5760</v>
      </c>
      <c r="S2091" s="238" t="s">
        <v>5759</v>
      </c>
      <c r="T2091" s="238" t="s">
        <v>6329</v>
      </c>
      <c r="U2091" s="238" t="s">
        <v>167</v>
      </c>
      <c r="AB2091" s="1" t="s">
        <v>2064</v>
      </c>
    </row>
    <row r="2092" spans="1:28">
      <c r="A2092" s="233">
        <v>41421</v>
      </c>
      <c r="B2092" s="1" t="s">
        <v>6074</v>
      </c>
      <c r="C2092" s="1" t="s">
        <v>167</v>
      </c>
      <c r="D2092" s="1" t="s">
        <v>5680</v>
      </c>
      <c r="E2092" s="1" t="s">
        <v>167</v>
      </c>
      <c r="F2092" s="1">
        <v>5000</v>
      </c>
      <c r="G2092" s="1" t="s">
        <v>827</v>
      </c>
      <c r="H2092" s="234">
        <v>0.8</v>
      </c>
      <c r="I2092" s="235">
        <f t="shared" si="312"/>
        <v>4000</v>
      </c>
      <c r="K2092" s="250">
        <f>0.68*5000</f>
        <v>3400.0000000000005</v>
      </c>
      <c r="N2092" s="1">
        <v>0</v>
      </c>
      <c r="O2092" s="236">
        <f t="shared" si="315"/>
        <v>4000</v>
      </c>
      <c r="P2092" s="238" t="s">
        <v>7085</v>
      </c>
      <c r="Q2092" s="1" t="s">
        <v>2505</v>
      </c>
      <c r="R2092" s="239" t="s">
        <v>5760</v>
      </c>
      <c r="S2092" s="238" t="s">
        <v>5759</v>
      </c>
      <c r="T2092" s="238" t="s">
        <v>6329</v>
      </c>
      <c r="U2092" s="238" t="s">
        <v>167</v>
      </c>
      <c r="AB2092" s="1" t="s">
        <v>2064</v>
      </c>
    </row>
    <row r="2093" spans="1:28">
      <c r="A2093" s="233">
        <v>41421</v>
      </c>
      <c r="B2093" s="1" t="s">
        <v>6074</v>
      </c>
      <c r="C2093" s="1" t="s">
        <v>5643</v>
      </c>
      <c r="D2093" s="414" t="s">
        <v>5858</v>
      </c>
      <c r="E2093" s="414" t="s">
        <v>5857</v>
      </c>
      <c r="F2093" s="1">
        <v>6000</v>
      </c>
      <c r="G2093" s="1" t="s">
        <v>827</v>
      </c>
      <c r="H2093" s="234">
        <v>0.65</v>
      </c>
      <c r="I2093" s="235">
        <f t="shared" si="312"/>
        <v>3900</v>
      </c>
      <c r="K2093" s="250">
        <f>0.5*6000</f>
        <v>3000</v>
      </c>
      <c r="N2093" s="1">
        <v>0</v>
      </c>
      <c r="O2093" s="236">
        <f t="shared" si="315"/>
        <v>3900</v>
      </c>
      <c r="P2093" s="238" t="s">
        <v>7085</v>
      </c>
      <c r="Q2093" s="1" t="s">
        <v>2505</v>
      </c>
      <c r="R2093" s="239" t="s">
        <v>5760</v>
      </c>
      <c r="S2093" s="238" t="s">
        <v>5759</v>
      </c>
      <c r="T2093" s="238" t="s">
        <v>6329</v>
      </c>
      <c r="U2093" s="238" t="s">
        <v>167</v>
      </c>
      <c r="AB2093" s="1" t="s">
        <v>2064</v>
      </c>
    </row>
    <row r="2094" spans="1:28">
      <c r="A2094" s="233">
        <v>41421</v>
      </c>
      <c r="B2094" s="1" t="s">
        <v>6074</v>
      </c>
      <c r="C2094" s="1" t="s">
        <v>167</v>
      </c>
      <c r="D2094" s="414" t="s">
        <v>6703</v>
      </c>
      <c r="E2094" s="28" t="s">
        <v>167</v>
      </c>
      <c r="F2094" s="414">
        <v>200</v>
      </c>
      <c r="G2094" s="414" t="s">
        <v>827</v>
      </c>
      <c r="H2094" s="234">
        <v>4.5</v>
      </c>
      <c r="I2094" s="235">
        <f t="shared" si="312"/>
        <v>900</v>
      </c>
      <c r="K2094" s="250">
        <f>3*200</f>
        <v>600</v>
      </c>
      <c r="N2094" s="1">
        <v>0</v>
      </c>
      <c r="O2094" s="236">
        <f t="shared" si="315"/>
        <v>900</v>
      </c>
      <c r="P2094" s="238" t="s">
        <v>7085</v>
      </c>
      <c r="Q2094" s="1" t="s">
        <v>2505</v>
      </c>
      <c r="R2094" s="239" t="s">
        <v>5760</v>
      </c>
      <c r="S2094" s="238" t="s">
        <v>5759</v>
      </c>
      <c r="T2094" s="238" t="s">
        <v>6329</v>
      </c>
      <c r="U2094" s="238" t="s">
        <v>167</v>
      </c>
      <c r="AB2094" s="1" t="s">
        <v>2064</v>
      </c>
    </row>
    <row r="2095" spans="1:28">
      <c r="A2095" s="233">
        <v>41421</v>
      </c>
      <c r="B2095" s="1" t="s">
        <v>6074</v>
      </c>
      <c r="C2095" s="1" t="s">
        <v>167</v>
      </c>
      <c r="D2095" s="1" t="s">
        <v>5678</v>
      </c>
      <c r="E2095" s="28" t="s">
        <v>167</v>
      </c>
      <c r="F2095" s="1">
        <v>20</v>
      </c>
      <c r="G2095" s="414" t="s">
        <v>827</v>
      </c>
      <c r="H2095" s="234">
        <v>2</v>
      </c>
      <c r="I2095" s="235">
        <f t="shared" si="312"/>
        <v>40</v>
      </c>
      <c r="K2095" s="250">
        <f>1.7*20</f>
        <v>34</v>
      </c>
      <c r="N2095" s="1">
        <v>0</v>
      </c>
      <c r="O2095" s="236">
        <f t="shared" si="315"/>
        <v>40</v>
      </c>
      <c r="P2095" s="238" t="s">
        <v>7085</v>
      </c>
      <c r="Q2095" s="1" t="s">
        <v>2505</v>
      </c>
      <c r="R2095" s="239" t="s">
        <v>5760</v>
      </c>
      <c r="S2095" s="238" t="s">
        <v>5759</v>
      </c>
      <c r="T2095" s="238" t="s">
        <v>6329</v>
      </c>
      <c r="U2095" s="238" t="s">
        <v>167</v>
      </c>
      <c r="AB2095" s="1" t="s">
        <v>2064</v>
      </c>
    </row>
    <row r="2096" spans="1:28">
      <c r="A2096" s="233">
        <v>41421</v>
      </c>
      <c r="B2096" s="1" t="s">
        <v>4111</v>
      </c>
      <c r="C2096" s="1" t="s">
        <v>162</v>
      </c>
      <c r="D2096" s="5" t="s">
        <v>1899</v>
      </c>
      <c r="E2096" s="1" t="s">
        <v>4506</v>
      </c>
      <c r="F2096" s="1">
        <v>6</v>
      </c>
      <c r="G2096" s="1" t="s">
        <v>170</v>
      </c>
      <c r="H2096" s="234">
        <v>47.8</v>
      </c>
      <c r="I2096" s="235">
        <f t="shared" ref="I2096:I2100" si="316">F2096*H2096</f>
        <v>286.79999999999995</v>
      </c>
      <c r="K2096" s="250">
        <f>44.5*6</f>
        <v>267</v>
      </c>
      <c r="N2096" s="1">
        <v>0</v>
      </c>
      <c r="O2096" s="236">
        <f t="shared" ref="O2096:O2101" si="317">I2096-N2096</f>
        <v>286.79999999999995</v>
      </c>
      <c r="P2096" s="238" t="s">
        <v>7098</v>
      </c>
      <c r="Q2096" s="1" t="s">
        <v>1562</v>
      </c>
      <c r="R2096" s="239" t="s">
        <v>4113</v>
      </c>
      <c r="S2096" s="238" t="s">
        <v>4114</v>
      </c>
      <c r="T2096" s="238" t="s">
        <v>4115</v>
      </c>
      <c r="V2096" s="238" t="s">
        <v>175</v>
      </c>
      <c r="AB2096" s="1" t="s">
        <v>1561</v>
      </c>
    </row>
    <row r="2097" spans="1:28">
      <c r="A2097" s="233">
        <v>41421</v>
      </c>
      <c r="B2097" s="1" t="s">
        <v>4111</v>
      </c>
      <c r="C2097" s="1" t="s">
        <v>162</v>
      </c>
      <c r="D2097" s="5" t="s">
        <v>353</v>
      </c>
      <c r="E2097" s="1" t="s">
        <v>145</v>
      </c>
      <c r="F2097" s="1">
        <v>12</v>
      </c>
      <c r="G2097" s="1" t="s">
        <v>170</v>
      </c>
      <c r="H2097" s="234">
        <v>19</v>
      </c>
      <c r="I2097" s="235">
        <f t="shared" si="316"/>
        <v>228</v>
      </c>
      <c r="K2097" s="250">
        <f>17.8*12</f>
        <v>213.60000000000002</v>
      </c>
      <c r="N2097" s="1">
        <v>0</v>
      </c>
      <c r="O2097" s="236">
        <f t="shared" si="317"/>
        <v>228</v>
      </c>
      <c r="P2097" s="238" t="s">
        <v>7098</v>
      </c>
      <c r="Q2097" s="1" t="s">
        <v>1562</v>
      </c>
      <c r="R2097" s="239" t="s">
        <v>4113</v>
      </c>
      <c r="S2097" s="238" t="s">
        <v>4114</v>
      </c>
      <c r="T2097" s="238" t="s">
        <v>4115</v>
      </c>
      <c r="V2097" s="238" t="s">
        <v>175</v>
      </c>
      <c r="AB2097" s="1" t="s">
        <v>1561</v>
      </c>
    </row>
    <row r="2098" spans="1:28">
      <c r="A2098" s="233">
        <v>41421</v>
      </c>
      <c r="B2098" s="1" t="s">
        <v>4111</v>
      </c>
      <c r="C2098" s="1" t="s">
        <v>162</v>
      </c>
      <c r="D2098" s="5" t="s">
        <v>182</v>
      </c>
      <c r="E2098" s="1" t="s">
        <v>194</v>
      </c>
      <c r="F2098" s="1">
        <v>12</v>
      </c>
      <c r="G2098" s="1" t="s">
        <v>171</v>
      </c>
      <c r="H2098" s="234">
        <v>5.6</v>
      </c>
      <c r="I2098" s="235">
        <f t="shared" si="316"/>
        <v>67.199999999999989</v>
      </c>
      <c r="K2098" s="250">
        <f>4.75*12</f>
        <v>57</v>
      </c>
      <c r="N2098" s="1">
        <v>0</v>
      </c>
      <c r="O2098" s="236">
        <f t="shared" si="317"/>
        <v>67.199999999999989</v>
      </c>
      <c r="P2098" s="238" t="s">
        <v>7098</v>
      </c>
      <c r="Q2098" s="1" t="s">
        <v>1562</v>
      </c>
      <c r="R2098" s="239" t="s">
        <v>4113</v>
      </c>
      <c r="S2098" s="238" t="s">
        <v>4114</v>
      </c>
      <c r="T2098" s="238" t="s">
        <v>4115</v>
      </c>
      <c r="V2098" s="238" t="s">
        <v>175</v>
      </c>
      <c r="AB2098" s="1" t="s">
        <v>1561</v>
      </c>
    </row>
    <row r="2099" spans="1:28">
      <c r="A2099" s="233">
        <v>41421</v>
      </c>
      <c r="B2099" s="1" t="s">
        <v>4111</v>
      </c>
      <c r="C2099" s="1" t="s">
        <v>162</v>
      </c>
      <c r="D2099" s="5" t="s">
        <v>1869</v>
      </c>
      <c r="E2099" s="1">
        <v>501</v>
      </c>
      <c r="F2099" s="1">
        <v>12</v>
      </c>
      <c r="G2099" s="1" t="s">
        <v>170</v>
      </c>
      <c r="H2099" s="234">
        <v>1.5</v>
      </c>
      <c r="I2099" s="235">
        <f t="shared" si="316"/>
        <v>18</v>
      </c>
      <c r="K2099" s="250">
        <f>1.39*12</f>
        <v>16.68</v>
      </c>
      <c r="N2099" s="1">
        <v>0</v>
      </c>
      <c r="O2099" s="236">
        <f t="shared" si="317"/>
        <v>18</v>
      </c>
      <c r="P2099" s="238" t="s">
        <v>7098</v>
      </c>
      <c r="Q2099" s="1" t="s">
        <v>1562</v>
      </c>
      <c r="R2099" s="239" t="s">
        <v>4113</v>
      </c>
      <c r="S2099" s="238" t="s">
        <v>4114</v>
      </c>
      <c r="T2099" s="238" t="s">
        <v>4115</v>
      </c>
      <c r="V2099" s="238" t="s">
        <v>175</v>
      </c>
      <c r="AB2099" s="1" t="s">
        <v>1561</v>
      </c>
    </row>
    <row r="2100" spans="1:28">
      <c r="A2100" s="233">
        <v>41421</v>
      </c>
      <c r="B2100" s="1" t="s">
        <v>1569</v>
      </c>
      <c r="C2100" s="1" t="s">
        <v>162</v>
      </c>
      <c r="D2100" s="1" t="s">
        <v>6920</v>
      </c>
      <c r="E2100" s="1" t="s">
        <v>779</v>
      </c>
      <c r="F2100" s="1">
        <v>200</v>
      </c>
      <c r="G2100" s="1" t="s">
        <v>170</v>
      </c>
      <c r="H2100" s="234">
        <v>4.12</v>
      </c>
      <c r="I2100" s="235">
        <f t="shared" si="316"/>
        <v>824</v>
      </c>
      <c r="K2100" s="250">
        <f>3.96*200</f>
        <v>792</v>
      </c>
      <c r="N2100" s="1">
        <v>0</v>
      </c>
      <c r="O2100" s="235">
        <f t="shared" si="317"/>
        <v>824</v>
      </c>
      <c r="P2100" s="238" t="s">
        <v>7099</v>
      </c>
      <c r="Q2100" s="1" t="s">
        <v>1571</v>
      </c>
      <c r="R2100" s="239" t="s">
        <v>1570</v>
      </c>
      <c r="S2100" s="238">
        <v>13368068212</v>
      </c>
      <c r="T2100" s="238" t="s">
        <v>167</v>
      </c>
      <c r="U2100" s="238" t="s">
        <v>167</v>
      </c>
      <c r="AB2100" s="1" t="s">
        <v>1561</v>
      </c>
    </row>
    <row r="2101" spans="1:28">
      <c r="A2101" s="233">
        <v>41421</v>
      </c>
      <c r="B2101" s="1" t="s">
        <v>1979</v>
      </c>
      <c r="C2101" s="1" t="s">
        <v>162</v>
      </c>
      <c r="D2101" s="1" t="s">
        <v>6848</v>
      </c>
      <c r="E2101" s="1" t="s">
        <v>7107</v>
      </c>
      <c r="F2101" s="1">
        <v>500</v>
      </c>
      <c r="G2101" s="1" t="s">
        <v>170</v>
      </c>
      <c r="H2101" s="234">
        <v>1.8</v>
      </c>
      <c r="I2101" s="235">
        <f t="shared" ref="I2101:I2107" si="318">H2101*F2101</f>
        <v>900</v>
      </c>
      <c r="K2101" s="250">
        <f>1.68*500</f>
        <v>840</v>
      </c>
      <c r="N2101" s="1">
        <v>0</v>
      </c>
      <c r="O2101" s="236">
        <f t="shared" si="317"/>
        <v>900</v>
      </c>
      <c r="P2101" s="238" t="s">
        <v>7108</v>
      </c>
      <c r="Q2101" s="1" t="s">
        <v>1562</v>
      </c>
      <c r="R2101" s="265" t="s">
        <v>68</v>
      </c>
      <c r="S2101" s="265" t="s">
        <v>2973</v>
      </c>
      <c r="T2101" s="238" t="s">
        <v>67</v>
      </c>
      <c r="U2101" s="238" t="s">
        <v>167</v>
      </c>
      <c r="AB2101" s="1" t="s">
        <v>1561</v>
      </c>
    </row>
    <row r="2102" spans="1:28">
      <c r="A2102" s="233">
        <v>41422</v>
      </c>
      <c r="B2102" s="136" t="s">
        <v>4062</v>
      </c>
      <c r="C2102" s="1" t="s">
        <v>162</v>
      </c>
      <c r="D2102" s="5" t="s">
        <v>2014</v>
      </c>
      <c r="E2102" s="1">
        <v>7502</v>
      </c>
      <c r="F2102" s="1">
        <v>10</v>
      </c>
      <c r="G2102" s="1" t="s">
        <v>170</v>
      </c>
      <c r="H2102" s="234">
        <v>182</v>
      </c>
      <c r="I2102" s="235">
        <f t="shared" si="318"/>
        <v>1820</v>
      </c>
      <c r="K2102" s="250">
        <f>110*10</f>
        <v>1100</v>
      </c>
      <c r="N2102" s="1">
        <v>0</v>
      </c>
      <c r="O2102" s="236">
        <f t="shared" ref="O2102:O2104" si="319">I2102-N2102</f>
        <v>1820</v>
      </c>
      <c r="P2102" s="238" t="s">
        <v>7114</v>
      </c>
      <c r="Q2102" s="1" t="s">
        <v>3535</v>
      </c>
      <c r="R2102" s="239" t="s">
        <v>7109</v>
      </c>
      <c r="S2102" s="238" t="s">
        <v>7110</v>
      </c>
      <c r="T2102" s="238" t="s">
        <v>4195</v>
      </c>
      <c r="U2102" s="238" t="s">
        <v>7120</v>
      </c>
      <c r="AB2102" s="1" t="s">
        <v>2064</v>
      </c>
    </row>
    <row r="2103" spans="1:28">
      <c r="A2103" s="233">
        <v>41422</v>
      </c>
      <c r="B2103" s="136" t="s">
        <v>4062</v>
      </c>
      <c r="C2103" s="1" t="s">
        <v>162</v>
      </c>
      <c r="D2103" s="5" t="s">
        <v>4582</v>
      </c>
      <c r="E2103" s="1" t="s">
        <v>1847</v>
      </c>
      <c r="F2103" s="1">
        <v>150</v>
      </c>
      <c r="G2103" s="1" t="s">
        <v>170</v>
      </c>
      <c r="H2103" s="234">
        <v>40.6</v>
      </c>
      <c r="I2103" s="235">
        <f t="shared" si="318"/>
        <v>6090</v>
      </c>
      <c r="K2103" s="250">
        <f>29.22*150</f>
        <v>4383</v>
      </c>
      <c r="N2103" s="1">
        <v>0</v>
      </c>
      <c r="O2103" s="236">
        <f t="shared" si="319"/>
        <v>6090</v>
      </c>
      <c r="P2103" s="238" t="s">
        <v>7114</v>
      </c>
      <c r="Q2103" s="1" t="s">
        <v>3535</v>
      </c>
      <c r="R2103" s="239" t="s">
        <v>7109</v>
      </c>
      <c r="S2103" s="238" t="s">
        <v>7110</v>
      </c>
      <c r="T2103" s="238" t="s">
        <v>4195</v>
      </c>
      <c r="U2103" s="238" t="s">
        <v>7120</v>
      </c>
      <c r="AB2103" s="1" t="s">
        <v>2064</v>
      </c>
    </row>
    <row r="2104" spans="1:28">
      <c r="A2104" s="233">
        <v>41422</v>
      </c>
      <c r="B2104" s="136" t="s">
        <v>4062</v>
      </c>
      <c r="C2104" s="1" t="s">
        <v>162</v>
      </c>
      <c r="D2104" s="1" t="s">
        <v>2010</v>
      </c>
      <c r="E2104" s="1">
        <v>10434</v>
      </c>
      <c r="F2104" s="1">
        <v>50</v>
      </c>
      <c r="G2104" s="1" t="s">
        <v>172</v>
      </c>
      <c r="H2104" s="234">
        <v>21.5</v>
      </c>
      <c r="I2104" s="235">
        <f t="shared" si="318"/>
        <v>1075</v>
      </c>
      <c r="K2104" s="250">
        <f>14.2*50</f>
        <v>710</v>
      </c>
      <c r="N2104" s="1">
        <v>0</v>
      </c>
      <c r="O2104" s="236">
        <f t="shared" si="319"/>
        <v>1075</v>
      </c>
      <c r="P2104" s="238" t="s">
        <v>7114</v>
      </c>
      <c r="Q2104" s="1" t="s">
        <v>3535</v>
      </c>
      <c r="R2104" s="239" t="s">
        <v>7109</v>
      </c>
      <c r="S2104" s="238" t="s">
        <v>7110</v>
      </c>
      <c r="T2104" s="238" t="s">
        <v>4195</v>
      </c>
      <c r="U2104" s="238" t="s">
        <v>7120</v>
      </c>
      <c r="AB2104" s="1" t="s">
        <v>2064</v>
      </c>
    </row>
    <row r="2105" spans="1:28">
      <c r="A2105" s="233">
        <v>41422</v>
      </c>
      <c r="B2105" s="1" t="s">
        <v>2355</v>
      </c>
      <c r="C2105" s="1" t="s">
        <v>162</v>
      </c>
      <c r="D2105" s="1" t="s">
        <v>7105</v>
      </c>
      <c r="E2105" s="1">
        <v>8210</v>
      </c>
      <c r="F2105" s="1">
        <v>100</v>
      </c>
      <c r="G2105" s="1" t="s">
        <v>7104</v>
      </c>
      <c r="H2105" s="234">
        <v>4.32</v>
      </c>
      <c r="I2105" s="235">
        <f t="shared" si="318"/>
        <v>432</v>
      </c>
      <c r="K2105" s="250">
        <f>3.78*100</f>
        <v>378</v>
      </c>
      <c r="L2105" s="237">
        <v>41422</v>
      </c>
      <c r="M2105" s="1" t="s">
        <v>166</v>
      </c>
      <c r="N2105" s="1">
        <f t="shared" ref="N2105" si="320">I2105</f>
        <v>432</v>
      </c>
      <c r="O2105" s="236">
        <f t="shared" ref="O2105:O2113" si="321">I2105-N2105</f>
        <v>0</v>
      </c>
      <c r="P2105" s="238" t="s">
        <v>7106</v>
      </c>
      <c r="Q2105" s="1" t="s">
        <v>1562</v>
      </c>
      <c r="R2105" s="239" t="s">
        <v>167</v>
      </c>
      <c r="S2105" s="238" t="s">
        <v>167</v>
      </c>
      <c r="T2105" s="238" t="s">
        <v>167</v>
      </c>
      <c r="U2105" s="238" t="s">
        <v>1562</v>
      </c>
      <c r="AB2105" s="1" t="s">
        <v>1561</v>
      </c>
    </row>
    <row r="2106" spans="1:28">
      <c r="A2106" s="233">
        <v>41422</v>
      </c>
      <c r="B2106" s="1" t="s">
        <v>2355</v>
      </c>
      <c r="C2106" s="1" t="s">
        <v>162</v>
      </c>
      <c r="D2106" s="1" t="s">
        <v>356</v>
      </c>
      <c r="E2106" s="1" t="s">
        <v>173</v>
      </c>
      <c r="F2106" s="1">
        <v>6</v>
      </c>
      <c r="G2106" s="1" t="s">
        <v>172</v>
      </c>
      <c r="H2106" s="234">
        <v>16.100000000000001</v>
      </c>
      <c r="I2106" s="235">
        <f t="shared" si="318"/>
        <v>96.600000000000009</v>
      </c>
      <c r="K2106" s="250">
        <f>14.1*6</f>
        <v>84.6</v>
      </c>
      <c r="L2106" s="237">
        <v>41422</v>
      </c>
      <c r="M2106" s="1" t="s">
        <v>166</v>
      </c>
      <c r="N2106" s="1">
        <f>I2106</f>
        <v>96.600000000000009</v>
      </c>
      <c r="O2106" s="236">
        <f t="shared" si="321"/>
        <v>0</v>
      </c>
      <c r="P2106" s="238" t="s">
        <v>7122</v>
      </c>
      <c r="Q2106" s="1" t="s">
        <v>1562</v>
      </c>
      <c r="R2106" s="239" t="s">
        <v>167</v>
      </c>
      <c r="S2106" s="238" t="s">
        <v>167</v>
      </c>
      <c r="T2106" s="238" t="s">
        <v>167</v>
      </c>
      <c r="U2106" s="238" t="s">
        <v>1562</v>
      </c>
      <c r="AB2106" s="1" t="s">
        <v>1561</v>
      </c>
    </row>
    <row r="2107" spans="1:28">
      <c r="A2107" s="233">
        <v>41422</v>
      </c>
      <c r="B2107" s="1" t="s">
        <v>2632</v>
      </c>
      <c r="C2107" s="1" t="s">
        <v>162</v>
      </c>
      <c r="D2107" s="5" t="s">
        <v>2012</v>
      </c>
      <c r="E2107" s="1" t="s">
        <v>180</v>
      </c>
      <c r="F2107" s="1">
        <v>200</v>
      </c>
      <c r="G2107" s="1" t="s">
        <v>170</v>
      </c>
      <c r="H2107" s="234">
        <v>2.25</v>
      </c>
      <c r="I2107" s="236">
        <f t="shared" si="318"/>
        <v>450</v>
      </c>
      <c r="J2107" s="352" t="s">
        <v>7210</v>
      </c>
      <c r="K2107" s="250">
        <f>1.55*200</f>
        <v>310</v>
      </c>
      <c r="L2107" s="237">
        <v>41423</v>
      </c>
      <c r="M2107" s="1" t="s">
        <v>165</v>
      </c>
      <c r="N2107" s="1">
        <f>I2107</f>
        <v>450</v>
      </c>
      <c r="O2107" s="236">
        <f t="shared" si="321"/>
        <v>0</v>
      </c>
      <c r="P2107" s="238" t="s">
        <v>7116</v>
      </c>
      <c r="Q2107" s="1" t="s">
        <v>7118</v>
      </c>
      <c r="R2107" s="239" t="s">
        <v>7119</v>
      </c>
      <c r="S2107" s="238" t="s">
        <v>7112</v>
      </c>
      <c r="T2107" s="238" t="s">
        <v>7111</v>
      </c>
      <c r="U2107" s="238" t="s">
        <v>7117</v>
      </c>
      <c r="V2107" s="238" t="s">
        <v>175</v>
      </c>
      <c r="AB2107" s="1" t="s">
        <v>2064</v>
      </c>
    </row>
    <row r="2108" spans="1:28">
      <c r="A2108" s="233">
        <v>41422</v>
      </c>
      <c r="B2108" s="1" t="s">
        <v>1569</v>
      </c>
      <c r="C2108" s="1" t="s">
        <v>162</v>
      </c>
      <c r="D2108" s="1" t="s">
        <v>6920</v>
      </c>
      <c r="E2108" s="1" t="s">
        <v>145</v>
      </c>
      <c r="F2108" s="1">
        <v>36</v>
      </c>
      <c r="G2108" s="1" t="s">
        <v>170</v>
      </c>
      <c r="H2108" s="234">
        <v>18.350000000000001</v>
      </c>
      <c r="I2108" s="235">
        <f t="shared" ref="I2108" si="322">F2108*H2108</f>
        <v>660.6</v>
      </c>
      <c r="K2108" s="250">
        <f>17.8*36</f>
        <v>640.80000000000007</v>
      </c>
      <c r="N2108" s="1">
        <v>0</v>
      </c>
      <c r="O2108" s="235">
        <f t="shared" si="321"/>
        <v>660.6</v>
      </c>
      <c r="P2108" s="238" t="s">
        <v>7115</v>
      </c>
      <c r="Q2108" s="1" t="s">
        <v>1571</v>
      </c>
      <c r="R2108" s="239" t="s">
        <v>1570</v>
      </c>
      <c r="S2108" s="238">
        <v>13368068212</v>
      </c>
      <c r="T2108" s="238" t="s">
        <v>167</v>
      </c>
      <c r="U2108" s="238" t="s">
        <v>167</v>
      </c>
      <c r="AB2108" s="1" t="s">
        <v>1561</v>
      </c>
    </row>
    <row r="2109" spans="1:28">
      <c r="A2109" s="233">
        <v>41422</v>
      </c>
      <c r="B2109" s="1" t="s">
        <v>2362</v>
      </c>
      <c r="C2109" s="5" t="s">
        <v>162</v>
      </c>
      <c r="D2109" s="1" t="s">
        <v>232</v>
      </c>
      <c r="E2109" s="1" t="s">
        <v>186</v>
      </c>
      <c r="F2109" s="5">
        <v>100</v>
      </c>
      <c r="G2109" s="1" t="s">
        <v>231</v>
      </c>
      <c r="H2109" s="234">
        <v>1.8</v>
      </c>
      <c r="I2109" s="235">
        <f>H2109*F2109</f>
        <v>180</v>
      </c>
      <c r="K2109" s="250">
        <f>1.54*100</f>
        <v>154</v>
      </c>
      <c r="L2109" s="237">
        <v>41422</v>
      </c>
      <c r="M2109" s="1" t="s">
        <v>166</v>
      </c>
      <c r="N2109" s="236">
        <f>I2109</f>
        <v>180</v>
      </c>
      <c r="O2109" s="235">
        <f t="shared" si="321"/>
        <v>0</v>
      </c>
      <c r="P2109" s="238" t="s">
        <v>7113</v>
      </c>
      <c r="Q2109" s="1" t="s">
        <v>7136</v>
      </c>
      <c r="R2109" s="239" t="s">
        <v>2364</v>
      </c>
      <c r="S2109" s="238" t="s">
        <v>3938</v>
      </c>
      <c r="T2109" s="238" t="s">
        <v>2273</v>
      </c>
      <c r="U2109" s="238" t="s">
        <v>7137</v>
      </c>
      <c r="AB2109" s="1" t="s">
        <v>1561</v>
      </c>
    </row>
    <row r="2110" spans="1:28">
      <c r="A2110" s="233">
        <v>41422</v>
      </c>
      <c r="B2110" s="1" t="s">
        <v>2362</v>
      </c>
      <c r="C2110" s="5" t="s">
        <v>162</v>
      </c>
      <c r="D2110" s="1" t="s">
        <v>2310</v>
      </c>
      <c r="E2110" s="1">
        <v>3200</v>
      </c>
      <c r="F2110" s="5">
        <v>100</v>
      </c>
      <c r="G2110" s="1" t="s">
        <v>170</v>
      </c>
      <c r="H2110" s="234">
        <v>28.3</v>
      </c>
      <c r="I2110" s="235">
        <f>H2110*F2110</f>
        <v>2830</v>
      </c>
      <c r="K2110" s="250">
        <f>23.94*100</f>
        <v>2394</v>
      </c>
      <c r="L2110" s="237">
        <v>41422</v>
      </c>
      <c r="M2110" s="1" t="s">
        <v>166</v>
      </c>
      <c r="N2110" s="236">
        <f t="shared" ref="N2110:N2111" si="323">I2110</f>
        <v>2830</v>
      </c>
      <c r="O2110" s="235">
        <f t="shared" si="321"/>
        <v>0</v>
      </c>
      <c r="P2110" s="238" t="s">
        <v>7113</v>
      </c>
      <c r="Q2110" s="1" t="s">
        <v>7136</v>
      </c>
      <c r="R2110" s="239" t="s">
        <v>2364</v>
      </c>
      <c r="S2110" s="238" t="s">
        <v>3938</v>
      </c>
      <c r="T2110" s="238" t="s">
        <v>2273</v>
      </c>
      <c r="U2110" s="238" t="s">
        <v>7137</v>
      </c>
      <c r="AB2110" s="1" t="s">
        <v>1561</v>
      </c>
    </row>
    <row r="2111" spans="1:28">
      <c r="A2111" s="233">
        <v>41422</v>
      </c>
      <c r="B2111" s="1" t="s">
        <v>2362</v>
      </c>
      <c r="C2111" s="5" t="s">
        <v>162</v>
      </c>
      <c r="D2111" s="1" t="s">
        <v>346</v>
      </c>
      <c r="E2111" s="1">
        <v>3700</v>
      </c>
      <c r="F2111" s="5">
        <v>100</v>
      </c>
      <c r="G2111" s="1" t="s">
        <v>170</v>
      </c>
      <c r="H2111" s="234">
        <v>3.9</v>
      </c>
      <c r="I2111" s="235">
        <f>H2111*F2111</f>
        <v>390</v>
      </c>
      <c r="K2111" s="250">
        <f>3.63*100</f>
        <v>363</v>
      </c>
      <c r="L2111" s="237">
        <v>41422</v>
      </c>
      <c r="M2111" s="1" t="s">
        <v>166</v>
      </c>
      <c r="N2111" s="236">
        <f t="shared" si="323"/>
        <v>390</v>
      </c>
      <c r="O2111" s="235">
        <f t="shared" si="321"/>
        <v>0</v>
      </c>
      <c r="P2111" s="238" t="s">
        <v>7113</v>
      </c>
      <c r="Q2111" s="1" t="s">
        <v>7136</v>
      </c>
      <c r="R2111" s="239" t="s">
        <v>2364</v>
      </c>
      <c r="S2111" s="238" t="s">
        <v>3938</v>
      </c>
      <c r="T2111" s="238" t="s">
        <v>2273</v>
      </c>
      <c r="U2111" s="238" t="s">
        <v>7137</v>
      </c>
      <c r="AB2111" s="1" t="s">
        <v>1561</v>
      </c>
    </row>
    <row r="2112" spans="1:28">
      <c r="A2112" s="233">
        <v>41422</v>
      </c>
      <c r="B2112" s="1" t="s">
        <v>2791</v>
      </c>
      <c r="C2112" s="1" t="s">
        <v>162</v>
      </c>
      <c r="D2112" s="1" t="s">
        <v>7131</v>
      </c>
      <c r="E2112" s="1" t="s">
        <v>7132</v>
      </c>
      <c r="F2112" s="5">
        <v>200</v>
      </c>
      <c r="G2112" s="1" t="s">
        <v>172</v>
      </c>
      <c r="H2112" s="234">
        <v>2.5</v>
      </c>
      <c r="I2112" s="235">
        <f t="shared" ref="I2112:I2119" si="324">F2112*H2112</f>
        <v>500</v>
      </c>
      <c r="K2112" s="282">
        <v>0</v>
      </c>
      <c r="N2112" s="1">
        <v>0</v>
      </c>
      <c r="O2112" s="236">
        <f t="shared" si="321"/>
        <v>500</v>
      </c>
      <c r="P2112" s="238" t="s">
        <v>7138</v>
      </c>
      <c r="Q2112" s="1" t="s">
        <v>5212</v>
      </c>
      <c r="R2112" s="239" t="s">
        <v>2794</v>
      </c>
      <c r="S2112" s="238" t="s">
        <v>2795</v>
      </c>
      <c r="T2112" s="238" t="s">
        <v>3231</v>
      </c>
      <c r="U2112" s="238" t="s">
        <v>7150</v>
      </c>
      <c r="AA2112" s="240" t="s">
        <v>7133</v>
      </c>
      <c r="AB2112" s="1" t="s">
        <v>2064</v>
      </c>
    </row>
    <row r="2113" spans="1:28">
      <c r="A2113" s="233">
        <v>41422</v>
      </c>
      <c r="B2113" s="136" t="s">
        <v>5974</v>
      </c>
      <c r="C2113" s="1" t="s">
        <v>7139</v>
      </c>
      <c r="D2113" s="1" t="s">
        <v>7140</v>
      </c>
      <c r="F2113" s="1">
        <v>20</v>
      </c>
      <c r="G2113" s="1" t="s">
        <v>27</v>
      </c>
      <c r="H2113" s="234">
        <v>143</v>
      </c>
      <c r="I2113" s="235">
        <f t="shared" si="324"/>
        <v>2860</v>
      </c>
      <c r="K2113" s="250">
        <f>70*20</f>
        <v>1400</v>
      </c>
      <c r="N2113" s="1">
        <v>0</v>
      </c>
      <c r="O2113" s="236">
        <f t="shared" si="321"/>
        <v>2860</v>
      </c>
      <c r="P2113" s="238" t="s">
        <v>7174</v>
      </c>
      <c r="Q2113" s="1" t="s">
        <v>2505</v>
      </c>
      <c r="R2113" s="239" t="s">
        <v>5318</v>
      </c>
      <c r="S2113" s="238" t="s">
        <v>5319</v>
      </c>
      <c r="T2113" s="238" t="s">
        <v>5317</v>
      </c>
      <c r="U2113" s="238" t="s">
        <v>167</v>
      </c>
      <c r="AB2113" s="1" t="s">
        <v>2064</v>
      </c>
    </row>
    <row r="2114" spans="1:28">
      <c r="A2114" s="233">
        <v>41423</v>
      </c>
      <c r="B2114" s="1" t="s">
        <v>7156</v>
      </c>
      <c r="C2114" s="5" t="s">
        <v>162</v>
      </c>
      <c r="D2114" s="1" t="s">
        <v>307</v>
      </c>
      <c r="E2114" s="1">
        <v>1110</v>
      </c>
      <c r="F2114" s="1">
        <v>5</v>
      </c>
      <c r="G2114" s="1" t="s">
        <v>7144</v>
      </c>
      <c r="H2114" s="234">
        <v>1</v>
      </c>
      <c r="I2114" s="235">
        <f t="shared" si="324"/>
        <v>5</v>
      </c>
      <c r="K2114" s="250">
        <f>0.77*5</f>
        <v>3.85</v>
      </c>
      <c r="N2114" s="235">
        <v>0</v>
      </c>
      <c r="O2114" s="235">
        <f>I2114-N2114</f>
        <v>5</v>
      </c>
      <c r="P2114" s="238" t="s">
        <v>7175</v>
      </c>
      <c r="Q2114" s="1" t="s">
        <v>5212</v>
      </c>
      <c r="R2114" s="239" t="s">
        <v>7146</v>
      </c>
      <c r="S2114" s="238" t="s">
        <v>7147</v>
      </c>
      <c r="T2114" s="238" t="s">
        <v>7148</v>
      </c>
      <c r="U2114" s="238" t="s">
        <v>7151</v>
      </c>
      <c r="AB2114" s="1" t="s">
        <v>2064</v>
      </c>
    </row>
    <row r="2115" spans="1:28">
      <c r="A2115" s="233">
        <v>41423</v>
      </c>
      <c r="B2115" s="1" t="s">
        <v>7142</v>
      </c>
      <c r="C2115" s="5" t="s">
        <v>162</v>
      </c>
      <c r="D2115" s="1" t="s">
        <v>1219</v>
      </c>
      <c r="E2115" s="1" t="s">
        <v>7143</v>
      </c>
      <c r="F2115" s="1">
        <v>5</v>
      </c>
      <c r="G2115" s="1" t="s">
        <v>7145</v>
      </c>
      <c r="H2115" s="234">
        <v>5</v>
      </c>
      <c r="I2115" s="235">
        <f t="shared" si="324"/>
        <v>25</v>
      </c>
      <c r="K2115" s="250">
        <f>3.96*3+3.6*2</f>
        <v>19.079999999999998</v>
      </c>
      <c r="N2115" s="235">
        <v>0</v>
      </c>
      <c r="O2115" s="235">
        <f>I2115-N2115</f>
        <v>25</v>
      </c>
      <c r="P2115" s="238" t="s">
        <v>7175</v>
      </c>
      <c r="Q2115" s="1" t="s">
        <v>5212</v>
      </c>
      <c r="R2115" s="239" t="s">
        <v>7146</v>
      </c>
      <c r="S2115" s="238" t="s">
        <v>7147</v>
      </c>
      <c r="T2115" s="238" t="s">
        <v>7148</v>
      </c>
      <c r="U2115" s="238" t="s">
        <v>7151</v>
      </c>
      <c r="AB2115" s="1" t="s">
        <v>2064</v>
      </c>
    </row>
    <row r="2116" spans="1:28">
      <c r="A2116" s="233">
        <v>41423</v>
      </c>
      <c r="B2116" s="1" t="s">
        <v>4111</v>
      </c>
      <c r="C2116" s="1" t="s">
        <v>162</v>
      </c>
      <c r="D2116" s="416" t="s">
        <v>5047</v>
      </c>
      <c r="E2116" s="1">
        <v>8210</v>
      </c>
      <c r="F2116" s="1">
        <v>100</v>
      </c>
      <c r="G2116" s="1" t="s">
        <v>170</v>
      </c>
      <c r="H2116" s="234">
        <v>4.32</v>
      </c>
      <c r="I2116" s="235">
        <f t="shared" si="324"/>
        <v>432</v>
      </c>
      <c r="K2116" s="250">
        <f>3.78*100</f>
        <v>378</v>
      </c>
      <c r="N2116" s="1">
        <v>0</v>
      </c>
      <c r="O2116" s="236">
        <f>I2116-N2116</f>
        <v>432</v>
      </c>
      <c r="P2116" s="238" t="s">
        <v>7157</v>
      </c>
      <c r="Q2116" s="1" t="s">
        <v>1562</v>
      </c>
      <c r="R2116" s="239" t="s">
        <v>4113</v>
      </c>
      <c r="S2116" s="238" t="s">
        <v>4114</v>
      </c>
      <c r="T2116" s="238" t="s">
        <v>4115</v>
      </c>
      <c r="AB2116" s="1" t="s">
        <v>1561</v>
      </c>
    </row>
    <row r="2117" spans="1:28">
      <c r="A2117" s="233">
        <v>41423</v>
      </c>
      <c r="B2117" s="410" t="s">
        <v>7063</v>
      </c>
      <c r="C2117" s="1" t="s">
        <v>162</v>
      </c>
      <c r="D2117" s="1" t="s">
        <v>1764</v>
      </c>
      <c r="E2117" s="1" t="s">
        <v>7064</v>
      </c>
      <c r="F2117" s="1">
        <v>5000</v>
      </c>
      <c r="G2117" s="1" t="s">
        <v>170</v>
      </c>
      <c r="H2117" s="234">
        <v>1.77</v>
      </c>
      <c r="I2117" s="235">
        <f t="shared" si="324"/>
        <v>8850</v>
      </c>
      <c r="K2117" s="250">
        <f>1.72*5000</f>
        <v>8600</v>
      </c>
      <c r="L2117" s="237">
        <v>41418</v>
      </c>
      <c r="M2117" s="1" t="s">
        <v>166</v>
      </c>
      <c r="N2117" s="236">
        <f>I2117</f>
        <v>8850</v>
      </c>
      <c r="O2117" s="235">
        <f>I2117-N2117</f>
        <v>0</v>
      </c>
      <c r="P2117" s="238" t="s">
        <v>7161</v>
      </c>
      <c r="Q2117" s="1" t="s">
        <v>3664</v>
      </c>
      <c r="R2117" s="239" t="s">
        <v>7067</v>
      </c>
      <c r="S2117" s="238" t="s">
        <v>7070</v>
      </c>
      <c r="T2117" s="238" t="s">
        <v>7069</v>
      </c>
      <c r="U2117" s="238" t="s">
        <v>7162</v>
      </c>
      <c r="AB2117" s="1" t="s">
        <v>1561</v>
      </c>
    </row>
    <row r="2118" spans="1:28">
      <c r="A2118" s="233">
        <v>41423</v>
      </c>
      <c r="B2118" s="228" t="s">
        <v>1488</v>
      </c>
      <c r="C2118" s="1" t="s">
        <v>162</v>
      </c>
      <c r="D2118" s="1" t="s">
        <v>1867</v>
      </c>
      <c r="E2118" s="1">
        <v>6800</v>
      </c>
      <c r="F2118" s="1">
        <v>12</v>
      </c>
      <c r="G2118" s="1" t="s">
        <v>170</v>
      </c>
      <c r="H2118" s="234">
        <v>470</v>
      </c>
      <c r="I2118" s="235">
        <f t="shared" si="324"/>
        <v>5640</v>
      </c>
      <c r="K2118" s="250">
        <f>455*4+454*8</f>
        <v>5452</v>
      </c>
      <c r="N2118" s="236">
        <v>0</v>
      </c>
      <c r="O2118" s="236">
        <f t="shared" ref="O2118" si="325">I2118-N2118</f>
        <v>5640</v>
      </c>
      <c r="P2118" s="238" t="s">
        <v>7152</v>
      </c>
      <c r="Q2118" s="1" t="s">
        <v>2272</v>
      </c>
      <c r="R2118" s="239" t="s">
        <v>4326</v>
      </c>
      <c r="S2118" s="238" t="s">
        <v>4327</v>
      </c>
      <c r="T2118" s="238" t="s">
        <v>1471</v>
      </c>
      <c r="U2118" s="238" t="s">
        <v>7090</v>
      </c>
      <c r="V2118" s="238" t="s">
        <v>7159</v>
      </c>
      <c r="AB2118" s="1" t="s">
        <v>1561</v>
      </c>
    </row>
    <row r="2119" spans="1:28">
      <c r="A2119" s="233">
        <v>41423</v>
      </c>
      <c r="B2119" s="228" t="s">
        <v>1488</v>
      </c>
      <c r="C2119" s="1" t="s">
        <v>162</v>
      </c>
      <c r="D2119" s="1" t="s">
        <v>1867</v>
      </c>
      <c r="E2119" s="1" t="s">
        <v>186</v>
      </c>
      <c r="F2119" s="1">
        <v>500</v>
      </c>
      <c r="G2119" s="1" t="s">
        <v>171</v>
      </c>
      <c r="H2119" s="234">
        <v>1.65</v>
      </c>
      <c r="I2119" s="235">
        <f t="shared" si="324"/>
        <v>825</v>
      </c>
      <c r="K2119" s="250">
        <f>1.54*500</f>
        <v>770</v>
      </c>
      <c r="N2119" s="236">
        <v>0</v>
      </c>
      <c r="O2119" s="236">
        <f t="shared" ref="O2119" si="326">I2119-N2119</f>
        <v>825</v>
      </c>
      <c r="P2119" s="238" t="s">
        <v>7152</v>
      </c>
      <c r="Q2119" s="1" t="s">
        <v>2272</v>
      </c>
      <c r="R2119" s="239" t="s">
        <v>4326</v>
      </c>
      <c r="S2119" s="238" t="s">
        <v>4327</v>
      </c>
      <c r="T2119" s="238" t="s">
        <v>1471</v>
      </c>
      <c r="U2119" s="238" t="s">
        <v>7090</v>
      </c>
      <c r="V2119" s="238" t="s">
        <v>7159</v>
      </c>
      <c r="AB2119" s="1" t="s">
        <v>1561</v>
      </c>
    </row>
    <row r="2120" spans="1:28">
      <c r="A2120" s="233">
        <v>41423</v>
      </c>
      <c r="B2120" s="1" t="s">
        <v>6224</v>
      </c>
      <c r="C2120" s="1" t="s">
        <v>162</v>
      </c>
      <c r="D2120" s="1" t="s">
        <v>7101</v>
      </c>
      <c r="E2120" s="1" t="s">
        <v>7102</v>
      </c>
      <c r="F2120" s="1">
        <v>3</v>
      </c>
      <c r="G2120" s="1" t="s">
        <v>7100</v>
      </c>
      <c r="H2120" s="234">
        <v>160.80000000000001</v>
      </c>
      <c r="I2120" s="235">
        <f t="shared" ref="I2120" si="327">H2120*F2120</f>
        <v>482.40000000000003</v>
      </c>
      <c r="J2120" s="352" t="s">
        <v>7158</v>
      </c>
      <c r="K2120" s="282">
        <v>0</v>
      </c>
      <c r="N2120" s="1">
        <v>0</v>
      </c>
      <c r="O2120" s="235">
        <f t="shared" ref="O2120" si="328">I2120-N2120</f>
        <v>482.40000000000003</v>
      </c>
      <c r="P2120" s="238" t="s">
        <v>7103</v>
      </c>
      <c r="Q2120" s="1" t="s">
        <v>3664</v>
      </c>
      <c r="R2120" s="239" t="s">
        <v>6228</v>
      </c>
      <c r="S2120" s="238" t="s">
        <v>6227</v>
      </c>
      <c r="T2120" s="238" t="s">
        <v>2557</v>
      </c>
      <c r="U2120" s="238" t="s">
        <v>7160</v>
      </c>
      <c r="Z2120" s="255" t="s">
        <v>7163</v>
      </c>
      <c r="AB2120" s="1" t="s">
        <v>1561</v>
      </c>
    </row>
    <row r="2121" spans="1:28">
      <c r="A2121" s="233">
        <v>41424</v>
      </c>
      <c r="B2121" s="5" t="s">
        <v>2105</v>
      </c>
      <c r="C2121" s="1" t="s">
        <v>162</v>
      </c>
      <c r="D2121" s="1" t="s">
        <v>7049</v>
      </c>
      <c r="E2121" s="1">
        <v>6700</v>
      </c>
      <c r="F2121" s="1">
        <v>1</v>
      </c>
      <c r="G2121" s="1" t="s">
        <v>170</v>
      </c>
      <c r="H2121" s="234">
        <v>462</v>
      </c>
      <c r="I2121" s="235">
        <f>F2121*H2121</f>
        <v>462</v>
      </c>
      <c r="K2121" s="250">
        <f>430*1</f>
        <v>430</v>
      </c>
      <c r="N2121" s="235">
        <v>0</v>
      </c>
      <c r="O2121" s="235">
        <f t="shared" ref="O2121:O2134" si="329">I2121-N2121</f>
        <v>462</v>
      </c>
      <c r="P2121" s="238" t="s">
        <v>7048</v>
      </c>
      <c r="Q2121" s="1" t="s">
        <v>7170</v>
      </c>
      <c r="R2121" s="247" t="s">
        <v>2470</v>
      </c>
      <c r="S2121" s="246" t="s">
        <v>2103</v>
      </c>
      <c r="T2121" s="246" t="s">
        <v>3694</v>
      </c>
      <c r="U2121" s="238" t="s">
        <v>7171</v>
      </c>
      <c r="V2121" s="238" t="s">
        <v>175</v>
      </c>
      <c r="AB2121" s="1" t="s">
        <v>1561</v>
      </c>
    </row>
    <row r="2122" spans="1:28">
      <c r="A2122" s="233">
        <v>41424</v>
      </c>
      <c r="B2122" s="1" t="s">
        <v>1979</v>
      </c>
      <c r="C2122" s="1" t="s">
        <v>162</v>
      </c>
      <c r="D2122" s="1" t="s">
        <v>240</v>
      </c>
      <c r="E2122" s="1">
        <v>6200</v>
      </c>
      <c r="F2122" s="1">
        <v>3</v>
      </c>
      <c r="G2122" s="1" t="s">
        <v>170</v>
      </c>
      <c r="H2122" s="234">
        <v>46</v>
      </c>
      <c r="I2122" s="235">
        <f t="shared" ref="I2122" si="330">H2122*F2122</f>
        <v>138</v>
      </c>
      <c r="K2122" s="250">
        <f>44.5*3</f>
        <v>133.5</v>
      </c>
      <c r="N2122" s="1">
        <v>0</v>
      </c>
      <c r="O2122" s="236">
        <f t="shared" si="329"/>
        <v>138</v>
      </c>
      <c r="P2122" s="238" t="s">
        <v>7181</v>
      </c>
      <c r="Q2122" s="1" t="s">
        <v>1562</v>
      </c>
      <c r="R2122" s="265" t="s">
        <v>68</v>
      </c>
      <c r="S2122" s="265" t="s">
        <v>2973</v>
      </c>
      <c r="T2122" s="238" t="s">
        <v>67</v>
      </c>
      <c r="U2122" s="238" t="s">
        <v>167</v>
      </c>
      <c r="AB2122" s="1" t="s">
        <v>1561</v>
      </c>
    </row>
    <row r="2123" spans="1:28">
      <c r="A2123" s="233">
        <v>41425</v>
      </c>
      <c r="B2123" s="1" t="s">
        <v>3053</v>
      </c>
      <c r="C2123" s="1" t="s">
        <v>162</v>
      </c>
      <c r="D2123" s="5" t="s">
        <v>2012</v>
      </c>
      <c r="E2123" s="1" t="s">
        <v>180</v>
      </c>
      <c r="F2123" s="1">
        <v>1000</v>
      </c>
      <c r="G2123" s="1" t="s">
        <v>170</v>
      </c>
      <c r="H2123" s="234">
        <v>1.7</v>
      </c>
      <c r="I2123" s="235">
        <f>F2123*H2123</f>
        <v>1700</v>
      </c>
      <c r="K2123" s="250">
        <f>1.55*1000</f>
        <v>1550</v>
      </c>
      <c r="L2123" s="237">
        <v>41425</v>
      </c>
      <c r="M2123" s="1" t="s">
        <v>698</v>
      </c>
      <c r="N2123" s="235">
        <f t="shared" ref="N2123" si="331">I2123</f>
        <v>1700</v>
      </c>
      <c r="O2123" s="235">
        <f t="shared" si="329"/>
        <v>0</v>
      </c>
      <c r="P2123" s="238" t="s">
        <v>7185</v>
      </c>
      <c r="Q2123" s="5" t="s">
        <v>1562</v>
      </c>
      <c r="R2123" s="239" t="s">
        <v>167</v>
      </c>
      <c r="S2123" s="238" t="s">
        <v>167</v>
      </c>
      <c r="T2123" s="238" t="s">
        <v>167</v>
      </c>
      <c r="U2123" s="238" t="s">
        <v>167</v>
      </c>
      <c r="V2123" s="238" t="s">
        <v>175</v>
      </c>
      <c r="AB2123" s="5" t="s">
        <v>1561</v>
      </c>
    </row>
    <row r="2124" spans="1:28">
      <c r="A2124" s="233">
        <v>41425</v>
      </c>
      <c r="B2124" s="1" t="s">
        <v>4338</v>
      </c>
      <c r="C2124" s="1" t="s">
        <v>162</v>
      </c>
      <c r="D2124" s="1" t="s">
        <v>240</v>
      </c>
      <c r="E2124" s="1">
        <v>6200</v>
      </c>
      <c r="F2124" s="1">
        <v>50</v>
      </c>
      <c r="G2124" s="1" t="s">
        <v>170</v>
      </c>
      <c r="H2124" s="234">
        <v>47.5</v>
      </c>
      <c r="I2124" s="235">
        <f t="shared" ref="I2124:I2127" si="332">F2124*H2124</f>
        <v>2375</v>
      </c>
      <c r="K2124" s="250">
        <f>45.2*50</f>
        <v>2260</v>
      </c>
      <c r="L2124" s="237">
        <v>41425</v>
      </c>
      <c r="M2124" s="1" t="s">
        <v>165</v>
      </c>
      <c r="N2124" s="235">
        <f t="shared" ref="N2124:N2127" si="333">I2124</f>
        <v>2375</v>
      </c>
      <c r="O2124" s="236">
        <f t="shared" si="329"/>
        <v>0</v>
      </c>
      <c r="P2124" s="238" t="s">
        <v>7194</v>
      </c>
      <c r="Q2124" s="1" t="s">
        <v>6559</v>
      </c>
      <c r="R2124" s="239" t="s">
        <v>4341</v>
      </c>
      <c r="S2124" s="238" t="s">
        <v>4342</v>
      </c>
      <c r="T2124" s="238" t="s">
        <v>2237</v>
      </c>
      <c r="AB2124" s="1" t="s">
        <v>1561</v>
      </c>
    </row>
    <row r="2125" spans="1:28">
      <c r="A2125" s="233">
        <v>41425</v>
      </c>
      <c r="B2125" s="1" t="s">
        <v>4338</v>
      </c>
      <c r="C2125" s="1" t="s">
        <v>162</v>
      </c>
      <c r="D2125" s="5" t="s">
        <v>1882</v>
      </c>
      <c r="E2125" s="1" t="s">
        <v>145</v>
      </c>
      <c r="F2125" s="1">
        <v>200</v>
      </c>
      <c r="G2125" s="1" t="s">
        <v>170</v>
      </c>
      <c r="H2125" s="234">
        <v>19.25</v>
      </c>
      <c r="I2125" s="235">
        <f t="shared" si="332"/>
        <v>3850</v>
      </c>
      <c r="K2125" s="250">
        <f>17.2*200</f>
        <v>3440</v>
      </c>
      <c r="L2125" s="237">
        <v>41425</v>
      </c>
      <c r="M2125" s="1" t="s">
        <v>165</v>
      </c>
      <c r="N2125" s="235">
        <f t="shared" si="333"/>
        <v>3850</v>
      </c>
      <c r="O2125" s="236">
        <f t="shared" si="329"/>
        <v>0</v>
      </c>
      <c r="P2125" s="238" t="s">
        <v>7194</v>
      </c>
      <c r="Q2125" s="1" t="s">
        <v>6559</v>
      </c>
      <c r="R2125" s="239" t="s">
        <v>4341</v>
      </c>
      <c r="S2125" s="238" t="s">
        <v>4342</v>
      </c>
      <c r="T2125" s="238" t="s">
        <v>2237</v>
      </c>
      <c r="AB2125" s="1" t="s">
        <v>1561</v>
      </c>
    </row>
    <row r="2126" spans="1:28">
      <c r="A2126" s="233">
        <v>41425</v>
      </c>
      <c r="B2126" s="1" t="s">
        <v>4338</v>
      </c>
      <c r="C2126" s="1" t="s">
        <v>162</v>
      </c>
      <c r="D2126" s="1" t="s">
        <v>232</v>
      </c>
      <c r="E2126" s="1" t="s">
        <v>194</v>
      </c>
      <c r="F2126" s="1">
        <v>200</v>
      </c>
      <c r="G2126" s="1" t="s">
        <v>231</v>
      </c>
      <c r="H2126" s="234">
        <v>6.25</v>
      </c>
      <c r="I2126" s="235">
        <f t="shared" si="332"/>
        <v>1250</v>
      </c>
      <c r="K2126" s="250">
        <f>4.75*200</f>
        <v>950</v>
      </c>
      <c r="L2126" s="237">
        <v>41425</v>
      </c>
      <c r="M2126" s="1" t="s">
        <v>165</v>
      </c>
      <c r="N2126" s="235">
        <f t="shared" si="333"/>
        <v>1250</v>
      </c>
      <c r="O2126" s="236">
        <f t="shared" si="329"/>
        <v>0</v>
      </c>
      <c r="P2126" s="238" t="s">
        <v>7194</v>
      </c>
      <c r="Q2126" s="1" t="s">
        <v>6559</v>
      </c>
      <c r="R2126" s="239" t="s">
        <v>4341</v>
      </c>
      <c r="S2126" s="238" t="s">
        <v>4342</v>
      </c>
      <c r="T2126" s="238" t="s">
        <v>2237</v>
      </c>
      <c r="AB2126" s="1" t="s">
        <v>1561</v>
      </c>
    </row>
    <row r="2127" spans="1:28">
      <c r="A2127" s="233">
        <v>41425</v>
      </c>
      <c r="B2127" s="1" t="s">
        <v>4338</v>
      </c>
      <c r="C2127" s="1" t="s">
        <v>162</v>
      </c>
      <c r="D2127" s="1" t="s">
        <v>263</v>
      </c>
      <c r="E2127" s="1">
        <v>501</v>
      </c>
      <c r="F2127" s="1">
        <v>100</v>
      </c>
      <c r="G2127" s="1" t="s">
        <v>170</v>
      </c>
      <c r="H2127" s="234">
        <v>1.5</v>
      </c>
      <c r="I2127" s="235">
        <f t="shared" si="332"/>
        <v>150</v>
      </c>
      <c r="K2127" s="250">
        <f>1.4*200</f>
        <v>280</v>
      </c>
      <c r="L2127" s="237">
        <v>41425</v>
      </c>
      <c r="M2127" s="1" t="s">
        <v>165</v>
      </c>
      <c r="N2127" s="235">
        <f t="shared" si="333"/>
        <v>150</v>
      </c>
      <c r="O2127" s="236">
        <f t="shared" si="329"/>
        <v>0</v>
      </c>
      <c r="P2127" s="238" t="s">
        <v>7194</v>
      </c>
      <c r="Q2127" s="1" t="s">
        <v>6559</v>
      </c>
      <c r="R2127" s="239" t="s">
        <v>4341</v>
      </c>
      <c r="S2127" s="238" t="s">
        <v>4342</v>
      </c>
      <c r="T2127" s="238" t="s">
        <v>2237</v>
      </c>
      <c r="AB2127" s="1" t="s">
        <v>1561</v>
      </c>
    </row>
    <row r="2128" spans="1:28">
      <c r="A2128" s="233">
        <v>41424</v>
      </c>
      <c r="B2128" s="1" t="s">
        <v>1979</v>
      </c>
      <c r="C2128" s="1" t="s">
        <v>162</v>
      </c>
      <c r="D2128" s="1" t="s">
        <v>240</v>
      </c>
      <c r="E2128" s="1">
        <v>6200</v>
      </c>
      <c r="F2128" s="1">
        <v>40</v>
      </c>
      <c r="G2128" s="1" t="s">
        <v>170</v>
      </c>
      <c r="H2128" s="234">
        <v>46.5</v>
      </c>
      <c r="I2128" s="235">
        <f>H2128*F2128</f>
        <v>1860</v>
      </c>
      <c r="K2128" s="250">
        <f>45.2*40</f>
        <v>1808</v>
      </c>
      <c r="N2128" s="1">
        <v>0</v>
      </c>
      <c r="O2128" s="236">
        <f t="shared" si="329"/>
        <v>1860</v>
      </c>
      <c r="P2128" s="238" t="s">
        <v>7217</v>
      </c>
      <c r="Q2128" s="1" t="s">
        <v>1562</v>
      </c>
      <c r="R2128" s="265" t="s">
        <v>68</v>
      </c>
      <c r="S2128" s="265" t="s">
        <v>2973</v>
      </c>
      <c r="T2128" s="238" t="s">
        <v>67</v>
      </c>
      <c r="U2128" s="238" t="s">
        <v>167</v>
      </c>
      <c r="AB2128" s="1" t="s">
        <v>1561</v>
      </c>
    </row>
    <row r="2129" spans="1:28">
      <c r="A2129" s="233">
        <v>41425</v>
      </c>
      <c r="B2129" s="1" t="s">
        <v>1569</v>
      </c>
      <c r="C2129" s="1" t="s">
        <v>162</v>
      </c>
      <c r="D2129" s="1" t="s">
        <v>6920</v>
      </c>
      <c r="E2129" s="1" t="s">
        <v>145</v>
      </c>
      <c r="F2129" s="1">
        <v>16</v>
      </c>
      <c r="G2129" s="1" t="s">
        <v>170</v>
      </c>
      <c r="H2129" s="234">
        <v>18.350000000000001</v>
      </c>
      <c r="I2129" s="235">
        <f>F2129*H2129</f>
        <v>293.60000000000002</v>
      </c>
      <c r="K2129" s="250">
        <f>17.8*16</f>
        <v>284.8</v>
      </c>
      <c r="N2129" s="1">
        <v>0</v>
      </c>
      <c r="O2129" s="235">
        <f t="shared" si="329"/>
        <v>293.60000000000002</v>
      </c>
      <c r="P2129" s="238" t="s">
        <v>7192</v>
      </c>
      <c r="Q2129" s="1" t="s">
        <v>7199</v>
      </c>
      <c r="R2129" s="239" t="s">
        <v>1570</v>
      </c>
      <c r="S2129" s="238">
        <v>13368068212</v>
      </c>
      <c r="T2129" s="238" t="s">
        <v>7200</v>
      </c>
      <c r="U2129" s="238" t="s">
        <v>167</v>
      </c>
      <c r="AB2129" s="1" t="s">
        <v>1561</v>
      </c>
    </row>
    <row r="2130" spans="1:28">
      <c r="A2130" s="233">
        <v>41425</v>
      </c>
      <c r="B2130" s="1" t="s">
        <v>1569</v>
      </c>
      <c r="C2130" s="1" t="s">
        <v>162</v>
      </c>
      <c r="D2130" s="1" t="s">
        <v>240</v>
      </c>
      <c r="E2130" s="1">
        <v>6200</v>
      </c>
      <c r="F2130" s="1">
        <v>5</v>
      </c>
      <c r="G2130" s="1" t="s">
        <v>170</v>
      </c>
      <c r="H2130" s="234">
        <v>46.65</v>
      </c>
      <c r="I2130" s="235">
        <f>F2130*H2130</f>
        <v>233.25</v>
      </c>
      <c r="K2130" s="250">
        <f>45.2*5</f>
        <v>226</v>
      </c>
      <c r="N2130" s="1">
        <v>0</v>
      </c>
      <c r="O2130" s="235">
        <f t="shared" si="329"/>
        <v>233.25</v>
      </c>
      <c r="P2130" s="238" t="s">
        <v>7192</v>
      </c>
      <c r="Q2130" s="1" t="s">
        <v>7199</v>
      </c>
      <c r="R2130" s="239" t="s">
        <v>1570</v>
      </c>
      <c r="S2130" s="238">
        <v>13368068212</v>
      </c>
      <c r="T2130" s="238" t="s">
        <v>7200</v>
      </c>
      <c r="U2130" s="238" t="s">
        <v>167</v>
      </c>
      <c r="AB2130" s="1" t="s">
        <v>1561</v>
      </c>
    </row>
    <row r="2131" spans="1:28">
      <c r="A2131" s="233">
        <v>41425</v>
      </c>
      <c r="B2131" s="1" t="s">
        <v>7201</v>
      </c>
      <c r="C2131" s="1" t="s">
        <v>162</v>
      </c>
      <c r="D2131" s="1" t="s">
        <v>2010</v>
      </c>
      <c r="E2131" s="1">
        <v>10434</v>
      </c>
      <c r="F2131" s="1">
        <v>1</v>
      </c>
      <c r="G2131" s="1" t="s">
        <v>7204</v>
      </c>
      <c r="H2131" s="234">
        <v>16.079999999999998</v>
      </c>
      <c r="I2131" s="235">
        <f>H2131*F2131</f>
        <v>16.079999999999998</v>
      </c>
      <c r="K2131" s="250">
        <f>14.2*1</f>
        <v>14.2</v>
      </c>
      <c r="N2131" s="1">
        <v>0</v>
      </c>
      <c r="O2131" s="236">
        <f t="shared" si="329"/>
        <v>16.079999999999998</v>
      </c>
      <c r="P2131" s="238" t="s">
        <v>7209</v>
      </c>
      <c r="AB2131" s="1" t="s">
        <v>1561</v>
      </c>
    </row>
    <row r="2132" spans="1:28">
      <c r="A2132" s="233">
        <v>41425</v>
      </c>
      <c r="B2132" s="1" t="s">
        <v>7201</v>
      </c>
      <c r="C2132" s="1" t="s">
        <v>162</v>
      </c>
      <c r="D2132" s="1" t="s">
        <v>681</v>
      </c>
      <c r="E2132" s="1" t="s">
        <v>7202</v>
      </c>
      <c r="F2132" s="1">
        <v>1</v>
      </c>
      <c r="G2132" s="1" t="s">
        <v>7204</v>
      </c>
      <c r="H2132" s="234">
        <v>3.45</v>
      </c>
      <c r="I2132" s="235">
        <f>H2132*F2132</f>
        <v>3.45</v>
      </c>
      <c r="K2132" s="250">
        <f>3.31*1</f>
        <v>3.31</v>
      </c>
      <c r="N2132" s="1">
        <v>0</v>
      </c>
      <c r="O2132" s="236">
        <f t="shared" si="329"/>
        <v>3.45</v>
      </c>
      <c r="P2132" s="238" t="s">
        <v>7209</v>
      </c>
      <c r="AB2132" s="1" t="s">
        <v>1561</v>
      </c>
    </row>
    <row r="2133" spans="1:28">
      <c r="A2133" s="233">
        <v>41425</v>
      </c>
      <c r="B2133" s="1" t="s">
        <v>7201</v>
      </c>
      <c r="C2133" s="1" t="s">
        <v>7203</v>
      </c>
      <c r="D2133" s="1" t="s">
        <v>347</v>
      </c>
      <c r="E2133" s="1">
        <v>5210</v>
      </c>
      <c r="F2133" s="1">
        <v>6</v>
      </c>
      <c r="G2133" s="1" t="s">
        <v>7205</v>
      </c>
      <c r="H2133" s="234">
        <v>1.2</v>
      </c>
      <c r="I2133" s="235">
        <f>H2133*F2133</f>
        <v>7.1999999999999993</v>
      </c>
      <c r="K2133" s="250">
        <f>0.95*6</f>
        <v>5.6999999999999993</v>
      </c>
      <c r="N2133" s="1">
        <v>0</v>
      </c>
      <c r="O2133" s="236">
        <f t="shared" si="329"/>
        <v>7.1999999999999993</v>
      </c>
      <c r="P2133" s="238" t="s">
        <v>7209</v>
      </c>
      <c r="AB2133" s="1" t="s">
        <v>1561</v>
      </c>
    </row>
    <row r="2134" spans="1:28">
      <c r="A2134" s="233">
        <v>41425</v>
      </c>
      <c r="B2134" s="1" t="s">
        <v>7201</v>
      </c>
      <c r="C2134" s="1" t="s">
        <v>7206</v>
      </c>
      <c r="D2134" s="1" t="s">
        <v>7208</v>
      </c>
      <c r="E2134" s="1" t="s">
        <v>7185</v>
      </c>
      <c r="F2134" s="1">
        <v>1</v>
      </c>
      <c r="G2134" s="1" t="s">
        <v>7205</v>
      </c>
      <c r="H2134" s="234">
        <v>25</v>
      </c>
      <c r="I2134" s="235">
        <f>H2134*F2134</f>
        <v>25</v>
      </c>
      <c r="K2134" s="250">
        <f>20*1</f>
        <v>20</v>
      </c>
      <c r="N2134" s="1">
        <v>0</v>
      </c>
      <c r="O2134" s="236">
        <f t="shared" si="329"/>
        <v>25</v>
      </c>
      <c r="P2134" s="238" t="s">
        <v>7209</v>
      </c>
      <c r="AB2134" s="1" t="s">
        <v>1561</v>
      </c>
    </row>
    <row r="2135" spans="1:28">
      <c r="B2135" s="1" t="s">
        <v>5254</v>
      </c>
      <c r="C2135" s="1" t="s">
        <v>162</v>
      </c>
      <c r="D2135" s="1" t="s">
        <v>1210</v>
      </c>
      <c r="E2135" s="1">
        <v>3200</v>
      </c>
      <c r="F2135" s="1">
        <v>900</v>
      </c>
      <c r="G2135" s="1" t="s">
        <v>5912</v>
      </c>
      <c r="H2135" s="234">
        <v>28.3</v>
      </c>
      <c r="I2135" s="235">
        <f t="shared" si="193"/>
        <v>25470</v>
      </c>
      <c r="N2135" s="235">
        <v>0</v>
      </c>
      <c r="O2135" s="235">
        <f t="shared" si="191"/>
        <v>25470</v>
      </c>
      <c r="R2135" s="239" t="s">
        <v>6095</v>
      </c>
      <c r="S2135" s="238" t="s">
        <v>6096</v>
      </c>
      <c r="T2135" s="238" t="s">
        <v>5255</v>
      </c>
      <c r="AB2135" s="1" t="s">
        <v>1561</v>
      </c>
    </row>
    <row r="2136" spans="1:28">
      <c r="B2136" s="1" t="s">
        <v>5254</v>
      </c>
      <c r="C2136" s="1" t="s">
        <v>162</v>
      </c>
      <c r="D2136" s="5" t="s">
        <v>182</v>
      </c>
      <c r="E2136" s="1" t="s">
        <v>186</v>
      </c>
      <c r="F2136" s="1">
        <v>1000</v>
      </c>
      <c r="G2136" s="1" t="s">
        <v>171</v>
      </c>
      <c r="H2136" s="234">
        <v>1.65</v>
      </c>
      <c r="I2136" s="235">
        <f t="shared" ref="I2136" si="334">F2136*H2136</f>
        <v>1650</v>
      </c>
      <c r="N2136" s="235">
        <v>0</v>
      </c>
      <c r="O2136" s="235">
        <f t="shared" ref="O2136:O2139" si="335">I2136-N2136</f>
        <v>1650</v>
      </c>
      <c r="R2136" s="239" t="s">
        <v>6095</v>
      </c>
      <c r="S2136" s="238" t="s">
        <v>6096</v>
      </c>
      <c r="T2136" s="238" t="s">
        <v>5255</v>
      </c>
      <c r="AB2136" s="1" t="s">
        <v>1561</v>
      </c>
    </row>
    <row r="2137" spans="1:28">
      <c r="B2137" s="1" t="s">
        <v>2174</v>
      </c>
      <c r="C2137" s="1" t="s">
        <v>6707</v>
      </c>
      <c r="D2137" s="1" t="s">
        <v>347</v>
      </c>
      <c r="E2137" s="1">
        <v>5210</v>
      </c>
      <c r="F2137" s="1">
        <v>1</v>
      </c>
      <c r="G2137" s="1" t="s">
        <v>170</v>
      </c>
      <c r="H2137" s="234">
        <v>1.2</v>
      </c>
      <c r="I2137" s="235">
        <f t="shared" ref="I2137:I2139" si="336">F2137*H2137</f>
        <v>1.2</v>
      </c>
      <c r="N2137" s="235">
        <v>0</v>
      </c>
      <c r="O2137" s="235">
        <f t="shared" si="335"/>
        <v>1.2</v>
      </c>
      <c r="P2137" s="238" t="s">
        <v>6963</v>
      </c>
      <c r="Q2137" s="1" t="s">
        <v>2505</v>
      </c>
      <c r="R2137" s="239" t="s">
        <v>2176</v>
      </c>
      <c r="S2137" s="238" t="s">
        <v>2177</v>
      </c>
      <c r="T2137" s="238" t="s">
        <v>3533</v>
      </c>
      <c r="U2137" s="238" t="s">
        <v>167</v>
      </c>
      <c r="AB2137" s="5" t="s">
        <v>1561</v>
      </c>
    </row>
    <row r="2138" spans="1:28">
      <c r="B2138" s="1" t="s">
        <v>2174</v>
      </c>
      <c r="C2138" s="1" t="s">
        <v>162</v>
      </c>
      <c r="D2138" s="5" t="s">
        <v>2012</v>
      </c>
      <c r="E2138" s="1" t="s">
        <v>6961</v>
      </c>
      <c r="F2138" s="1">
        <v>1</v>
      </c>
      <c r="G2138" s="1" t="s">
        <v>170</v>
      </c>
      <c r="H2138" s="234">
        <v>1.63</v>
      </c>
      <c r="I2138" s="235">
        <f t="shared" si="336"/>
        <v>1.63</v>
      </c>
      <c r="N2138" s="235">
        <v>0</v>
      </c>
      <c r="O2138" s="235">
        <f t="shared" si="335"/>
        <v>1.63</v>
      </c>
      <c r="P2138" s="238" t="s">
        <v>6963</v>
      </c>
      <c r="Q2138" s="1" t="s">
        <v>2505</v>
      </c>
      <c r="R2138" s="239" t="s">
        <v>2176</v>
      </c>
      <c r="S2138" s="238" t="s">
        <v>2177</v>
      </c>
      <c r="T2138" s="238" t="s">
        <v>3533</v>
      </c>
      <c r="U2138" s="238" t="s">
        <v>167</v>
      </c>
      <c r="AB2138" s="5" t="s">
        <v>1561</v>
      </c>
    </row>
    <row r="2139" spans="1:28">
      <c r="B2139" s="1" t="s">
        <v>2174</v>
      </c>
      <c r="C2139" s="1" t="s">
        <v>162</v>
      </c>
      <c r="D2139" s="1" t="s">
        <v>6964</v>
      </c>
      <c r="E2139" s="1" t="s">
        <v>6962</v>
      </c>
      <c r="F2139" s="1">
        <v>1</v>
      </c>
      <c r="G2139" s="1" t="s">
        <v>170</v>
      </c>
      <c r="H2139" s="234">
        <v>2.2000000000000002</v>
      </c>
      <c r="I2139" s="235">
        <f t="shared" si="336"/>
        <v>2.2000000000000002</v>
      </c>
      <c r="N2139" s="235">
        <v>0</v>
      </c>
      <c r="O2139" s="235">
        <f t="shared" si="335"/>
        <v>2.2000000000000002</v>
      </c>
      <c r="P2139" s="238" t="s">
        <v>6963</v>
      </c>
      <c r="Q2139" s="1" t="s">
        <v>2505</v>
      </c>
      <c r="R2139" s="239" t="s">
        <v>2176</v>
      </c>
      <c r="S2139" s="238" t="s">
        <v>2177</v>
      </c>
      <c r="T2139" s="238" t="s">
        <v>3533</v>
      </c>
      <c r="U2139" s="238" t="s">
        <v>167</v>
      </c>
      <c r="AB2139" s="5" t="s">
        <v>1561</v>
      </c>
    </row>
    <row r="2140" spans="1:28">
      <c r="B2140" s="1" t="s">
        <v>6074</v>
      </c>
      <c r="C2140" s="1" t="s">
        <v>162</v>
      </c>
      <c r="D2140" s="5" t="s">
        <v>51</v>
      </c>
      <c r="E2140" s="1">
        <v>9032</v>
      </c>
      <c r="F2140" s="1">
        <v>2000</v>
      </c>
      <c r="G2140" s="1" t="s">
        <v>170</v>
      </c>
      <c r="H2140" s="234">
        <v>1.65</v>
      </c>
      <c r="I2140" s="235">
        <f>F2140*H2140</f>
        <v>3300</v>
      </c>
      <c r="N2140" s="1">
        <v>0</v>
      </c>
      <c r="O2140" s="236">
        <f>I2140-N2140</f>
        <v>3300</v>
      </c>
      <c r="Q2140" s="1" t="s">
        <v>2505</v>
      </c>
      <c r="R2140" s="239" t="s">
        <v>7093</v>
      </c>
      <c r="S2140" s="238" t="s">
        <v>7094</v>
      </c>
      <c r="T2140" s="238" t="s">
        <v>6329</v>
      </c>
      <c r="U2140" s="238" t="s">
        <v>167</v>
      </c>
      <c r="AB2140" s="1" t="s">
        <v>2064</v>
      </c>
    </row>
    <row r="2141" spans="1:28">
      <c r="B2141" s="228" t="s">
        <v>1488</v>
      </c>
      <c r="C2141" s="1" t="s">
        <v>162</v>
      </c>
      <c r="D2141" s="1" t="s">
        <v>1867</v>
      </c>
      <c r="E2141" s="1">
        <v>6006</v>
      </c>
      <c r="F2141" s="1">
        <v>40</v>
      </c>
      <c r="G2141" s="1" t="s">
        <v>170</v>
      </c>
      <c r="H2141" s="234">
        <v>57.7</v>
      </c>
      <c r="I2141" s="235">
        <f>F2141*H2141</f>
        <v>2308</v>
      </c>
      <c r="M2141" s="1" t="s">
        <v>166</v>
      </c>
      <c r="N2141" s="236">
        <v>1154</v>
      </c>
      <c r="O2141" s="236">
        <f t="shared" ref="O2141" si="337">I2141-N2141</f>
        <v>1154</v>
      </c>
      <c r="P2141" s="238" t="s">
        <v>7152</v>
      </c>
      <c r="R2141" s="239" t="s">
        <v>4326</v>
      </c>
      <c r="S2141" s="238" t="s">
        <v>4327</v>
      </c>
      <c r="T2141" s="238" t="s">
        <v>1471</v>
      </c>
      <c r="U2141" s="238" t="s">
        <v>7090</v>
      </c>
      <c r="AB2141" s="1" t="s">
        <v>1561</v>
      </c>
    </row>
    <row r="2142" spans="1:28">
      <c r="B2142" s="1" t="s">
        <v>4639</v>
      </c>
      <c r="C2142" s="1" t="s">
        <v>162</v>
      </c>
      <c r="D2142" s="1" t="s">
        <v>1219</v>
      </c>
      <c r="E2142" s="1" t="s">
        <v>779</v>
      </c>
      <c r="F2142" s="1">
        <v>125</v>
      </c>
      <c r="G2142" s="5" t="s">
        <v>170</v>
      </c>
      <c r="H2142" s="234">
        <v>6</v>
      </c>
      <c r="I2142" s="235">
        <f t="shared" ref="I2142:I2147" si="338">F2142*H2142</f>
        <v>750</v>
      </c>
      <c r="N2142" s="1">
        <v>0</v>
      </c>
      <c r="O2142" s="235">
        <f t="shared" ref="O2142:O2148" si="339">I2142-N2142</f>
        <v>750</v>
      </c>
      <c r="R2142" s="239" t="s">
        <v>4642</v>
      </c>
      <c r="S2142" s="238" t="s">
        <v>4643</v>
      </c>
      <c r="T2142" s="238" t="s">
        <v>4644</v>
      </c>
      <c r="U2142" s="238" t="s">
        <v>167</v>
      </c>
      <c r="AA2142" s="282" t="s">
        <v>2141</v>
      </c>
      <c r="AB2142" s="1" t="s">
        <v>2064</v>
      </c>
    </row>
    <row r="2143" spans="1:28">
      <c r="B2143" s="1" t="s">
        <v>3668</v>
      </c>
      <c r="C2143" s="5" t="s">
        <v>162</v>
      </c>
      <c r="D2143" s="5" t="s">
        <v>86</v>
      </c>
      <c r="E2143" s="5">
        <v>9032</v>
      </c>
      <c r="F2143" s="1">
        <v>1500</v>
      </c>
      <c r="G2143" s="1" t="s">
        <v>170</v>
      </c>
      <c r="H2143" s="234">
        <v>2.2999999999999998</v>
      </c>
      <c r="I2143" s="235">
        <f t="shared" si="338"/>
        <v>3449.9999999999995</v>
      </c>
      <c r="N2143" s="235">
        <v>0</v>
      </c>
      <c r="O2143" s="235">
        <f t="shared" si="339"/>
        <v>3449.9999999999995</v>
      </c>
      <c r="R2143" s="239" t="s">
        <v>4204</v>
      </c>
      <c r="S2143" s="238" t="s">
        <v>4205</v>
      </c>
      <c r="T2143" s="238" t="s">
        <v>3672</v>
      </c>
      <c r="AB2143" s="1" t="s">
        <v>2064</v>
      </c>
    </row>
    <row r="2144" spans="1:28">
      <c r="B2144" s="1" t="s">
        <v>3668</v>
      </c>
      <c r="C2144" s="5" t="s">
        <v>162</v>
      </c>
      <c r="D2144" s="415" t="s">
        <v>5047</v>
      </c>
      <c r="E2144" s="5">
        <v>8210</v>
      </c>
      <c r="F2144" s="1">
        <v>480</v>
      </c>
      <c r="G2144" s="1" t="s">
        <v>170</v>
      </c>
      <c r="H2144" s="234">
        <v>6.5</v>
      </c>
      <c r="I2144" s="235">
        <f t="shared" si="338"/>
        <v>3120</v>
      </c>
      <c r="N2144" s="235">
        <v>0</v>
      </c>
      <c r="O2144" s="235">
        <f t="shared" si="339"/>
        <v>3120</v>
      </c>
      <c r="R2144" s="239" t="s">
        <v>4204</v>
      </c>
      <c r="S2144" s="238" t="s">
        <v>4205</v>
      </c>
      <c r="T2144" s="238" t="s">
        <v>3672</v>
      </c>
      <c r="AB2144" s="1" t="s">
        <v>2064</v>
      </c>
    </row>
    <row r="2145" spans="2:28">
      <c r="B2145" s="1" t="s">
        <v>3743</v>
      </c>
      <c r="C2145" s="5" t="s">
        <v>162</v>
      </c>
      <c r="D2145" s="5" t="s">
        <v>51</v>
      </c>
      <c r="E2145" s="1">
        <v>9032</v>
      </c>
      <c r="F2145" s="1">
        <v>1000</v>
      </c>
      <c r="G2145" s="1" t="s">
        <v>170</v>
      </c>
      <c r="H2145" s="234">
        <v>2.2999999999999998</v>
      </c>
      <c r="I2145" s="235">
        <f t="shared" si="338"/>
        <v>2300</v>
      </c>
      <c r="N2145" s="1">
        <v>0</v>
      </c>
      <c r="O2145" s="236">
        <f t="shared" si="339"/>
        <v>2300</v>
      </c>
      <c r="P2145" s="238" t="s">
        <v>7176</v>
      </c>
      <c r="R2145" s="239" t="s">
        <v>3746</v>
      </c>
      <c r="S2145" s="238" t="s">
        <v>3747</v>
      </c>
      <c r="T2145" s="238" t="s">
        <v>2744</v>
      </c>
      <c r="V2145" s="238" t="s">
        <v>175</v>
      </c>
      <c r="AB2145" s="1" t="s">
        <v>2064</v>
      </c>
    </row>
    <row r="2146" spans="2:28">
      <c r="B2146" s="1" t="s">
        <v>3344</v>
      </c>
      <c r="C2146" s="1" t="s">
        <v>7177</v>
      </c>
      <c r="D2146" s="1" t="s">
        <v>347</v>
      </c>
      <c r="E2146" s="1">
        <v>5210</v>
      </c>
      <c r="F2146" s="1">
        <v>300</v>
      </c>
      <c r="G2146" s="1" t="s">
        <v>7178</v>
      </c>
      <c r="H2146" s="234">
        <v>1.2</v>
      </c>
      <c r="I2146" s="235">
        <f t="shared" si="338"/>
        <v>360</v>
      </c>
      <c r="K2146" s="250">
        <f>0.95*300</f>
        <v>285</v>
      </c>
      <c r="N2146" s="1">
        <v>0</v>
      </c>
      <c r="O2146" s="236">
        <f t="shared" si="339"/>
        <v>360</v>
      </c>
      <c r="P2146" s="238" t="s">
        <v>7179</v>
      </c>
      <c r="Q2146" s="1" t="s">
        <v>3345</v>
      </c>
      <c r="R2146" s="10" t="s">
        <v>3346</v>
      </c>
      <c r="S2146" s="238">
        <v>13896055976</v>
      </c>
      <c r="T2146" s="238" t="s">
        <v>3347</v>
      </c>
      <c r="AB2146" s="1" t="s">
        <v>1561</v>
      </c>
    </row>
    <row r="2147" spans="2:28">
      <c r="B2147" s="1" t="s">
        <v>1569</v>
      </c>
      <c r="C2147" s="219" t="s">
        <v>6366</v>
      </c>
      <c r="D2147" s="1" t="s">
        <v>7190</v>
      </c>
      <c r="F2147" s="1">
        <v>120</v>
      </c>
      <c r="G2147" s="1" t="s">
        <v>7191</v>
      </c>
      <c r="H2147" s="234">
        <v>17</v>
      </c>
      <c r="I2147" s="235">
        <f t="shared" si="338"/>
        <v>2040</v>
      </c>
      <c r="N2147" s="1">
        <v>0</v>
      </c>
      <c r="O2147" s="235">
        <f t="shared" si="339"/>
        <v>2040</v>
      </c>
      <c r="P2147" s="238" t="s">
        <v>7192</v>
      </c>
      <c r="Q2147" s="1" t="s">
        <v>1571</v>
      </c>
      <c r="R2147" s="239" t="s">
        <v>1570</v>
      </c>
      <c r="S2147" s="238">
        <v>13368068212</v>
      </c>
      <c r="T2147" s="238" t="s">
        <v>167</v>
      </c>
      <c r="U2147" s="238" t="s">
        <v>167</v>
      </c>
      <c r="AB2147" s="1" t="s">
        <v>1561</v>
      </c>
    </row>
    <row r="2148" spans="2:28">
      <c r="B2148" s="1" t="s">
        <v>2362</v>
      </c>
      <c r="C2148" s="5" t="s">
        <v>162</v>
      </c>
      <c r="D2148" s="1" t="s">
        <v>2010</v>
      </c>
      <c r="E2148" s="417">
        <v>10434</v>
      </c>
      <c r="F2148" s="1">
        <v>50</v>
      </c>
      <c r="G2148" s="1" t="s">
        <v>172</v>
      </c>
      <c r="H2148" s="234">
        <v>16.079999999999998</v>
      </c>
      <c r="I2148" s="235">
        <f>H2148*F2148</f>
        <v>803.99999999999989</v>
      </c>
      <c r="K2148" s="250">
        <f>14.2*50</f>
        <v>710</v>
      </c>
      <c r="N2148" s="1">
        <v>0</v>
      </c>
      <c r="O2148" s="236">
        <f t="shared" si="339"/>
        <v>803.99999999999989</v>
      </c>
      <c r="P2148" s="238" t="s">
        <v>7193</v>
      </c>
      <c r="R2148" s="239" t="s">
        <v>2364</v>
      </c>
      <c r="S2148" s="238" t="s">
        <v>3938</v>
      </c>
      <c r="T2148" s="238" t="s">
        <v>2273</v>
      </c>
      <c r="AB2148" s="1" t="s">
        <v>1561</v>
      </c>
    </row>
    <row r="2149" spans="2:28">
      <c r="B2149" s="1" t="s">
        <v>7201</v>
      </c>
      <c r="C2149" s="1" t="s">
        <v>162</v>
      </c>
      <c r="D2149" s="1" t="s">
        <v>1867</v>
      </c>
      <c r="E2149" s="1">
        <v>6006</v>
      </c>
      <c r="F2149" s="1">
        <v>2</v>
      </c>
      <c r="G2149" s="1" t="s">
        <v>7205</v>
      </c>
      <c r="H2149" s="234">
        <v>59.31</v>
      </c>
      <c r="I2149" s="235">
        <f t="shared" ref="I2149:I2150" si="340">H2149*F2149</f>
        <v>118.62</v>
      </c>
      <c r="N2149" s="1">
        <v>0</v>
      </c>
      <c r="O2149" s="236">
        <f t="shared" ref="O2149:O2154" si="341">I2149-N2149</f>
        <v>118.62</v>
      </c>
      <c r="P2149" s="238" t="s">
        <v>7209</v>
      </c>
      <c r="AB2149" s="1" t="s">
        <v>1561</v>
      </c>
    </row>
    <row r="2150" spans="2:28">
      <c r="B2150" s="1" t="s">
        <v>7201</v>
      </c>
      <c r="C2150" s="1" t="s">
        <v>162</v>
      </c>
      <c r="D2150" s="1" t="s">
        <v>240</v>
      </c>
      <c r="E2150" s="1">
        <v>6200</v>
      </c>
      <c r="F2150" s="1">
        <v>1</v>
      </c>
      <c r="G2150" s="1" t="s">
        <v>7205</v>
      </c>
      <c r="H2150" s="234">
        <v>48.35</v>
      </c>
      <c r="I2150" s="235">
        <f t="shared" si="340"/>
        <v>48.35</v>
      </c>
      <c r="N2150" s="1">
        <v>0</v>
      </c>
      <c r="O2150" s="236">
        <f t="shared" si="341"/>
        <v>48.35</v>
      </c>
      <c r="P2150" s="238" t="s">
        <v>7209</v>
      </c>
      <c r="AB2150" s="1" t="s">
        <v>1561</v>
      </c>
    </row>
    <row r="2151" spans="2:28">
      <c r="B2151" s="1" t="s">
        <v>2309</v>
      </c>
      <c r="C2151" s="1" t="s">
        <v>162</v>
      </c>
      <c r="D2151" s="1" t="s">
        <v>1210</v>
      </c>
      <c r="E2151" s="1">
        <v>3200</v>
      </c>
      <c r="F2151" s="1">
        <v>100</v>
      </c>
      <c r="G2151" s="1" t="s">
        <v>170</v>
      </c>
      <c r="H2151" s="234">
        <v>28.35</v>
      </c>
      <c r="I2151" s="235">
        <f t="shared" ref="I2151:I2154" si="342">F2151*H2151</f>
        <v>2835</v>
      </c>
      <c r="N2151" s="1">
        <v>0</v>
      </c>
      <c r="O2151" s="236">
        <f t="shared" si="341"/>
        <v>2835</v>
      </c>
      <c r="P2151" s="238" t="s">
        <v>7211</v>
      </c>
      <c r="Q2151" s="1" t="s">
        <v>1562</v>
      </c>
      <c r="R2151" s="239" t="s">
        <v>3148</v>
      </c>
      <c r="S2151" s="238" t="s">
        <v>3149</v>
      </c>
      <c r="T2151" s="239" t="s">
        <v>167</v>
      </c>
      <c r="U2151" s="239" t="s">
        <v>167</v>
      </c>
      <c r="AB2151" s="1" t="s">
        <v>1561</v>
      </c>
    </row>
    <row r="2152" spans="2:28">
      <c r="B2152" s="1" t="s">
        <v>2309</v>
      </c>
      <c r="C2152" s="1" t="s">
        <v>162</v>
      </c>
      <c r="D2152" s="417" t="s">
        <v>353</v>
      </c>
      <c r="E2152" s="1" t="s">
        <v>22</v>
      </c>
      <c r="F2152" s="1">
        <v>100</v>
      </c>
      <c r="G2152" s="1" t="s">
        <v>170</v>
      </c>
      <c r="H2152" s="234">
        <v>12.93</v>
      </c>
      <c r="I2152" s="235">
        <f t="shared" si="342"/>
        <v>1293</v>
      </c>
      <c r="N2152" s="1">
        <v>0</v>
      </c>
      <c r="O2152" s="236">
        <f t="shared" si="341"/>
        <v>1293</v>
      </c>
      <c r="P2152" s="238" t="s">
        <v>7211</v>
      </c>
      <c r="Q2152" s="1" t="s">
        <v>1562</v>
      </c>
      <c r="R2152" s="239" t="s">
        <v>3148</v>
      </c>
      <c r="S2152" s="238" t="s">
        <v>3149</v>
      </c>
      <c r="T2152" s="239" t="s">
        <v>167</v>
      </c>
      <c r="U2152" s="239" t="s">
        <v>167</v>
      </c>
      <c r="AB2152" s="1" t="s">
        <v>1561</v>
      </c>
    </row>
    <row r="2153" spans="2:28">
      <c r="B2153" s="1" t="s">
        <v>3770</v>
      </c>
      <c r="C2153" s="1" t="s">
        <v>5643</v>
      </c>
      <c r="D2153" s="1" t="s">
        <v>7213</v>
      </c>
      <c r="E2153" s="1" t="s">
        <v>7212</v>
      </c>
      <c r="F2153" s="1">
        <v>1</v>
      </c>
      <c r="G2153" s="1" t="s">
        <v>7214</v>
      </c>
      <c r="H2153" s="234">
        <v>353</v>
      </c>
      <c r="I2153" s="235">
        <f t="shared" si="342"/>
        <v>353</v>
      </c>
      <c r="N2153" s="1">
        <v>0</v>
      </c>
      <c r="O2153" s="235">
        <f t="shared" si="341"/>
        <v>353</v>
      </c>
      <c r="Q2153" s="1" t="s">
        <v>1562</v>
      </c>
      <c r="R2153" s="1" t="s">
        <v>3772</v>
      </c>
      <c r="S2153" s="238" t="s">
        <v>3773</v>
      </c>
      <c r="T2153" s="238" t="s">
        <v>4404</v>
      </c>
      <c r="U2153" s="238" t="s">
        <v>167</v>
      </c>
      <c r="AB2153" s="1" t="s">
        <v>1561</v>
      </c>
    </row>
    <row r="2154" spans="2:28">
      <c r="B2154" s="1" t="s">
        <v>3770</v>
      </c>
      <c r="C2154" s="1" t="s">
        <v>162</v>
      </c>
      <c r="D2154" s="1" t="s">
        <v>1763</v>
      </c>
      <c r="E2154" s="1">
        <v>1860</v>
      </c>
      <c r="F2154" s="1">
        <v>120</v>
      </c>
      <c r="G2154" s="1" t="s">
        <v>170</v>
      </c>
      <c r="H2154" s="234">
        <v>14</v>
      </c>
      <c r="I2154" s="235">
        <f t="shared" si="342"/>
        <v>1680</v>
      </c>
      <c r="N2154" s="1">
        <v>0</v>
      </c>
      <c r="O2154" s="235">
        <f t="shared" si="341"/>
        <v>1680</v>
      </c>
      <c r="Q2154" s="1" t="s">
        <v>1562</v>
      </c>
      <c r="R2154" s="1" t="s">
        <v>3772</v>
      </c>
      <c r="S2154" s="238" t="s">
        <v>3773</v>
      </c>
      <c r="T2154" s="238" t="s">
        <v>4404</v>
      </c>
      <c r="U2154" s="238" t="s">
        <v>167</v>
      </c>
      <c r="AB2154" s="1" t="s">
        <v>1561</v>
      </c>
    </row>
  </sheetData>
  <autoFilter ref="A1:AR2154">
    <filterColumn colId="0"/>
    <filterColumn colId="1"/>
    <filterColumn colId="27"/>
  </autoFilter>
  <customSheetViews>
    <customSheetView guid="{E2EBE12A-2EEF-4ED6-A8ED-23574FF31B29}" showAutoFilter="1">
      <pane xSplit="2" ySplit="1" topLeftCell="C650" activePane="bottomRight" state="frozen"/>
      <selection pane="bottomRight" activeCell="D666" sqref="D666"/>
      <pageMargins left="0.70866141732283472" right="0.70866141732283472" top="0.74803149606299213" bottom="0.74803149606299213" header="0.31496062992125984" footer="0.31496062992125984"/>
      <pageSetup paperSize="9" firstPageNumber="4294963191" orientation="landscape" horizontalDpi="200" verticalDpi="200" r:id="rId1"/>
      <headerFooter alignWithMargins="0"/>
      <autoFilter ref="B1:BO1"/>
    </customSheetView>
  </customSheetViews>
  <mergeCells count="1">
    <mergeCell ref="K2:K3"/>
  </mergeCells>
  <phoneticPr fontId="22" type="noConversion"/>
  <dataValidations disablePrompts="1" count="1">
    <dataValidation type="custom" allowBlank="1" showInputMessage="1" showErrorMessage="1" sqref="AB1">
      <formula1>"渠道,终端"</formula1>
    </dataValidation>
  </dataValidations>
  <pageMargins left="0.70866141732283472" right="0.70866141732283472" top="0.74803149606299213" bottom="0.74803149606299213" header="0.31496062992125984" footer="0.31496062992125984"/>
  <pageSetup paperSize="9" firstPageNumber="4294963191" orientation="landscape" horizontalDpi="200" verticalDpi="200" r:id="rId2"/>
  <headerFooter alignWithMargins="0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AK176"/>
  <sheetViews>
    <sheetView workbookViewId="0">
      <pane ySplit="1" topLeftCell="A2" activePane="bottomLeft" state="frozen"/>
      <selection pane="bottomLeft" activeCell="E183" sqref="E183"/>
    </sheetView>
  </sheetViews>
  <sheetFormatPr defaultRowHeight="12"/>
  <cols>
    <col min="1" max="1" width="36.75" style="134" bestFit="1" customWidth="1"/>
    <col min="2" max="2" width="10.25" style="134" customWidth="1"/>
    <col min="3" max="3" width="9" style="134" customWidth="1"/>
    <col min="4" max="4" width="21.75" style="115" customWidth="1"/>
    <col min="5" max="5" width="10.375" style="135" customWidth="1"/>
    <col min="6" max="6" width="9.75" style="136" customWidth="1"/>
    <col min="7" max="16384" width="9" style="136"/>
  </cols>
  <sheetData>
    <row r="1" spans="1:6" s="133" customFormat="1">
      <c r="A1" s="145" t="s">
        <v>1111</v>
      </c>
      <c r="B1" s="145" t="s">
        <v>1112</v>
      </c>
      <c r="C1" s="145" t="s">
        <v>1113</v>
      </c>
      <c r="D1" s="146" t="s">
        <v>1114</v>
      </c>
      <c r="E1" s="147" t="s">
        <v>1115</v>
      </c>
      <c r="F1" s="133" t="s">
        <v>1523</v>
      </c>
    </row>
    <row r="2" spans="1:6" s="133" customFormat="1" ht="12" customHeight="1">
      <c r="A2" s="70" t="s">
        <v>5858</v>
      </c>
      <c r="B2" s="70" t="s">
        <v>5857</v>
      </c>
      <c r="C2" s="139">
        <f>31000-7000-5000-6000</f>
        <v>13000</v>
      </c>
      <c r="D2" s="346" t="s">
        <v>5968</v>
      </c>
      <c r="E2" s="365">
        <f>C2*D2</f>
        <v>6500</v>
      </c>
    </row>
    <row r="3" spans="1:6" s="133" customFormat="1" ht="12" customHeight="1">
      <c r="A3" s="70" t="s">
        <v>6721</v>
      </c>
      <c r="B3" s="70"/>
      <c r="C3" s="139">
        <v>30</v>
      </c>
      <c r="D3" s="346" t="s">
        <v>6981</v>
      </c>
      <c r="E3" s="365">
        <f>D3*C3</f>
        <v>600</v>
      </c>
    </row>
    <row r="4" spans="1:6" s="133" customFormat="1" ht="12" customHeight="1">
      <c r="A4" s="70" t="s">
        <v>6722</v>
      </c>
      <c r="B4" s="70"/>
      <c r="C4" s="139">
        <f>20-1</f>
        <v>19</v>
      </c>
      <c r="D4" s="346" t="s">
        <v>6982</v>
      </c>
      <c r="E4" s="365">
        <f>D4*C4</f>
        <v>380</v>
      </c>
    </row>
    <row r="5" spans="1:6" s="133" customFormat="1" ht="12" customHeight="1">
      <c r="A5" s="70" t="s">
        <v>6974</v>
      </c>
      <c r="B5" s="70">
        <v>5210</v>
      </c>
      <c r="C5" s="139">
        <f>5000-1-300-6</f>
        <v>4693</v>
      </c>
      <c r="D5" s="346" t="s">
        <v>6975</v>
      </c>
      <c r="E5" s="365">
        <f>D5*C5</f>
        <v>4458.3499999999995</v>
      </c>
    </row>
    <row r="6" spans="1:6" s="133" customFormat="1" ht="12" customHeight="1">
      <c r="A6" s="240" t="s">
        <v>6740</v>
      </c>
      <c r="B6" s="143" t="s">
        <v>6739</v>
      </c>
      <c r="C6" s="70">
        <v>2</v>
      </c>
      <c r="D6" s="346" t="s">
        <v>6827</v>
      </c>
      <c r="E6" s="144">
        <f>D6*C6</f>
        <v>54</v>
      </c>
    </row>
    <row r="7" spans="1:6" s="133" customFormat="1" ht="12" customHeight="1">
      <c r="A7" s="70" t="s">
        <v>6717</v>
      </c>
      <c r="B7" s="70" t="s">
        <v>6366</v>
      </c>
      <c r="C7" s="70">
        <f>20-1-1</f>
        <v>18</v>
      </c>
      <c r="D7" s="346" t="s">
        <v>6828</v>
      </c>
      <c r="E7" s="365">
        <f>D7*C7</f>
        <v>630</v>
      </c>
    </row>
    <row r="8" spans="1:6" s="133" customFormat="1" ht="12" customHeight="1">
      <c r="A8" s="70" t="s">
        <v>6097</v>
      </c>
      <c r="B8" s="70" t="s">
        <v>6098</v>
      </c>
      <c r="C8" s="139">
        <f>500-1-50+400-400+750-400-50+500-500-175-100+1000-500</f>
        <v>974</v>
      </c>
      <c r="D8" s="346" t="s">
        <v>7046</v>
      </c>
      <c r="E8" s="365">
        <f>3.69*449+525*3.96</f>
        <v>3735.81</v>
      </c>
    </row>
    <row r="9" spans="1:6" s="133" customFormat="1" ht="12" customHeight="1">
      <c r="A9" s="70" t="s">
        <v>6688</v>
      </c>
      <c r="B9" s="70">
        <v>6005</v>
      </c>
      <c r="C9" s="139">
        <f>60-20</f>
        <v>40</v>
      </c>
      <c r="D9" s="346" t="s">
        <v>6689</v>
      </c>
      <c r="E9" s="365">
        <f>C9*D9</f>
        <v>1712</v>
      </c>
    </row>
    <row r="10" spans="1:6" s="133" customFormat="1" ht="12" customHeight="1">
      <c r="A10" s="70" t="s">
        <v>1763</v>
      </c>
      <c r="B10" s="70">
        <v>1860</v>
      </c>
      <c r="C10" s="139">
        <f>140-40+720-400-360+1200-420-200-120</f>
        <v>520</v>
      </c>
      <c r="D10" s="346" t="s">
        <v>7010</v>
      </c>
      <c r="E10" s="365">
        <f>460*13.2</f>
        <v>6072</v>
      </c>
    </row>
    <row r="11" spans="1:6" ht="12" customHeight="1">
      <c r="A11" s="139" t="s">
        <v>1116</v>
      </c>
      <c r="B11" s="139" t="s">
        <v>1117</v>
      </c>
      <c r="C11" s="139">
        <f>300-100-200-50-100+400-5-200-10+410-70-10-10-100-1-200-20+400-100-200+500-200-20-100-200-50+3000-2560+1500-1000-100-550-2-10-80+1000-115-100-500-20-400-20+1500-200+300-100-500</f>
        <v>1107</v>
      </c>
      <c r="D11" s="140" t="s">
        <v>5124</v>
      </c>
      <c r="E11" s="141">
        <f>C11*D11</f>
        <v>1704.78</v>
      </c>
    </row>
    <row r="12" spans="1:6" ht="12" customHeight="1">
      <c r="A12" s="139" t="s">
        <v>1473</v>
      </c>
      <c r="B12" s="139" t="s">
        <v>1398</v>
      </c>
      <c r="C12" s="139">
        <f>4000-200-500+19+4000-7000-3+3000-3000-60+30+4000-50+1400-200-2500-20+400-500-200-10-200+2000-1100+200</f>
        <v>3506</v>
      </c>
      <c r="D12" s="140" t="s">
        <v>1375</v>
      </c>
      <c r="E12" s="141">
        <f>D12*C12</f>
        <v>4347.4399999999996</v>
      </c>
    </row>
    <row r="13" spans="1:6" ht="12" customHeight="1">
      <c r="A13" s="139" t="s">
        <v>593</v>
      </c>
      <c r="B13" s="139">
        <v>3200</v>
      </c>
      <c r="C13" s="139">
        <f>10+2-8+10-3-2-5+10-10+10-1-10+60-20-15-1+400-20-5-1+20-27-20-5-3-30+500-350+100-50-50-20-40-15-2-2-100-20-10-10-100</f>
        <v>167</v>
      </c>
      <c r="D13" s="140" t="s">
        <v>7135</v>
      </c>
      <c r="E13" s="141">
        <f>147*23.94+20*20.89</f>
        <v>3936.9800000000005</v>
      </c>
    </row>
    <row r="14" spans="1:6" ht="12" customHeight="1">
      <c r="A14" s="139" t="s">
        <v>1131</v>
      </c>
      <c r="B14" s="139" t="s">
        <v>1593</v>
      </c>
      <c r="C14" s="139">
        <v>2</v>
      </c>
      <c r="D14" s="140" t="s">
        <v>1285</v>
      </c>
      <c r="E14" s="141">
        <v>0</v>
      </c>
    </row>
    <row r="15" spans="1:6" ht="12" customHeight="1">
      <c r="A15" s="139" t="s">
        <v>295</v>
      </c>
      <c r="B15" s="139">
        <v>3700</v>
      </c>
      <c r="C15" s="139">
        <f>100+194-50-10-8-50-100-3+150-150-5+10-10-10-1-20-11-20+200-60-20-10-100+300-14-40-2-100-20-80-1-10-40-9+500-30-100</f>
        <v>370</v>
      </c>
      <c r="D15" s="140" t="s">
        <v>7134</v>
      </c>
      <c r="E15" s="141">
        <f>D15*C15</f>
        <v>1343.1</v>
      </c>
    </row>
    <row r="16" spans="1:6" ht="12" customHeight="1">
      <c r="A16" s="139" t="s">
        <v>1118</v>
      </c>
      <c r="B16" s="139" t="s">
        <v>1119</v>
      </c>
      <c r="C16" s="139">
        <f>60+4-20-2-10-10+120-60-5-27+300-200-60-5-10-3-15-2+50-4-100+180-10-5+500</f>
        <v>666</v>
      </c>
      <c r="D16" s="140" t="s">
        <v>7096</v>
      </c>
      <c r="E16" s="141">
        <f>10.94*1+12*665</f>
        <v>7990.94</v>
      </c>
    </row>
    <row r="17" spans="1:5" ht="12" customHeight="1">
      <c r="A17" s="139" t="s">
        <v>1368</v>
      </c>
      <c r="B17" s="139" t="s">
        <v>1632</v>
      </c>
      <c r="C17" s="139">
        <f>800-300-4-200-70-20-100-20</f>
        <v>86</v>
      </c>
      <c r="D17" s="140" t="s">
        <v>1696</v>
      </c>
      <c r="E17" s="141">
        <f>C17*D17</f>
        <v>4175.7299999999996</v>
      </c>
    </row>
    <row r="18" spans="1:5" ht="12" customHeight="1">
      <c r="A18" s="139" t="s">
        <v>1792</v>
      </c>
      <c r="B18" s="139">
        <v>2091</v>
      </c>
      <c r="C18" s="139">
        <f>100-100+100-62-38+100</f>
        <v>100</v>
      </c>
      <c r="D18" s="140" t="s">
        <v>6802</v>
      </c>
      <c r="E18" s="141">
        <f>D18*C18</f>
        <v>840</v>
      </c>
    </row>
    <row r="19" spans="1:5" ht="12" customHeight="1">
      <c r="A19" s="139" t="s">
        <v>1120</v>
      </c>
      <c r="B19" s="139" t="s">
        <v>1121</v>
      </c>
      <c r="C19" s="139">
        <f>308-500+500-50-200+500-200-100-50-10-100-47+300-10+500-800-27+500-200-100-35-100</f>
        <v>79</v>
      </c>
      <c r="D19" s="140" t="s">
        <v>1371</v>
      </c>
      <c r="E19" s="141">
        <f>C19*D19</f>
        <v>92.429999999999993</v>
      </c>
    </row>
    <row r="20" spans="1:5" ht="12" customHeight="1">
      <c r="A20" s="139" t="s">
        <v>1122</v>
      </c>
      <c r="B20" s="139" t="s">
        <v>1123</v>
      </c>
      <c r="C20" s="139">
        <f>20+50-10+100-27-5-50-15</f>
        <v>63</v>
      </c>
      <c r="D20" s="140" t="s">
        <v>6261</v>
      </c>
      <c r="E20" s="141">
        <f>1.58*63</f>
        <v>99.54</v>
      </c>
    </row>
    <row r="21" spans="1:5">
      <c r="A21" s="139" t="s">
        <v>1124</v>
      </c>
      <c r="B21" s="139">
        <v>6200</v>
      </c>
      <c r="C21" s="139">
        <f>24-24+22+296-1-20-2-1-288+5-8+216-6-1-10-20-10+95+60-80-2-48-1-30-1-120-8-1-24+96-5-24-24-5-28-12+144-48-6-3-50-5-40</f>
        <v>2</v>
      </c>
      <c r="D21" s="140" t="s">
        <v>7197</v>
      </c>
      <c r="E21" s="141">
        <f>1*44.5+45.2*1</f>
        <v>89.7</v>
      </c>
    </row>
    <row r="22" spans="1:5" ht="12" customHeight="1">
      <c r="A22" s="139" t="s">
        <v>1125</v>
      </c>
      <c r="B22" s="139">
        <v>6100</v>
      </c>
      <c r="C22" s="139">
        <f>4-4</f>
        <v>0</v>
      </c>
      <c r="D22" s="140" t="s">
        <v>1288</v>
      </c>
      <c r="E22" s="141"/>
    </row>
    <row r="23" spans="1:5" ht="12" customHeight="1">
      <c r="A23" s="139" t="s">
        <v>1116</v>
      </c>
      <c r="B23" s="139" t="s">
        <v>1002</v>
      </c>
      <c r="C23" s="139">
        <f>492-100-12-20-100+200-4+76-18-2-18-2-50-4-20-400-16+352-60-12-2-200-10-40+1000-320-200+200-20+50-4-600-2+400-100-400-4+2000-1600-30-100-100-20-20-50+300-50-300-12+500-200</f>
        <v>348</v>
      </c>
      <c r="D23" s="139" t="s">
        <v>7195</v>
      </c>
      <c r="E23" s="141">
        <f>4.75*348</f>
        <v>1653</v>
      </c>
    </row>
    <row r="24" spans="1:5" ht="12" customHeight="1">
      <c r="A24" s="139" t="s">
        <v>1714</v>
      </c>
      <c r="B24" s="139" t="s">
        <v>1528</v>
      </c>
      <c r="C24" s="139">
        <f>200+9-200</f>
        <v>9</v>
      </c>
      <c r="D24" s="139" t="s">
        <v>184</v>
      </c>
      <c r="E24" s="141"/>
    </row>
    <row r="25" spans="1:5" ht="12" customHeight="1">
      <c r="A25" s="139" t="s">
        <v>1713</v>
      </c>
      <c r="B25" s="139" t="s">
        <v>1529</v>
      </c>
      <c r="C25" s="139">
        <v>2</v>
      </c>
      <c r="D25" s="139" t="s">
        <v>184</v>
      </c>
      <c r="E25" s="141"/>
    </row>
    <row r="26" spans="1:5" ht="12" customHeight="1">
      <c r="A26" s="139" t="s">
        <v>1530</v>
      </c>
      <c r="B26" s="139" t="s">
        <v>1531</v>
      </c>
      <c r="C26" s="139">
        <v>2</v>
      </c>
      <c r="D26" s="139" t="s">
        <v>184</v>
      </c>
      <c r="E26" s="141"/>
    </row>
    <row r="27" spans="1:5" ht="12" customHeight="1">
      <c r="A27" s="139" t="s">
        <v>1532</v>
      </c>
      <c r="B27" s="139" t="s">
        <v>1531</v>
      </c>
      <c r="C27" s="139">
        <v>1</v>
      </c>
      <c r="D27" s="139" t="s">
        <v>184</v>
      </c>
      <c r="E27" s="141"/>
    </row>
    <row r="28" spans="1:5" ht="12" customHeight="1">
      <c r="A28" s="139" t="s">
        <v>1534</v>
      </c>
      <c r="B28" s="139" t="s">
        <v>1533</v>
      </c>
      <c r="C28" s="139">
        <v>1</v>
      </c>
      <c r="D28" s="139" t="s">
        <v>184</v>
      </c>
      <c r="E28" s="141"/>
    </row>
    <row r="29" spans="1:5" ht="12" customHeight="1">
      <c r="A29" s="139" t="s">
        <v>1545</v>
      </c>
      <c r="B29" s="139" t="s">
        <v>1544</v>
      </c>
      <c r="C29" s="139">
        <v>18</v>
      </c>
      <c r="D29" s="139" t="s">
        <v>184</v>
      </c>
      <c r="E29" s="141"/>
    </row>
    <row r="30" spans="1:5" ht="12" customHeight="1">
      <c r="A30" s="139" t="s">
        <v>1536</v>
      </c>
      <c r="B30" s="139" t="s">
        <v>1535</v>
      </c>
      <c r="C30" s="139">
        <v>1</v>
      </c>
      <c r="D30" s="139" t="s">
        <v>184</v>
      </c>
      <c r="E30" s="141"/>
    </row>
    <row r="31" spans="1:5" ht="12" customHeight="1">
      <c r="A31" s="139" t="s">
        <v>1537</v>
      </c>
      <c r="B31" s="139">
        <v>82501</v>
      </c>
      <c r="C31" s="139">
        <v>2</v>
      </c>
      <c r="D31" s="139" t="s">
        <v>184</v>
      </c>
      <c r="E31" s="141"/>
    </row>
    <row r="32" spans="1:5" ht="12" customHeight="1">
      <c r="A32" s="139" t="s">
        <v>1126</v>
      </c>
      <c r="B32" s="139" t="s">
        <v>1127</v>
      </c>
      <c r="C32" s="139">
        <f>16+10-16-10+120</f>
        <v>120</v>
      </c>
      <c r="D32" s="140" t="s">
        <v>7035</v>
      </c>
      <c r="E32" s="141">
        <f>D32*C32</f>
        <v>3840</v>
      </c>
    </row>
    <row r="33" spans="1:5" ht="12" customHeight="1">
      <c r="A33" s="139" t="s">
        <v>1128</v>
      </c>
      <c r="B33" s="139">
        <v>6006</v>
      </c>
      <c r="C33" s="139">
        <f>1+80-80+60-30-30</f>
        <v>1</v>
      </c>
      <c r="D33" s="140" t="s">
        <v>6711</v>
      </c>
      <c r="E33" s="141">
        <v>0</v>
      </c>
    </row>
    <row r="34" spans="1:5" ht="12" customHeight="1">
      <c r="A34" s="139" t="s">
        <v>1129</v>
      </c>
      <c r="B34" s="139" t="s">
        <v>1003</v>
      </c>
      <c r="C34" s="139">
        <f>10+126-10-12-20-4+60-124-18-6-2+120+4-10-20-4-10-80+392-220-12-2-10+540-320-4-200-40-20-20-20+66-4-2-50-60+60-4-10-60+300-4-40-10-60-12-36+240-200-16</f>
        <v>162</v>
      </c>
      <c r="D34" s="141" t="s">
        <v>7198</v>
      </c>
      <c r="E34" s="141">
        <f>20*17.8+17.2*40</f>
        <v>1044</v>
      </c>
    </row>
    <row r="35" spans="1:5" ht="12" customHeight="1">
      <c r="A35" s="139" t="s">
        <v>1130</v>
      </c>
      <c r="B35" s="139">
        <v>6009</v>
      </c>
      <c r="C35" s="139">
        <f>16+100-100</f>
        <v>16</v>
      </c>
      <c r="D35" s="140" t="s">
        <v>6831</v>
      </c>
      <c r="E35" s="141">
        <f>0*43.28</f>
        <v>0</v>
      </c>
    </row>
    <row r="36" spans="1:5" ht="12" customHeight="1">
      <c r="A36" s="139" t="s">
        <v>1126</v>
      </c>
      <c r="B36" s="139">
        <v>6002</v>
      </c>
      <c r="C36" s="139">
        <f>22-10</f>
        <v>12</v>
      </c>
      <c r="D36" s="140" t="s">
        <v>6004</v>
      </c>
      <c r="E36" s="141">
        <v>0</v>
      </c>
    </row>
    <row r="37" spans="1:5" ht="12" customHeight="1">
      <c r="A37" s="139" t="s">
        <v>350</v>
      </c>
      <c r="B37" s="139">
        <v>7502</v>
      </c>
      <c r="C37" s="139">
        <f>2-1-1+10-5+40-45+10-5+50-10-10</f>
        <v>35</v>
      </c>
      <c r="D37" s="140" t="s">
        <v>7123</v>
      </c>
      <c r="E37" s="141">
        <f>121.16*5+110*30</f>
        <v>3905.8</v>
      </c>
    </row>
    <row r="38" spans="1:5" ht="12" customHeight="1">
      <c r="A38" s="139" t="s">
        <v>1132</v>
      </c>
      <c r="B38" s="139">
        <v>501</v>
      </c>
      <c r="C38" s="139">
        <f>80-12-20-4+48-18-20-2-2-16-12-2+300-160-4+340-20-2-2-4-30-20-10-12-100</f>
        <v>296</v>
      </c>
      <c r="D38" s="140" t="s">
        <v>7196</v>
      </c>
      <c r="E38" s="141">
        <f>1.39*96+1.4*200</f>
        <v>413.44</v>
      </c>
    </row>
    <row r="39" spans="1:5" ht="12" customHeight="1">
      <c r="A39" s="139" t="s">
        <v>1133</v>
      </c>
      <c r="B39" s="139">
        <v>3000</v>
      </c>
      <c r="C39" s="139">
        <f>12-5-4</f>
        <v>3</v>
      </c>
      <c r="D39" s="140" t="s">
        <v>6609</v>
      </c>
      <c r="E39" s="141"/>
    </row>
    <row r="40" spans="1:5" ht="12" customHeight="1">
      <c r="A40" s="139" t="s">
        <v>1134</v>
      </c>
      <c r="B40" s="139">
        <v>6000</v>
      </c>
      <c r="C40" s="139">
        <v>0</v>
      </c>
      <c r="D40" s="140" t="s">
        <v>1286</v>
      </c>
      <c r="E40" s="141"/>
    </row>
    <row r="41" spans="1:5" ht="12" customHeight="1">
      <c r="A41" s="139" t="s">
        <v>1135</v>
      </c>
      <c r="B41" s="139">
        <v>8511</v>
      </c>
      <c r="C41" s="139">
        <f>210-10</f>
        <v>200</v>
      </c>
      <c r="D41" s="140" t="s">
        <v>5629</v>
      </c>
      <c r="E41" s="141">
        <f>200*8.09</f>
        <v>1618</v>
      </c>
    </row>
    <row r="42" spans="1:5" ht="12" customHeight="1">
      <c r="A42" s="139" t="s">
        <v>1126</v>
      </c>
      <c r="B42" s="139" t="s">
        <v>1136</v>
      </c>
      <c r="C42" s="139">
        <v>8</v>
      </c>
      <c r="D42" s="140" t="s">
        <v>1287</v>
      </c>
      <c r="E42" s="141"/>
    </row>
    <row r="43" spans="1:5" ht="12" customHeight="1">
      <c r="A43" s="139" t="s">
        <v>1137</v>
      </c>
      <c r="B43" s="139">
        <v>2097</v>
      </c>
      <c r="C43" s="139">
        <v>3</v>
      </c>
      <c r="D43" s="140" t="s">
        <v>5061</v>
      </c>
      <c r="E43" s="141"/>
    </row>
    <row r="44" spans="1:5" ht="12" customHeight="1">
      <c r="A44" s="139" t="s">
        <v>1138</v>
      </c>
      <c r="B44" s="139">
        <v>2078</v>
      </c>
      <c r="C44" s="139">
        <v>11</v>
      </c>
      <c r="D44" s="140" t="s">
        <v>1596</v>
      </c>
      <c r="E44" s="141"/>
    </row>
    <row r="45" spans="1:5" ht="12" customHeight="1">
      <c r="A45" s="139" t="s">
        <v>1139</v>
      </c>
      <c r="B45" s="139" t="s">
        <v>1140</v>
      </c>
      <c r="C45" s="139">
        <v>16</v>
      </c>
      <c r="D45" s="140" t="s">
        <v>1288</v>
      </c>
      <c r="E45" s="141"/>
    </row>
    <row r="46" spans="1:5" ht="12" customHeight="1">
      <c r="A46" s="139" t="s">
        <v>1137</v>
      </c>
      <c r="B46" s="139">
        <v>2071</v>
      </c>
      <c r="C46" s="139"/>
      <c r="D46" s="140" t="s">
        <v>1288</v>
      </c>
      <c r="E46" s="141"/>
    </row>
    <row r="47" spans="1:5" ht="12" customHeight="1">
      <c r="A47" s="139" t="s">
        <v>1118</v>
      </c>
      <c r="B47" s="139" t="s">
        <v>1141</v>
      </c>
      <c r="C47" s="139">
        <v>1</v>
      </c>
      <c r="D47" s="140" t="s">
        <v>1288</v>
      </c>
      <c r="E47" s="141"/>
    </row>
    <row r="48" spans="1:5" ht="12" customHeight="1">
      <c r="A48" s="139" t="s">
        <v>1130</v>
      </c>
      <c r="B48" s="139" t="s">
        <v>1142</v>
      </c>
      <c r="C48" s="139">
        <v>10</v>
      </c>
      <c r="D48" s="140" t="s">
        <v>1288</v>
      </c>
      <c r="E48" s="141"/>
    </row>
    <row r="49" spans="1:6" ht="12" customHeight="1">
      <c r="A49" s="139" t="s">
        <v>1132</v>
      </c>
      <c r="B49" s="139">
        <v>774</v>
      </c>
      <c r="C49" s="139">
        <v>9</v>
      </c>
      <c r="D49" s="140" t="s">
        <v>1288</v>
      </c>
      <c r="E49" s="141"/>
    </row>
    <row r="50" spans="1:6" ht="12" customHeight="1">
      <c r="A50" s="139" t="s">
        <v>1137</v>
      </c>
      <c r="B50" s="139">
        <v>7711</v>
      </c>
      <c r="C50" s="139">
        <v>55</v>
      </c>
      <c r="D50" s="140" t="s">
        <v>1288</v>
      </c>
      <c r="E50" s="141"/>
    </row>
    <row r="51" spans="1:6" ht="12" customHeight="1">
      <c r="A51" s="139" t="s">
        <v>1331</v>
      </c>
      <c r="B51" s="139">
        <v>8576</v>
      </c>
      <c r="C51" s="139"/>
      <c r="D51" s="140"/>
      <c r="E51" s="141"/>
    </row>
    <row r="52" spans="1:6" ht="12" customHeight="1">
      <c r="A52" s="139"/>
      <c r="B52" s="139">
        <v>3201</v>
      </c>
      <c r="C52" s="139">
        <v>5</v>
      </c>
      <c r="D52" s="140" t="s">
        <v>1288</v>
      </c>
      <c r="E52" s="141"/>
    </row>
    <row r="53" spans="1:6" ht="12" customHeight="1">
      <c r="A53" s="139" t="s">
        <v>1143</v>
      </c>
      <c r="B53" s="139" t="s">
        <v>1144</v>
      </c>
      <c r="C53" s="139">
        <v>22</v>
      </c>
      <c r="D53" s="140" t="s">
        <v>1288</v>
      </c>
      <c r="E53" s="141"/>
    </row>
    <row r="54" spans="1:6" ht="12" customHeight="1">
      <c r="A54" s="139" t="s">
        <v>1145</v>
      </c>
      <c r="B54" s="139">
        <v>7744</v>
      </c>
      <c r="C54" s="139">
        <f>30-6</f>
        <v>24</v>
      </c>
      <c r="D54" s="140" t="s">
        <v>1288</v>
      </c>
      <c r="E54" s="141"/>
    </row>
    <row r="55" spans="1:6" ht="12" customHeight="1">
      <c r="A55" s="139" t="s">
        <v>825</v>
      </c>
      <c r="B55" s="139" t="s">
        <v>1146</v>
      </c>
      <c r="C55" s="139">
        <f>302-100-100-100+1000-300-60-200+1600</f>
        <v>2042</v>
      </c>
      <c r="D55" s="140" t="s">
        <v>6610</v>
      </c>
      <c r="E55" s="141">
        <f>4.9*440+4.28*1600</f>
        <v>9004</v>
      </c>
    </row>
    <row r="56" spans="1:6" ht="12" customHeight="1">
      <c r="A56" s="139" t="s">
        <v>1147</v>
      </c>
      <c r="B56" s="139" t="s">
        <v>1148</v>
      </c>
      <c r="C56" s="139">
        <v>50</v>
      </c>
      <c r="D56" s="140" t="s">
        <v>1288</v>
      </c>
      <c r="E56" s="141"/>
    </row>
    <row r="57" spans="1:6" ht="12" customHeight="1">
      <c r="A57" s="139" t="s">
        <v>6549</v>
      </c>
      <c r="B57" s="139" t="s">
        <v>1149</v>
      </c>
      <c r="C57" s="139">
        <f>3880-1000-500-200+1000-1500-50-200-500+2500-1500-1000-10+2000-1000-600-1000-30-100+3000-500+3500-4000-500-50+2500-500-200-1200-100-2-1000-254-170-300-300+500-500+1500-500-500+1500-750-500-200-500+2000-1000</f>
        <v>1164</v>
      </c>
      <c r="D57" s="140" t="s">
        <v>7188</v>
      </c>
      <c r="E57" s="141">
        <f>1.44*114+1.55*1050</f>
        <v>1791.66</v>
      </c>
    </row>
    <row r="58" spans="1:6" ht="12" customHeight="1">
      <c r="A58" s="139" t="s">
        <v>1289</v>
      </c>
      <c r="B58" s="139">
        <v>9032</v>
      </c>
      <c r="C58" s="139">
        <f>11115-500-100-1000-550-845-100-200-100-1200-500-2000-500-500-200-500-100-500-100-1000-500-5-100-300-5-100-100-10+15000-500-500-1500-1000-2000-150-50-3000-500-1000-1000-1500-100-100-1500+10000-200-5000-500-100-4000</f>
        <v>300</v>
      </c>
      <c r="D58" s="140" t="s">
        <v>7080</v>
      </c>
      <c r="E58" s="141">
        <f>C58*1.56</f>
        <v>468</v>
      </c>
    </row>
    <row r="59" spans="1:6" ht="12" customHeight="1">
      <c r="A59" s="139" t="s">
        <v>5205</v>
      </c>
      <c r="B59" s="139">
        <v>9031</v>
      </c>
      <c r="C59" s="139">
        <f>845+4520-100-500-500-200-25-50-10-10-300-5-2-1000-50-5-20-20-600-500-50-500</f>
        <v>918</v>
      </c>
      <c r="D59" s="140" t="s">
        <v>1366</v>
      </c>
      <c r="E59" s="141">
        <f>C59*1.4929</f>
        <v>1370.4821999999999</v>
      </c>
    </row>
    <row r="60" spans="1:6" ht="12" customHeight="1">
      <c r="A60" s="139" t="s">
        <v>1150</v>
      </c>
      <c r="B60" s="139" t="s">
        <v>1151</v>
      </c>
      <c r="C60" s="139">
        <f>33-20-1-10+30</f>
        <v>32</v>
      </c>
      <c r="D60" s="140" t="s">
        <v>5206</v>
      </c>
      <c r="E60" s="141">
        <f>27*30</f>
        <v>810</v>
      </c>
    </row>
    <row r="61" spans="1:6" ht="12" customHeight="1">
      <c r="A61" s="139" t="s">
        <v>1152</v>
      </c>
      <c r="B61" s="139">
        <v>9005</v>
      </c>
      <c r="C61" s="139">
        <v>575</v>
      </c>
      <c r="D61" s="140" t="s">
        <v>1288</v>
      </c>
      <c r="E61" s="141"/>
    </row>
    <row r="62" spans="1:6" ht="12" customHeight="1">
      <c r="A62" s="139" t="s">
        <v>1712</v>
      </c>
      <c r="B62" s="139">
        <v>9010</v>
      </c>
      <c r="C62" s="139">
        <v>0</v>
      </c>
      <c r="D62" s="140" t="s">
        <v>1288</v>
      </c>
      <c r="E62" s="141"/>
    </row>
    <row r="63" spans="1:6" ht="12" customHeight="1">
      <c r="A63" s="139" t="s">
        <v>1781</v>
      </c>
      <c r="B63" s="139" t="s">
        <v>1782</v>
      </c>
      <c r="C63" s="139">
        <f>1000-1000</f>
        <v>0</v>
      </c>
      <c r="D63" s="140" t="s">
        <v>1783</v>
      </c>
      <c r="E63" s="141">
        <f>C63*D63</f>
        <v>0</v>
      </c>
      <c r="F63" s="136" t="s">
        <v>1784</v>
      </c>
    </row>
    <row r="64" spans="1:6" ht="12" customHeight="1">
      <c r="A64" s="139" t="s">
        <v>1153</v>
      </c>
      <c r="B64" s="139" t="s">
        <v>1154</v>
      </c>
      <c r="C64" s="139">
        <v>25</v>
      </c>
      <c r="D64" s="140" t="s">
        <v>1288</v>
      </c>
      <c r="E64" s="141"/>
    </row>
    <row r="65" spans="1:5" ht="12" customHeight="1">
      <c r="A65" s="139" t="s">
        <v>1298</v>
      </c>
      <c r="B65" s="139" t="s">
        <v>1299</v>
      </c>
      <c r="C65" s="139">
        <f>400+6-100-200-2+500-250-2-1-300-6-40+500-450+500+1750-2000-1-150-80+500-150-200-5+500</f>
        <v>719</v>
      </c>
      <c r="D65" s="140" t="s">
        <v>7166</v>
      </c>
      <c r="E65" s="141">
        <f>717*3.96</f>
        <v>2839.32</v>
      </c>
    </row>
    <row r="66" spans="1:5" ht="12" customHeight="1">
      <c r="A66" s="139" t="s">
        <v>6780</v>
      </c>
      <c r="B66" s="139" t="s">
        <v>1155</v>
      </c>
      <c r="C66" s="139">
        <f>21-10+100+810-890+1000+250-868-240+250+5500-4447</f>
        <v>1476</v>
      </c>
      <c r="D66" s="140" t="s">
        <v>7008</v>
      </c>
      <c r="E66" s="141">
        <f>2.37*20+392*2.3+1053*2.45</f>
        <v>3528.8500000000004</v>
      </c>
    </row>
    <row r="67" spans="1:5" ht="12" customHeight="1">
      <c r="A67" s="139" t="s">
        <v>1156</v>
      </c>
      <c r="B67" s="139" t="s">
        <v>1157</v>
      </c>
      <c r="C67" s="139">
        <v>2</v>
      </c>
      <c r="D67" s="140" t="s">
        <v>1300</v>
      </c>
      <c r="E67" s="141"/>
    </row>
    <row r="68" spans="1:5" ht="12" customHeight="1">
      <c r="A68" s="139" t="s">
        <v>1399</v>
      </c>
      <c r="B68" s="139" t="s">
        <v>1301</v>
      </c>
      <c r="C68" s="139">
        <f>2-1</f>
        <v>1</v>
      </c>
      <c r="D68" s="140" t="s">
        <v>1300</v>
      </c>
      <c r="E68" s="141"/>
    </row>
    <row r="69" spans="1:5" ht="12" customHeight="1">
      <c r="A69" s="139" t="s">
        <v>1302</v>
      </c>
      <c r="B69" s="139">
        <v>10197</v>
      </c>
      <c r="C69" s="139">
        <f>22-11-2-1-1-2</f>
        <v>5</v>
      </c>
      <c r="D69" s="140" t="s">
        <v>6485</v>
      </c>
      <c r="E69" s="141">
        <f>5*39.078</f>
        <v>195.39000000000001</v>
      </c>
    </row>
    <row r="70" spans="1:5" ht="12" customHeight="1">
      <c r="A70" s="139" t="s">
        <v>1158</v>
      </c>
      <c r="B70" s="139">
        <v>4565</v>
      </c>
      <c r="C70" s="139">
        <v>5</v>
      </c>
      <c r="D70" s="140" t="s">
        <v>1300</v>
      </c>
      <c r="E70" s="141"/>
    </row>
    <row r="71" spans="1:5" ht="12" customHeight="1">
      <c r="A71" s="139" t="s">
        <v>1303</v>
      </c>
      <c r="B71" s="139" t="s">
        <v>1304</v>
      </c>
      <c r="C71" s="139">
        <f>8-1-1</f>
        <v>6</v>
      </c>
      <c r="D71" s="140" t="s">
        <v>1300</v>
      </c>
      <c r="E71" s="141"/>
    </row>
    <row r="72" spans="1:5" ht="12" customHeight="1">
      <c r="A72" s="139" t="s">
        <v>1159</v>
      </c>
      <c r="B72" s="139" t="s">
        <v>1160</v>
      </c>
      <c r="C72" s="139">
        <v>1</v>
      </c>
      <c r="D72" s="140" t="s">
        <v>1300</v>
      </c>
      <c r="E72" s="141"/>
    </row>
    <row r="73" spans="1:5" ht="12" customHeight="1">
      <c r="A73" s="139" t="s">
        <v>1158</v>
      </c>
      <c r="B73" s="139">
        <v>4535</v>
      </c>
      <c r="C73" s="139">
        <v>0</v>
      </c>
      <c r="D73" s="140" t="s">
        <v>1300</v>
      </c>
      <c r="E73" s="141"/>
    </row>
    <row r="74" spans="1:5" ht="12" customHeight="1">
      <c r="A74" s="139" t="s">
        <v>1158</v>
      </c>
      <c r="B74" s="139" t="s">
        <v>1161</v>
      </c>
      <c r="C74" s="139">
        <v>1</v>
      </c>
      <c r="D74" s="140" t="s">
        <v>1300</v>
      </c>
      <c r="E74" s="141"/>
    </row>
    <row r="75" spans="1:5" ht="12" customHeight="1">
      <c r="A75" s="139" t="s">
        <v>1538</v>
      </c>
      <c r="B75" s="139" t="s">
        <v>1539</v>
      </c>
      <c r="C75" s="139">
        <v>2</v>
      </c>
      <c r="D75" s="140" t="s">
        <v>683</v>
      </c>
      <c r="E75" s="141"/>
    </row>
    <row r="76" spans="1:5" ht="12" customHeight="1">
      <c r="A76" s="139" t="s">
        <v>1538</v>
      </c>
      <c r="B76" s="139" t="s">
        <v>1540</v>
      </c>
      <c r="C76" s="139">
        <v>2</v>
      </c>
      <c r="D76" s="140" t="s">
        <v>683</v>
      </c>
      <c r="E76" s="141"/>
    </row>
    <row r="77" spans="1:5" ht="12" customHeight="1">
      <c r="A77" s="139" t="s">
        <v>1538</v>
      </c>
      <c r="B77" s="139" t="s">
        <v>1541</v>
      </c>
      <c r="C77" s="139">
        <v>1</v>
      </c>
      <c r="D77" s="140" t="s">
        <v>683</v>
      </c>
      <c r="E77" s="141"/>
    </row>
    <row r="78" spans="1:5" ht="12" customHeight="1">
      <c r="A78" s="139" t="s">
        <v>1430</v>
      </c>
      <c r="B78" s="139" t="s">
        <v>1677</v>
      </c>
      <c r="C78" s="139">
        <v>200</v>
      </c>
      <c r="D78" s="140" t="s">
        <v>683</v>
      </c>
      <c r="E78" s="141"/>
    </row>
    <row r="79" spans="1:5" ht="12" customHeight="1">
      <c r="A79" s="139" t="s">
        <v>69</v>
      </c>
      <c r="B79" s="139" t="s">
        <v>1678</v>
      </c>
      <c r="C79" s="139">
        <v>200</v>
      </c>
      <c r="D79" s="140" t="s">
        <v>683</v>
      </c>
      <c r="E79" s="141"/>
    </row>
    <row r="80" spans="1:5" ht="12" customHeight="1">
      <c r="A80" s="139" t="s">
        <v>1542</v>
      </c>
      <c r="B80" s="139" t="s">
        <v>1543</v>
      </c>
      <c r="C80" s="139">
        <v>1</v>
      </c>
      <c r="D80" s="140" t="s">
        <v>184</v>
      </c>
      <c r="E80" s="141"/>
    </row>
    <row r="81" spans="1:5" ht="12" customHeight="1">
      <c r="A81" s="139" t="s">
        <v>5952</v>
      </c>
      <c r="B81" s="139" t="s">
        <v>1305</v>
      </c>
      <c r="C81" s="139">
        <v>0</v>
      </c>
      <c r="D81" s="140" t="s">
        <v>1300</v>
      </c>
      <c r="E81" s="141"/>
    </row>
    <row r="82" spans="1:5" ht="12" customHeight="1">
      <c r="A82" s="139" t="s">
        <v>1303</v>
      </c>
      <c r="B82" s="139" t="s">
        <v>1306</v>
      </c>
      <c r="C82" s="139">
        <f>3-3</f>
        <v>0</v>
      </c>
      <c r="D82" s="140" t="s">
        <v>1300</v>
      </c>
      <c r="E82" s="141"/>
    </row>
    <row r="83" spans="1:5" ht="12" customHeight="1">
      <c r="A83" s="139" t="s">
        <v>1307</v>
      </c>
      <c r="B83" s="139" t="s">
        <v>1163</v>
      </c>
      <c r="C83" s="139">
        <f>1-1</f>
        <v>0</v>
      </c>
      <c r="D83" s="140" t="s">
        <v>1300</v>
      </c>
      <c r="E83" s="141"/>
    </row>
    <row r="84" spans="1:5" ht="12" customHeight="1">
      <c r="A84" s="139" t="s">
        <v>1162</v>
      </c>
      <c r="B84" s="139" t="s">
        <v>1164</v>
      </c>
      <c r="C84" s="139">
        <v>1</v>
      </c>
      <c r="D84" s="140" t="s">
        <v>1300</v>
      </c>
      <c r="E84" s="141"/>
    </row>
    <row r="85" spans="1:5" ht="12" customHeight="1">
      <c r="A85" s="139" t="s">
        <v>1303</v>
      </c>
      <c r="B85" s="139" t="s">
        <v>1308</v>
      </c>
      <c r="C85" s="139">
        <v>1</v>
      </c>
      <c r="D85" s="140" t="s">
        <v>1300</v>
      </c>
      <c r="E85" s="141"/>
    </row>
    <row r="86" spans="1:5" ht="12" customHeight="1">
      <c r="A86" s="139" t="s">
        <v>1162</v>
      </c>
      <c r="B86" s="139" t="s">
        <v>1165</v>
      </c>
      <c r="C86" s="240">
        <f>1-1</f>
        <v>0</v>
      </c>
      <c r="D86" s="140" t="s">
        <v>1300</v>
      </c>
      <c r="E86" s="141"/>
    </row>
    <row r="87" spans="1:5" ht="12" customHeight="1">
      <c r="A87" s="139" t="s">
        <v>1166</v>
      </c>
      <c r="B87" s="139">
        <v>603</v>
      </c>
      <c r="C87" s="139">
        <v>2</v>
      </c>
      <c r="D87" s="140" t="s">
        <v>1288</v>
      </c>
      <c r="E87" s="141"/>
    </row>
    <row r="88" spans="1:5" ht="12" customHeight="1">
      <c r="A88" s="139" t="s">
        <v>1167</v>
      </c>
      <c r="B88" s="139" t="s">
        <v>1309</v>
      </c>
      <c r="C88" s="139">
        <v>6</v>
      </c>
      <c r="D88" s="140" t="s">
        <v>1400</v>
      </c>
      <c r="E88" s="141"/>
    </row>
    <row r="89" spans="1:5" ht="12" customHeight="1">
      <c r="A89" s="139" t="s">
        <v>1310</v>
      </c>
      <c r="B89" s="139">
        <v>1427</v>
      </c>
      <c r="C89" s="139">
        <v>2</v>
      </c>
      <c r="D89" s="140" t="s">
        <v>1288</v>
      </c>
      <c r="E89" s="141"/>
    </row>
    <row r="90" spans="1:5" ht="12" customHeight="1">
      <c r="A90" s="139" t="s">
        <v>1311</v>
      </c>
      <c r="B90" s="139">
        <v>1426</v>
      </c>
      <c r="C90" s="139">
        <f>23-3-2-1-3-9+20-1-2</f>
        <v>22</v>
      </c>
      <c r="D90" s="140" t="s">
        <v>6672</v>
      </c>
      <c r="E90" s="141">
        <f>19.422*2+19.42*20</f>
        <v>427.24400000000003</v>
      </c>
    </row>
    <row r="91" spans="1:5" ht="12" customHeight="1">
      <c r="A91" s="139" t="s">
        <v>1313</v>
      </c>
      <c r="B91" s="139" t="s">
        <v>1168</v>
      </c>
      <c r="C91" s="139">
        <v>3</v>
      </c>
      <c r="D91" s="140" t="s">
        <v>1300</v>
      </c>
      <c r="E91" s="141"/>
    </row>
    <row r="92" spans="1:5" ht="12" customHeight="1">
      <c r="A92" s="139" t="s">
        <v>1401</v>
      </c>
      <c r="B92" s="139">
        <v>1100</v>
      </c>
      <c r="C92" s="139">
        <v>18</v>
      </c>
      <c r="D92" s="140" t="s">
        <v>1288</v>
      </c>
      <c r="E92" s="141"/>
    </row>
    <row r="93" spans="1:5" ht="12" customHeight="1">
      <c r="A93" s="139" t="s">
        <v>1314</v>
      </c>
      <c r="B93" s="139" t="s">
        <v>1169</v>
      </c>
      <c r="C93" s="139">
        <f>93-50</f>
        <v>43</v>
      </c>
      <c r="D93" s="140" t="s">
        <v>1300</v>
      </c>
      <c r="E93" s="141"/>
    </row>
    <row r="94" spans="1:5" ht="12" customHeight="1">
      <c r="A94" s="139" t="s">
        <v>681</v>
      </c>
      <c r="B94" s="139" t="s">
        <v>1170</v>
      </c>
      <c r="C94" s="139">
        <f>1820-15-200-500-31-1-30-100-1-80-1</f>
        <v>861</v>
      </c>
      <c r="D94" s="140" t="s">
        <v>7207</v>
      </c>
      <c r="E94" s="141">
        <f>21*3.31+840*3.214</f>
        <v>2769.27</v>
      </c>
    </row>
    <row r="95" spans="1:5" ht="12" customHeight="1">
      <c r="A95" s="139" t="s">
        <v>1315</v>
      </c>
      <c r="B95" s="139" t="s">
        <v>1171</v>
      </c>
      <c r="C95" s="139">
        <v>18</v>
      </c>
      <c r="D95" s="140" t="s">
        <v>1300</v>
      </c>
      <c r="E95" s="141"/>
    </row>
    <row r="96" spans="1:5" ht="12" customHeight="1">
      <c r="A96" s="139" t="s">
        <v>1172</v>
      </c>
      <c r="B96" s="139">
        <v>1270</v>
      </c>
      <c r="C96" s="139">
        <f>100-60+500-40+500-100-20-30-50-105</f>
        <v>695</v>
      </c>
      <c r="D96" s="140" t="s">
        <v>6971</v>
      </c>
      <c r="E96" s="141">
        <f>4.5162*400+4.28*295</f>
        <v>3069.0800000000004</v>
      </c>
    </row>
    <row r="97" spans="1:5" ht="12" customHeight="1">
      <c r="A97" s="139" t="s">
        <v>6671</v>
      </c>
      <c r="B97" s="139">
        <v>1436</v>
      </c>
      <c r="C97" s="139">
        <f>20-3-2</f>
        <v>15</v>
      </c>
      <c r="D97" s="140" t="s">
        <v>1402</v>
      </c>
      <c r="E97" s="141">
        <f>D97*C97</f>
        <v>444.9</v>
      </c>
    </row>
    <row r="98" spans="1:5" ht="12" customHeight="1">
      <c r="A98" s="139" t="s">
        <v>7047</v>
      </c>
      <c r="B98" s="139">
        <v>8210</v>
      </c>
      <c r="C98" s="139">
        <f>640-50-40-150-300+480-300-100-50-130+1600-1000-480-120+1280-380-160-300-360-50-20+1280-160-500-400+1600-800-30-50-360-100-490+2400-100-300-100-1-100-50-50-200-320-40-480-100-100</f>
        <v>459</v>
      </c>
      <c r="D98" s="140" t="s">
        <v>5547</v>
      </c>
      <c r="E98" s="141">
        <f>D98*C98</f>
        <v>1735.02</v>
      </c>
    </row>
    <row r="99" spans="1:5" ht="12" customHeight="1">
      <c r="A99" s="65" t="s">
        <v>1566</v>
      </c>
      <c r="B99" s="139" t="s">
        <v>1228</v>
      </c>
      <c r="C99" s="139">
        <f>108-20-20-10+100-4-5-10-50-1</f>
        <v>88</v>
      </c>
      <c r="D99" s="140" t="s">
        <v>5940</v>
      </c>
      <c r="E99" s="141">
        <f>42.939*38+34.866*50</f>
        <v>3374.982</v>
      </c>
    </row>
    <row r="100" spans="1:5" ht="12" customHeight="1">
      <c r="A100" s="139" t="s">
        <v>1176</v>
      </c>
      <c r="B100" s="139" t="s">
        <v>1177</v>
      </c>
      <c r="C100" s="139">
        <v>2</v>
      </c>
      <c r="D100" s="140" t="s">
        <v>1288</v>
      </c>
      <c r="E100" s="141"/>
    </row>
    <row r="101" spans="1:5" ht="12" customHeight="1">
      <c r="A101" s="139" t="s">
        <v>1178</v>
      </c>
      <c r="B101" s="139"/>
      <c r="C101" s="139">
        <f>41</f>
        <v>41</v>
      </c>
      <c r="D101" s="140" t="s">
        <v>1288</v>
      </c>
      <c r="E101" s="141"/>
    </row>
    <row r="102" spans="1:5" ht="12" customHeight="1">
      <c r="A102" s="139" t="s">
        <v>1179</v>
      </c>
      <c r="B102" s="139" t="s">
        <v>1180</v>
      </c>
      <c r="C102" s="139">
        <v>142</v>
      </c>
      <c r="D102" s="140" t="s">
        <v>1288</v>
      </c>
      <c r="E102" s="141"/>
    </row>
    <row r="103" spans="1:5" ht="12" customHeight="1">
      <c r="A103" s="139" t="s">
        <v>1181</v>
      </c>
      <c r="B103" s="139" t="s">
        <v>1182</v>
      </c>
      <c r="C103" s="139">
        <v>20</v>
      </c>
      <c r="D103" s="140" t="s">
        <v>1288</v>
      </c>
      <c r="E103" s="141"/>
    </row>
    <row r="104" spans="1:5" ht="12" customHeight="1">
      <c r="A104" s="139" t="s">
        <v>1183</v>
      </c>
      <c r="B104" s="139" t="s">
        <v>1184</v>
      </c>
      <c r="C104" s="139">
        <f>18+15</f>
        <v>33</v>
      </c>
      <c r="D104" s="140" t="s">
        <v>5276</v>
      </c>
      <c r="E104" s="141">
        <f>1.75*15</f>
        <v>26.25</v>
      </c>
    </row>
    <row r="105" spans="1:5" ht="12" customHeight="1">
      <c r="A105" s="139" t="s">
        <v>1185</v>
      </c>
      <c r="B105" s="139">
        <v>8512</v>
      </c>
      <c r="C105" s="139">
        <f>7-1-6</f>
        <v>0</v>
      </c>
      <c r="D105" s="140" t="s">
        <v>1288</v>
      </c>
      <c r="E105" s="141"/>
    </row>
    <row r="106" spans="1:5" ht="12" customHeight="1">
      <c r="A106" s="139" t="s">
        <v>1186</v>
      </c>
      <c r="B106" s="139">
        <v>8247</v>
      </c>
      <c r="C106" s="139">
        <f>2+99-40-3+11-10-20-10</f>
        <v>29</v>
      </c>
      <c r="D106" s="140" t="s">
        <v>6694</v>
      </c>
      <c r="E106" s="141">
        <f>12.35*28</f>
        <v>345.8</v>
      </c>
    </row>
    <row r="107" spans="1:5" ht="12" customHeight="1">
      <c r="A107" s="139" t="s">
        <v>1187</v>
      </c>
      <c r="B107" s="139">
        <v>8246</v>
      </c>
      <c r="C107" s="139">
        <f>8+60+600-400-10-200-20</f>
        <v>38</v>
      </c>
      <c r="D107" s="140" t="s">
        <v>6258</v>
      </c>
      <c r="E107" s="141">
        <f>29*11.7</f>
        <v>339.29999999999995</v>
      </c>
    </row>
    <row r="108" spans="1:5" ht="12" customHeight="1">
      <c r="A108" s="139" t="s">
        <v>1188</v>
      </c>
      <c r="B108" s="139">
        <v>8515</v>
      </c>
      <c r="C108" s="139">
        <f>200+25-19-205-1</f>
        <v>0</v>
      </c>
      <c r="D108" s="140"/>
      <c r="E108" s="141"/>
    </row>
    <row r="109" spans="1:5" ht="12" customHeight="1">
      <c r="A109" s="139" t="s">
        <v>1189</v>
      </c>
      <c r="B109" s="139" t="s">
        <v>1184</v>
      </c>
      <c r="C109" s="139">
        <v>50</v>
      </c>
      <c r="D109" s="140" t="s">
        <v>1288</v>
      </c>
      <c r="E109" s="141"/>
    </row>
    <row r="110" spans="1:5" ht="12" customHeight="1">
      <c r="A110" s="139" t="s">
        <v>1179</v>
      </c>
      <c r="B110" s="139">
        <v>9005</v>
      </c>
      <c r="C110" s="139">
        <f>44-4</f>
        <v>40</v>
      </c>
      <c r="D110" s="140" t="s">
        <v>1288</v>
      </c>
      <c r="E110" s="141"/>
    </row>
    <row r="111" spans="1:5" ht="12" customHeight="1">
      <c r="A111" s="139" t="s">
        <v>1181</v>
      </c>
      <c r="B111" s="139">
        <v>8840</v>
      </c>
      <c r="C111" s="139">
        <v>18</v>
      </c>
      <c r="D111" s="140" t="s">
        <v>1288</v>
      </c>
      <c r="E111" s="141"/>
    </row>
    <row r="112" spans="1:5" ht="12" customHeight="1">
      <c r="A112" s="139" t="s">
        <v>1707</v>
      </c>
      <c r="B112" s="139" t="s">
        <v>1149</v>
      </c>
      <c r="C112" s="139">
        <f>40+10000-5000-200-600-500-500</f>
        <v>3240</v>
      </c>
      <c r="D112" s="140" t="s">
        <v>7189</v>
      </c>
      <c r="E112" s="141">
        <f>1.68*3200</f>
        <v>5376</v>
      </c>
    </row>
    <row r="113" spans="1:5" ht="12" customHeight="1">
      <c r="A113" s="139" t="s">
        <v>1185</v>
      </c>
      <c r="B113" s="139">
        <v>8514</v>
      </c>
      <c r="C113" s="139">
        <f>4-1-1</f>
        <v>2</v>
      </c>
      <c r="D113" s="140" t="s">
        <v>1288</v>
      </c>
      <c r="E113" s="141"/>
    </row>
    <row r="114" spans="1:5" ht="12" customHeight="1">
      <c r="A114" s="139" t="s">
        <v>1190</v>
      </c>
      <c r="B114" s="139">
        <v>12110</v>
      </c>
      <c r="C114" s="139">
        <f>6-1</f>
        <v>5</v>
      </c>
      <c r="D114" s="140" t="s">
        <v>1288</v>
      </c>
      <c r="E114" s="141"/>
    </row>
    <row r="115" spans="1:5" ht="12" customHeight="1">
      <c r="A115" s="139" t="s">
        <v>1173</v>
      </c>
      <c r="B115" s="139">
        <v>15902</v>
      </c>
      <c r="C115" s="139">
        <v>1</v>
      </c>
      <c r="D115" s="140" t="s">
        <v>1288</v>
      </c>
      <c r="E115" s="141"/>
    </row>
    <row r="116" spans="1:5" ht="12" customHeight="1">
      <c r="A116" s="139" t="s">
        <v>1191</v>
      </c>
      <c r="B116" s="139">
        <v>12308</v>
      </c>
      <c r="C116" s="139">
        <f>40-5-20+20-20</f>
        <v>15</v>
      </c>
      <c r="D116" s="140" t="s">
        <v>6594</v>
      </c>
      <c r="E116" s="141">
        <f>18*15</f>
        <v>270</v>
      </c>
    </row>
    <row r="117" spans="1:5" ht="12" customHeight="1">
      <c r="A117" s="65" t="s">
        <v>1717</v>
      </c>
      <c r="B117" s="139">
        <v>10435</v>
      </c>
      <c r="C117" s="139">
        <f>60-20-20+20-10-1-1-20+100-9-20</f>
        <v>79</v>
      </c>
      <c r="D117" s="140" t="s">
        <v>6793</v>
      </c>
      <c r="E117" s="141">
        <f>14.2*71</f>
        <v>1008.1999999999999</v>
      </c>
    </row>
    <row r="118" spans="1:5" ht="12" customHeight="1">
      <c r="A118" s="139" t="s">
        <v>1173</v>
      </c>
      <c r="B118" s="139">
        <v>10436</v>
      </c>
      <c r="C118" s="139">
        <v>52</v>
      </c>
      <c r="D118" s="140" t="s">
        <v>1288</v>
      </c>
      <c r="E118" s="141"/>
    </row>
    <row r="119" spans="1:5" ht="12" customHeight="1">
      <c r="A119" s="139" t="s">
        <v>1192</v>
      </c>
      <c r="B119" s="139">
        <v>10434</v>
      </c>
      <c r="C119" s="139">
        <f>60+10-40-5-20+100-20-30-50+240-100-65-30-50+100+100-200+300-1-50-40-15-50-20+300-10-50-50-1</f>
        <v>313</v>
      </c>
      <c r="D119" s="140" t="s">
        <v>6257</v>
      </c>
      <c r="E119" s="141">
        <f>C119*D119</f>
        <v>4444.5999999999995</v>
      </c>
    </row>
    <row r="120" spans="1:5" ht="12" customHeight="1">
      <c r="A120" s="139" t="s">
        <v>1193</v>
      </c>
      <c r="B120" s="139">
        <v>11329</v>
      </c>
      <c r="C120" s="139">
        <v>8</v>
      </c>
      <c r="D120" s="140" t="s">
        <v>1300</v>
      </c>
      <c r="E120" s="141"/>
    </row>
    <row r="121" spans="1:5" ht="12" customHeight="1">
      <c r="A121" s="139" t="s">
        <v>1173</v>
      </c>
      <c r="B121" s="139">
        <v>1711</v>
      </c>
      <c r="C121" s="139">
        <f>8-1</f>
        <v>7</v>
      </c>
      <c r="D121" s="140" t="s">
        <v>1288</v>
      </c>
      <c r="E121" s="141"/>
    </row>
    <row r="122" spans="1:5" ht="12" customHeight="1">
      <c r="A122" s="139" t="s">
        <v>6622</v>
      </c>
      <c r="B122" s="139" t="s">
        <v>1195</v>
      </c>
      <c r="C122" s="139">
        <f>27+20-1-30-6</f>
        <v>10</v>
      </c>
      <c r="D122" s="140" t="s">
        <v>7121</v>
      </c>
      <c r="E122" s="141">
        <f>14.1*10</f>
        <v>141</v>
      </c>
    </row>
    <row r="123" spans="1:5" ht="12" customHeight="1">
      <c r="A123" s="139" t="s">
        <v>1174</v>
      </c>
      <c r="B123" s="139">
        <v>11394</v>
      </c>
      <c r="C123" s="139">
        <v>2</v>
      </c>
      <c r="D123" s="140" t="s">
        <v>1288</v>
      </c>
      <c r="E123" s="141"/>
    </row>
    <row r="124" spans="1:5" ht="12" customHeight="1">
      <c r="A124" s="139" t="s">
        <v>1196</v>
      </c>
      <c r="B124" s="139">
        <v>40661</v>
      </c>
      <c r="C124" s="139">
        <v>3</v>
      </c>
      <c r="D124" s="140" t="s">
        <v>1288</v>
      </c>
      <c r="E124" s="141"/>
    </row>
    <row r="125" spans="1:5" ht="12" customHeight="1">
      <c r="A125" s="139" t="s">
        <v>1197</v>
      </c>
      <c r="B125" s="139" t="s">
        <v>1198</v>
      </c>
      <c r="C125" s="139">
        <v>10</v>
      </c>
      <c r="D125" s="140" t="s">
        <v>1480</v>
      </c>
      <c r="E125" s="141">
        <v>52</v>
      </c>
    </row>
    <row r="126" spans="1:5" ht="12" customHeight="1">
      <c r="A126" s="139" t="s">
        <v>1194</v>
      </c>
      <c r="B126" s="139">
        <v>11228</v>
      </c>
      <c r="C126" s="139">
        <v>15</v>
      </c>
      <c r="D126" s="140" t="s">
        <v>1288</v>
      </c>
      <c r="E126" s="141"/>
    </row>
    <row r="127" spans="1:5" ht="12" customHeight="1">
      <c r="A127" s="139" t="s">
        <v>1199</v>
      </c>
      <c r="B127" s="139">
        <v>12283</v>
      </c>
      <c r="C127" s="139">
        <f>6-1</f>
        <v>5</v>
      </c>
      <c r="D127" s="140" t="s">
        <v>1288</v>
      </c>
      <c r="E127" s="141"/>
    </row>
    <row r="128" spans="1:5" ht="12" customHeight="1">
      <c r="A128" s="139" t="s">
        <v>1200</v>
      </c>
      <c r="B128" s="139">
        <v>12235</v>
      </c>
      <c r="C128" s="139">
        <v>8</v>
      </c>
      <c r="D128" s="140" t="s">
        <v>1288</v>
      </c>
      <c r="E128" s="141"/>
    </row>
    <row r="129" spans="1:5" ht="12" customHeight="1">
      <c r="A129" s="139" t="s">
        <v>1201</v>
      </c>
      <c r="B129" s="139">
        <v>16618</v>
      </c>
      <c r="C129" s="139">
        <v>4</v>
      </c>
      <c r="D129" s="140" t="s">
        <v>1288</v>
      </c>
      <c r="E129" s="141"/>
    </row>
    <row r="130" spans="1:5" ht="12" customHeight="1">
      <c r="A130" s="139" t="s">
        <v>1202</v>
      </c>
      <c r="B130" s="139">
        <v>10196</v>
      </c>
      <c r="C130" s="139">
        <v>2</v>
      </c>
      <c r="D130" s="140" t="s">
        <v>1288</v>
      </c>
      <c r="E130" s="141"/>
    </row>
    <row r="131" spans="1:5" ht="12" customHeight="1">
      <c r="A131" s="139" t="s">
        <v>1193</v>
      </c>
      <c r="B131" s="139">
        <v>11330</v>
      </c>
      <c r="C131" s="139">
        <v>1</v>
      </c>
      <c r="D131" s="140" t="s">
        <v>1288</v>
      </c>
      <c r="E131" s="141"/>
    </row>
    <row r="132" spans="1:5" ht="12" customHeight="1">
      <c r="A132" s="139" t="s">
        <v>1203</v>
      </c>
      <c r="B132" s="139">
        <v>10161</v>
      </c>
      <c r="C132" s="139">
        <f>8-1</f>
        <v>7</v>
      </c>
      <c r="D132" s="140" t="s">
        <v>1300</v>
      </c>
      <c r="E132" s="141"/>
    </row>
    <row r="133" spans="1:5" ht="12" customHeight="1">
      <c r="A133" s="139" t="s">
        <v>1204</v>
      </c>
      <c r="B133" s="139">
        <v>11356</v>
      </c>
      <c r="C133" s="139">
        <f>5-3</f>
        <v>2</v>
      </c>
      <c r="D133" s="140" t="s">
        <v>1288</v>
      </c>
      <c r="E133" s="141"/>
    </row>
    <row r="134" spans="1:5" ht="12" customHeight="1">
      <c r="A134" s="139" t="s">
        <v>1403</v>
      </c>
      <c r="B134" s="139">
        <v>4515</v>
      </c>
      <c r="C134" s="139">
        <f>10+7-10</f>
        <v>7</v>
      </c>
      <c r="D134" s="140" t="s">
        <v>5949</v>
      </c>
      <c r="E134" s="141">
        <f>0*13.2</f>
        <v>0</v>
      </c>
    </row>
    <row r="135" spans="1:5" ht="12" customHeight="1">
      <c r="A135" s="139" t="s">
        <v>1162</v>
      </c>
      <c r="B135" s="139" t="s">
        <v>1404</v>
      </c>
      <c r="C135" s="139">
        <v>2</v>
      </c>
      <c r="D135" s="140" t="s">
        <v>1288</v>
      </c>
      <c r="E135" s="141"/>
    </row>
    <row r="136" spans="1:5" ht="12" customHeight="1">
      <c r="A136" s="139" t="s">
        <v>1158</v>
      </c>
      <c r="B136" s="139" t="s">
        <v>1404</v>
      </c>
      <c r="C136" s="139">
        <v>2</v>
      </c>
      <c r="D136" s="140" t="s">
        <v>1288</v>
      </c>
      <c r="E136" s="141"/>
    </row>
    <row r="137" spans="1:5" ht="12" customHeight="1">
      <c r="A137" s="139" t="s">
        <v>1159</v>
      </c>
      <c r="B137" s="139" t="s">
        <v>1405</v>
      </c>
      <c r="C137" s="139">
        <v>1</v>
      </c>
      <c r="D137" s="140" t="s">
        <v>1288</v>
      </c>
      <c r="E137" s="141"/>
    </row>
    <row r="138" spans="1:5" ht="12" customHeight="1">
      <c r="A138" s="139" t="s">
        <v>1158</v>
      </c>
      <c r="B138" s="139">
        <v>4535</v>
      </c>
      <c r="C138" s="139"/>
      <c r="D138" s="140"/>
      <c r="E138" s="141"/>
    </row>
    <row r="139" spans="1:5" ht="12" customHeight="1">
      <c r="A139" s="139" t="s">
        <v>1240</v>
      </c>
      <c r="B139" s="139">
        <v>52000183617</v>
      </c>
      <c r="C139" s="139">
        <f>2-1+1</f>
        <v>2</v>
      </c>
      <c r="D139" s="140" t="s">
        <v>6786</v>
      </c>
      <c r="E139" s="141">
        <f>862.5*1+870*1</f>
        <v>1732.5</v>
      </c>
    </row>
    <row r="140" spans="1:5" ht="12" customHeight="1">
      <c r="A140" s="139" t="s">
        <v>1241</v>
      </c>
      <c r="B140" s="139" t="s">
        <v>1406</v>
      </c>
      <c r="C140" s="139">
        <f>7-5+20-20</f>
        <v>2</v>
      </c>
      <c r="D140" s="140" t="s">
        <v>1791</v>
      </c>
      <c r="E140" s="141">
        <f>0*35.6</f>
        <v>0</v>
      </c>
    </row>
    <row r="141" spans="1:5" ht="12" customHeight="1">
      <c r="A141" s="139" t="s">
        <v>1242</v>
      </c>
      <c r="B141" s="139" t="s">
        <v>1103</v>
      </c>
      <c r="C141" s="139">
        <v>0</v>
      </c>
      <c r="D141" s="140"/>
      <c r="E141" s="141"/>
    </row>
    <row r="142" spans="1:5" ht="12" customHeight="1">
      <c r="A142" s="139" t="s">
        <v>1243</v>
      </c>
      <c r="B142" s="139">
        <v>8577</v>
      </c>
      <c r="C142" s="139">
        <v>0</v>
      </c>
      <c r="D142" s="140"/>
      <c r="E142" s="141"/>
    </row>
    <row r="143" spans="1:5" ht="12" customHeight="1">
      <c r="A143" s="139" t="s">
        <v>1244</v>
      </c>
      <c r="B143" s="139" t="s">
        <v>1407</v>
      </c>
      <c r="C143" s="139">
        <v>0</v>
      </c>
      <c r="D143" s="140"/>
      <c r="E143" s="141"/>
    </row>
    <row r="144" spans="1:5" ht="12" customHeight="1">
      <c r="A144" s="139" t="s">
        <v>1245</v>
      </c>
      <c r="B144" s="139" t="s">
        <v>1085</v>
      </c>
      <c r="C144" s="139">
        <v>4</v>
      </c>
      <c r="D144" s="140" t="s">
        <v>5451</v>
      </c>
      <c r="E144" s="141">
        <f>C144*D144</f>
        <v>358.64</v>
      </c>
    </row>
    <row r="145" spans="1:6" ht="12" customHeight="1">
      <c r="A145" s="139" t="s">
        <v>1245</v>
      </c>
      <c r="B145" s="139" t="s">
        <v>1332</v>
      </c>
      <c r="C145" s="139">
        <v>6</v>
      </c>
      <c r="D145" s="140" t="s">
        <v>5451</v>
      </c>
      <c r="E145" s="141">
        <f>C145*D145</f>
        <v>537.96</v>
      </c>
    </row>
    <row r="146" spans="1:6" ht="12" customHeight="1">
      <c r="A146" s="139" t="s">
        <v>1408</v>
      </c>
      <c r="B146" s="139">
        <v>8576</v>
      </c>
      <c r="C146" s="139">
        <v>0</v>
      </c>
      <c r="D146" s="140"/>
      <c r="E146" s="141"/>
    </row>
    <row r="147" spans="1:6" ht="12" customHeight="1">
      <c r="A147" s="139" t="s">
        <v>1752</v>
      </c>
      <c r="B147" s="139" t="s">
        <v>1409</v>
      </c>
      <c r="C147" s="139">
        <f>200+16-16-40-20-50+200-100-4-180+230-10+100-50-30-10-11-100+200-20-100-60-50+200-1-1-200-50-24-3+500-10-100-40-1-100-50-50-10-100-10</f>
        <v>45</v>
      </c>
      <c r="D147" s="140" t="s">
        <v>7061</v>
      </c>
      <c r="E147" s="141">
        <f>5*12.3+12.4*40</f>
        <v>557.5</v>
      </c>
    </row>
    <row r="148" spans="1:6" ht="12" customHeight="1">
      <c r="A148" s="139" t="s">
        <v>1712</v>
      </c>
      <c r="B148" s="139">
        <v>9010</v>
      </c>
      <c r="C148" s="139">
        <f>80+80-150</f>
        <v>10</v>
      </c>
      <c r="D148" s="140">
        <v>2.88</v>
      </c>
      <c r="E148" s="141">
        <f>2.88*80</f>
        <v>230.39999999999998</v>
      </c>
      <c r="F148" s="136">
        <v>255</v>
      </c>
    </row>
    <row r="149" spans="1:6" ht="12" customHeight="1">
      <c r="A149" s="139" t="s">
        <v>1722</v>
      </c>
      <c r="B149" s="139">
        <v>82585</v>
      </c>
      <c r="C149" s="139">
        <v>1</v>
      </c>
      <c r="D149" s="140" t="s">
        <v>184</v>
      </c>
      <c r="E149" s="141"/>
      <c r="F149" s="136">
        <v>70</v>
      </c>
    </row>
    <row r="150" spans="1:6" ht="12" customHeight="1">
      <c r="A150" s="139" t="s">
        <v>1522</v>
      </c>
      <c r="B150" s="139">
        <v>82700</v>
      </c>
      <c r="C150" s="139">
        <v>1</v>
      </c>
      <c r="D150" s="140" t="s">
        <v>184</v>
      </c>
      <c r="E150" s="141"/>
      <c r="F150" s="136">
        <v>352</v>
      </c>
    </row>
    <row r="151" spans="1:6" ht="12" customHeight="1">
      <c r="A151" s="139" t="s">
        <v>1723</v>
      </c>
      <c r="B151" s="134">
        <v>82705</v>
      </c>
      <c r="C151" s="139">
        <v>2</v>
      </c>
      <c r="D151" s="140" t="s">
        <v>184</v>
      </c>
      <c r="E151" s="141"/>
      <c r="F151" s="136">
        <v>97</v>
      </c>
    </row>
    <row r="152" spans="1:6" ht="12" customHeight="1">
      <c r="A152" s="139" t="s">
        <v>1524</v>
      </c>
      <c r="B152" s="139">
        <v>82520</v>
      </c>
      <c r="C152" s="139">
        <v>1</v>
      </c>
      <c r="D152" s="140" t="s">
        <v>184</v>
      </c>
      <c r="E152" s="141"/>
      <c r="F152" s="136">
        <v>266</v>
      </c>
    </row>
    <row r="153" spans="1:6" ht="12" customHeight="1">
      <c r="A153" s="139" t="s">
        <v>1724</v>
      </c>
      <c r="B153" s="139">
        <v>82518</v>
      </c>
      <c r="C153" s="139">
        <v>0</v>
      </c>
      <c r="D153" s="140"/>
      <c r="E153" s="141"/>
    </row>
    <row r="154" spans="1:6" ht="12" customHeight="1">
      <c r="A154" s="139" t="s">
        <v>1525</v>
      </c>
      <c r="B154" s="139">
        <v>5604</v>
      </c>
      <c r="C154" s="139">
        <v>3</v>
      </c>
      <c r="D154" s="140" t="s">
        <v>184</v>
      </c>
      <c r="E154" s="141"/>
    </row>
    <row r="155" spans="1:6" ht="12" customHeight="1">
      <c r="A155" s="139" t="s">
        <v>1727</v>
      </c>
      <c r="B155" s="139">
        <v>5502</v>
      </c>
      <c r="C155" s="139">
        <v>1</v>
      </c>
      <c r="D155" s="140" t="s">
        <v>184</v>
      </c>
      <c r="E155" s="141"/>
    </row>
    <row r="156" spans="1:6" ht="12" customHeight="1">
      <c r="A156" s="139" t="s">
        <v>1526</v>
      </c>
      <c r="B156" s="139">
        <v>5512</v>
      </c>
      <c r="C156" s="139">
        <v>1</v>
      </c>
      <c r="D156" s="140" t="s">
        <v>184</v>
      </c>
      <c r="E156" s="141"/>
      <c r="F156" s="136">
        <v>42.71</v>
      </c>
    </row>
    <row r="157" spans="1:6" ht="12" customHeight="1">
      <c r="A157" s="139" t="s">
        <v>1728</v>
      </c>
      <c r="B157" s="139" t="s">
        <v>1527</v>
      </c>
      <c r="C157" s="139">
        <v>4</v>
      </c>
      <c r="D157" s="140" t="s">
        <v>184</v>
      </c>
      <c r="E157" s="141"/>
    </row>
    <row r="158" spans="1:6" ht="12" customHeight="1">
      <c r="A158" s="139" t="s">
        <v>6238</v>
      </c>
      <c r="B158" s="139">
        <v>6885</v>
      </c>
      <c r="C158" s="139">
        <f>0+25</f>
        <v>25</v>
      </c>
      <c r="D158" s="140" t="s">
        <v>6239</v>
      </c>
      <c r="E158" s="141">
        <f>D158*C158</f>
        <v>62.5</v>
      </c>
    </row>
    <row r="159" spans="1:6" ht="12" customHeight="1">
      <c r="A159" s="139" t="s">
        <v>1246</v>
      </c>
      <c r="B159" s="139">
        <v>3100</v>
      </c>
      <c r="C159" s="139">
        <v>0</v>
      </c>
      <c r="D159" s="140"/>
      <c r="E159" s="141"/>
    </row>
    <row r="160" spans="1:6" ht="12" customHeight="1">
      <c r="A160" s="139" t="s">
        <v>1729</v>
      </c>
      <c r="B160" s="139">
        <v>6800</v>
      </c>
      <c r="C160" s="139">
        <f>0+28-26-1+36-30-4-1+3+4-5-2+8-10+4-4+5-4+16-8</f>
        <v>9</v>
      </c>
      <c r="D160" s="140" t="s">
        <v>7184</v>
      </c>
      <c r="E160" s="141">
        <f>455*1+454*8</f>
        <v>4087</v>
      </c>
    </row>
    <row r="161" spans="1:16261" ht="12" customHeight="1">
      <c r="A161" s="139" t="s">
        <v>6822</v>
      </c>
      <c r="B161" s="139">
        <v>1110</v>
      </c>
      <c r="C161" s="139">
        <f>180-100+200-1-100+500-100-50-300+500-50-20-1+3000-2000-500-200-400+2000-100-200-500-200-5</f>
        <v>1553</v>
      </c>
      <c r="D161" s="140" t="s">
        <v>7149</v>
      </c>
      <c r="E161" s="141">
        <f>3*0.77+1550*0.6</f>
        <v>932.31</v>
      </c>
    </row>
    <row r="162" spans="1:16261" ht="12" customHeight="1">
      <c r="A162" s="139" t="s">
        <v>1203</v>
      </c>
      <c r="B162" s="139" t="s">
        <v>6524</v>
      </c>
      <c r="C162" s="139">
        <f>8-8</f>
        <v>0</v>
      </c>
      <c r="D162" s="140" t="s">
        <v>184</v>
      </c>
      <c r="E162" s="141"/>
    </row>
    <row r="163" spans="1:16261" ht="12" customHeight="1">
      <c r="A163" s="139" t="s">
        <v>1410</v>
      </c>
      <c r="B163" s="139" t="s">
        <v>1411</v>
      </c>
      <c r="C163" s="139">
        <v>0</v>
      </c>
      <c r="D163" s="140"/>
      <c r="E163" s="141"/>
    </row>
    <row r="164" spans="1:16261" ht="12" customHeight="1">
      <c r="A164" s="139" t="s">
        <v>1730</v>
      </c>
      <c r="B164" s="139" t="s">
        <v>1412</v>
      </c>
      <c r="C164" s="139">
        <f>305-40-50-1-10-100-2+300-1-20+1-3-10-1-1-1-50-100-1-1-10-3-6-11</f>
        <v>184</v>
      </c>
      <c r="D164" s="140" t="s">
        <v>6769</v>
      </c>
      <c r="E164" s="141">
        <f>33.111*2+27.144*182</f>
        <v>5006.4299999999994</v>
      </c>
    </row>
    <row r="165" spans="1:16261" ht="12" customHeight="1">
      <c r="A165" s="139" t="s">
        <v>1715</v>
      </c>
      <c r="B165" s="139" t="s">
        <v>1270</v>
      </c>
      <c r="C165" s="139">
        <f>41+360-200</f>
        <v>201</v>
      </c>
      <c r="D165" s="140" t="s">
        <v>5308</v>
      </c>
      <c r="E165" s="141">
        <f>3.97*41+4*160</f>
        <v>802.77</v>
      </c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  <c r="AA165" s="153"/>
      <c r="AB165" s="153"/>
      <c r="AC165" s="153"/>
      <c r="AD165" s="153"/>
      <c r="AE165" s="153"/>
      <c r="AF165" s="153"/>
      <c r="AG165" s="153"/>
      <c r="AH165" s="153"/>
      <c r="AI165" s="153"/>
      <c r="AJ165" s="153"/>
      <c r="AK165" s="153"/>
      <c r="AL165" s="153"/>
      <c r="AM165" s="153"/>
      <c r="AN165" s="153"/>
      <c r="AO165" s="153"/>
      <c r="AP165" s="153"/>
      <c r="AQ165" s="153"/>
      <c r="AR165" s="153"/>
      <c r="AS165" s="153"/>
      <c r="AT165" s="153"/>
      <c r="AU165" s="153"/>
      <c r="AV165" s="153"/>
      <c r="AW165" s="153"/>
      <c r="AX165" s="153"/>
      <c r="AY165" s="153"/>
      <c r="AZ165" s="153"/>
      <c r="BA165" s="153"/>
      <c r="BB165" s="153"/>
      <c r="BC165" s="153"/>
      <c r="BD165" s="153"/>
      <c r="BE165" s="153"/>
      <c r="BF165" s="153"/>
      <c r="BG165" s="153"/>
      <c r="BH165" s="153"/>
      <c r="BI165" s="153"/>
      <c r="BJ165" s="153"/>
      <c r="BK165" s="153"/>
      <c r="BL165" s="153"/>
      <c r="BM165" s="153"/>
      <c r="BN165" s="153"/>
      <c r="BO165" s="153"/>
      <c r="BP165" s="153"/>
      <c r="BQ165" s="153"/>
      <c r="BR165" s="153"/>
      <c r="BS165" s="153"/>
      <c r="BT165" s="153"/>
      <c r="BU165" s="153"/>
      <c r="BV165" s="153"/>
      <c r="BW165" s="153"/>
      <c r="BX165" s="153"/>
      <c r="BY165" s="153"/>
      <c r="BZ165" s="153"/>
      <c r="CA165" s="153"/>
      <c r="CB165" s="153"/>
      <c r="CC165" s="153"/>
      <c r="CD165" s="153"/>
      <c r="CE165" s="153"/>
      <c r="CF165" s="153"/>
      <c r="CG165" s="153"/>
      <c r="CH165" s="153"/>
      <c r="CI165" s="153"/>
      <c r="CJ165" s="153"/>
      <c r="CK165" s="153"/>
      <c r="CL165" s="153"/>
      <c r="CM165" s="153"/>
      <c r="CN165" s="153"/>
      <c r="CO165" s="153"/>
      <c r="CP165" s="153"/>
      <c r="CQ165" s="153"/>
      <c r="CR165" s="153"/>
      <c r="CS165" s="153"/>
      <c r="CT165" s="153"/>
      <c r="CU165" s="153"/>
      <c r="CV165" s="153"/>
      <c r="CW165" s="153"/>
      <c r="CX165" s="153"/>
      <c r="CY165" s="153"/>
      <c r="CZ165" s="153"/>
      <c r="DA165" s="153"/>
      <c r="DB165" s="153"/>
      <c r="DC165" s="153"/>
      <c r="DD165" s="153"/>
      <c r="DE165" s="153"/>
      <c r="DF165" s="153"/>
      <c r="DG165" s="153"/>
      <c r="DH165" s="153"/>
      <c r="DI165" s="153"/>
      <c r="DJ165" s="153"/>
      <c r="DK165" s="153"/>
      <c r="DL165" s="153"/>
      <c r="DM165" s="153"/>
      <c r="DN165" s="153"/>
      <c r="DO165" s="153"/>
      <c r="DP165" s="153"/>
      <c r="DQ165" s="153"/>
      <c r="DR165" s="153"/>
      <c r="DS165" s="153"/>
      <c r="DT165" s="153"/>
      <c r="DU165" s="153"/>
      <c r="DV165" s="153"/>
      <c r="DW165" s="153"/>
      <c r="DX165" s="153"/>
      <c r="DY165" s="153"/>
      <c r="DZ165" s="153"/>
      <c r="EA165" s="153"/>
      <c r="EB165" s="153"/>
      <c r="EC165" s="153"/>
      <c r="ED165" s="153"/>
      <c r="EE165" s="153"/>
      <c r="EF165" s="153"/>
      <c r="EG165" s="153"/>
      <c r="EH165" s="153"/>
      <c r="EI165" s="153"/>
      <c r="EJ165" s="153"/>
      <c r="EK165" s="153"/>
      <c r="EL165" s="153"/>
      <c r="EM165" s="153"/>
      <c r="EN165" s="153"/>
      <c r="EO165" s="153"/>
      <c r="EP165" s="153"/>
      <c r="EQ165" s="153"/>
      <c r="ER165" s="153"/>
      <c r="ES165" s="153"/>
      <c r="ET165" s="153"/>
      <c r="EU165" s="153"/>
      <c r="EV165" s="153"/>
      <c r="EW165" s="153"/>
      <c r="EX165" s="153"/>
      <c r="EY165" s="153"/>
      <c r="EZ165" s="153"/>
      <c r="FA165" s="153"/>
      <c r="FB165" s="153"/>
      <c r="FC165" s="153"/>
      <c r="FD165" s="153"/>
      <c r="FE165" s="153"/>
      <c r="FF165" s="153"/>
      <c r="FG165" s="153"/>
      <c r="FH165" s="153"/>
      <c r="FI165" s="153"/>
      <c r="FJ165" s="153"/>
      <c r="FK165" s="153"/>
      <c r="FL165" s="153"/>
      <c r="FM165" s="153"/>
      <c r="FN165" s="153"/>
      <c r="FO165" s="153"/>
      <c r="FP165" s="153"/>
      <c r="FQ165" s="153"/>
      <c r="FR165" s="153"/>
      <c r="FS165" s="153"/>
      <c r="FT165" s="153"/>
      <c r="FU165" s="153"/>
      <c r="FV165" s="153"/>
      <c r="FW165" s="153"/>
      <c r="FX165" s="153"/>
      <c r="FY165" s="153"/>
      <c r="FZ165" s="153"/>
      <c r="GA165" s="153"/>
      <c r="GB165" s="153"/>
      <c r="GC165" s="153"/>
      <c r="GD165" s="153"/>
      <c r="GE165" s="153"/>
      <c r="GF165" s="153"/>
      <c r="GG165" s="153"/>
      <c r="GH165" s="153"/>
      <c r="GI165" s="153"/>
      <c r="GJ165" s="153"/>
      <c r="GK165" s="153"/>
      <c r="GL165" s="153"/>
      <c r="GM165" s="153"/>
      <c r="GN165" s="153"/>
      <c r="GO165" s="153"/>
      <c r="GP165" s="153"/>
      <c r="GQ165" s="153"/>
      <c r="GR165" s="153"/>
      <c r="GS165" s="153"/>
      <c r="GT165" s="153"/>
      <c r="GU165" s="153"/>
      <c r="GV165" s="153"/>
      <c r="GW165" s="153"/>
      <c r="GX165" s="153"/>
      <c r="GY165" s="153"/>
      <c r="GZ165" s="153"/>
      <c r="HA165" s="153"/>
      <c r="HB165" s="153"/>
      <c r="HC165" s="153"/>
      <c r="HD165" s="153"/>
      <c r="HE165" s="153"/>
      <c r="HF165" s="153"/>
      <c r="HG165" s="153"/>
      <c r="HH165" s="153"/>
      <c r="HI165" s="153"/>
      <c r="HJ165" s="153"/>
      <c r="HK165" s="153"/>
      <c r="HL165" s="153"/>
      <c r="HM165" s="153"/>
      <c r="HN165" s="153"/>
      <c r="HO165" s="153"/>
      <c r="HP165" s="153"/>
      <c r="HQ165" s="153"/>
      <c r="HR165" s="153"/>
      <c r="HS165" s="153"/>
      <c r="HT165" s="153"/>
      <c r="HU165" s="153"/>
      <c r="HV165" s="153"/>
      <c r="HW165" s="153"/>
      <c r="HX165" s="153"/>
      <c r="HY165" s="153"/>
      <c r="HZ165" s="153"/>
      <c r="IA165" s="153"/>
      <c r="IB165" s="153"/>
      <c r="IC165" s="153"/>
      <c r="ID165" s="153"/>
      <c r="IE165" s="153"/>
      <c r="IF165" s="153"/>
      <c r="IG165" s="153"/>
      <c r="IH165" s="153"/>
      <c r="II165" s="153"/>
      <c r="IJ165" s="153"/>
      <c r="IK165" s="153"/>
      <c r="IL165" s="153"/>
      <c r="IM165" s="153"/>
      <c r="IN165" s="153"/>
      <c r="IO165" s="153"/>
      <c r="IP165" s="153"/>
      <c r="IQ165" s="153"/>
      <c r="IR165" s="153"/>
      <c r="IS165" s="153"/>
      <c r="IT165" s="153"/>
      <c r="IU165" s="153"/>
      <c r="IV165" s="153"/>
      <c r="IW165" s="153"/>
      <c r="IX165" s="153"/>
      <c r="IY165" s="153"/>
      <c r="IZ165" s="153"/>
      <c r="JA165" s="153"/>
      <c r="JB165" s="153"/>
      <c r="JC165" s="153"/>
      <c r="JD165" s="153"/>
      <c r="JE165" s="153"/>
      <c r="JF165" s="153"/>
      <c r="JG165" s="153"/>
      <c r="JH165" s="153"/>
      <c r="JI165" s="153"/>
      <c r="JJ165" s="153"/>
      <c r="JK165" s="153"/>
      <c r="JL165" s="153"/>
      <c r="JM165" s="153"/>
      <c r="JN165" s="153"/>
      <c r="JO165" s="153"/>
      <c r="JP165" s="153"/>
      <c r="JQ165" s="153"/>
      <c r="JR165" s="153"/>
      <c r="JS165" s="153"/>
      <c r="JT165" s="153"/>
      <c r="JU165" s="153"/>
      <c r="JV165" s="153"/>
      <c r="JW165" s="153"/>
      <c r="JX165" s="153"/>
      <c r="JY165" s="153"/>
      <c r="JZ165" s="153"/>
      <c r="KA165" s="153"/>
      <c r="KB165" s="153"/>
      <c r="KC165" s="153"/>
      <c r="KD165" s="153"/>
      <c r="KE165" s="153"/>
      <c r="KF165" s="153"/>
      <c r="KG165" s="153"/>
      <c r="KH165" s="153"/>
      <c r="KI165" s="153"/>
      <c r="KJ165" s="153"/>
      <c r="KK165" s="153"/>
      <c r="KL165" s="153"/>
      <c r="KM165" s="153"/>
      <c r="KN165" s="153"/>
      <c r="KO165" s="153"/>
      <c r="KP165" s="153"/>
      <c r="KQ165" s="153"/>
      <c r="KR165" s="153"/>
      <c r="KS165" s="153"/>
      <c r="KT165" s="153"/>
      <c r="KU165" s="153"/>
      <c r="KV165" s="153"/>
      <c r="KW165" s="153"/>
      <c r="KX165" s="153"/>
      <c r="KY165" s="153"/>
      <c r="KZ165" s="153"/>
      <c r="LA165" s="153"/>
      <c r="LB165" s="153"/>
      <c r="LC165" s="153"/>
      <c r="LD165" s="153"/>
      <c r="LE165" s="153"/>
      <c r="LF165" s="153"/>
      <c r="LG165" s="153"/>
      <c r="LH165" s="153"/>
      <c r="LI165" s="153"/>
      <c r="LJ165" s="153"/>
      <c r="LK165" s="153"/>
      <c r="LL165" s="153"/>
      <c r="LM165" s="153"/>
      <c r="LN165" s="153"/>
      <c r="LO165" s="153"/>
      <c r="LP165" s="153"/>
      <c r="LQ165" s="153"/>
      <c r="LR165" s="153"/>
      <c r="LS165" s="153"/>
      <c r="LT165" s="153"/>
      <c r="LU165" s="153"/>
      <c r="LV165" s="153"/>
      <c r="LW165" s="153"/>
      <c r="LX165" s="153"/>
      <c r="LY165" s="153"/>
      <c r="LZ165" s="153"/>
      <c r="MA165" s="153"/>
      <c r="MB165" s="153"/>
      <c r="MC165" s="153"/>
      <c r="MD165" s="153"/>
      <c r="ME165" s="153"/>
      <c r="MF165" s="153"/>
      <c r="MG165" s="153"/>
      <c r="MH165" s="153"/>
      <c r="MI165" s="153"/>
      <c r="MJ165" s="153"/>
      <c r="MK165" s="153"/>
      <c r="ML165" s="153"/>
      <c r="MM165" s="153"/>
      <c r="MN165" s="153"/>
      <c r="MO165" s="153"/>
      <c r="MP165" s="153"/>
      <c r="MQ165" s="153"/>
      <c r="MR165" s="153"/>
      <c r="MS165" s="153"/>
      <c r="MT165" s="153"/>
      <c r="MU165" s="153"/>
      <c r="MV165" s="153"/>
      <c r="MW165" s="153"/>
      <c r="MX165" s="153"/>
      <c r="MY165" s="153"/>
      <c r="MZ165" s="153"/>
      <c r="NA165" s="153"/>
      <c r="NB165" s="153"/>
      <c r="NC165" s="153"/>
      <c r="ND165" s="153"/>
      <c r="NE165" s="153"/>
      <c r="NF165" s="153"/>
      <c r="NG165" s="153"/>
      <c r="NH165" s="153"/>
      <c r="NI165" s="153"/>
      <c r="NJ165" s="153"/>
      <c r="NK165" s="153"/>
      <c r="NL165" s="153"/>
      <c r="NM165" s="153"/>
      <c r="NN165" s="153"/>
      <c r="NO165" s="153"/>
      <c r="NP165" s="153"/>
      <c r="NQ165" s="153"/>
      <c r="NR165" s="153"/>
      <c r="NS165" s="153"/>
      <c r="NT165" s="153"/>
      <c r="NU165" s="153"/>
      <c r="NV165" s="153"/>
      <c r="NW165" s="153"/>
      <c r="NX165" s="153"/>
      <c r="NY165" s="153"/>
      <c r="NZ165" s="153"/>
      <c r="OA165" s="153"/>
      <c r="OB165" s="153"/>
      <c r="OC165" s="153"/>
      <c r="OD165" s="153"/>
      <c r="OE165" s="153"/>
      <c r="OF165" s="153"/>
      <c r="OG165" s="153"/>
      <c r="OH165" s="153"/>
      <c r="OI165" s="153"/>
      <c r="OJ165" s="153"/>
      <c r="OK165" s="153"/>
      <c r="OL165" s="153"/>
      <c r="OM165" s="153"/>
      <c r="ON165" s="153"/>
      <c r="OO165" s="153"/>
      <c r="OP165" s="153"/>
      <c r="OQ165" s="153"/>
      <c r="OR165" s="153"/>
      <c r="OS165" s="153"/>
      <c r="OT165" s="153"/>
      <c r="OU165" s="153"/>
      <c r="OV165" s="153"/>
      <c r="OW165" s="153"/>
      <c r="OX165" s="153"/>
      <c r="OY165" s="153"/>
      <c r="OZ165" s="153"/>
      <c r="PA165" s="153"/>
      <c r="PB165" s="153"/>
      <c r="PC165" s="153"/>
      <c r="PD165" s="153"/>
      <c r="PE165" s="153"/>
      <c r="PF165" s="153"/>
      <c r="PG165" s="153"/>
      <c r="PH165" s="153"/>
      <c r="PI165" s="153"/>
      <c r="PJ165" s="153"/>
      <c r="PK165" s="153"/>
      <c r="PL165" s="153"/>
      <c r="PM165" s="153"/>
      <c r="PN165" s="153"/>
      <c r="PO165" s="153"/>
      <c r="PP165" s="153"/>
      <c r="PQ165" s="153"/>
      <c r="PR165" s="153"/>
      <c r="PS165" s="153"/>
      <c r="PT165" s="153"/>
      <c r="PU165" s="153"/>
      <c r="PV165" s="153"/>
      <c r="PW165" s="153"/>
      <c r="PX165" s="153"/>
      <c r="PY165" s="153"/>
      <c r="PZ165" s="153"/>
      <c r="QA165" s="153"/>
      <c r="QB165" s="153"/>
      <c r="QC165" s="153"/>
      <c r="QD165" s="153"/>
      <c r="QE165" s="153"/>
      <c r="QF165" s="153"/>
      <c r="QG165" s="153"/>
      <c r="QH165" s="153"/>
      <c r="QI165" s="153"/>
      <c r="QJ165" s="153"/>
      <c r="QK165" s="153"/>
      <c r="QL165" s="153"/>
      <c r="QM165" s="153"/>
      <c r="QN165" s="153"/>
      <c r="QO165" s="153"/>
      <c r="QP165" s="153"/>
      <c r="QQ165" s="153"/>
      <c r="QR165" s="153"/>
      <c r="QS165" s="153"/>
      <c r="QT165" s="153"/>
      <c r="QU165" s="153"/>
      <c r="QV165" s="153"/>
      <c r="QW165" s="153"/>
      <c r="QX165" s="153"/>
      <c r="QY165" s="153"/>
      <c r="QZ165" s="153"/>
      <c r="RA165" s="153"/>
      <c r="RB165" s="153"/>
      <c r="RC165" s="153"/>
      <c r="RD165" s="153"/>
      <c r="RE165" s="153"/>
      <c r="RF165" s="153"/>
      <c r="RG165" s="153"/>
      <c r="RH165" s="153"/>
      <c r="RI165" s="153"/>
      <c r="RJ165" s="153"/>
      <c r="RK165" s="153"/>
      <c r="RL165" s="153"/>
      <c r="RM165" s="153"/>
      <c r="RN165" s="153"/>
      <c r="RO165" s="153"/>
      <c r="RP165" s="153"/>
      <c r="RQ165" s="153"/>
      <c r="RR165" s="153"/>
      <c r="RS165" s="153"/>
      <c r="RT165" s="153"/>
      <c r="RU165" s="153"/>
      <c r="RV165" s="153"/>
      <c r="RW165" s="153"/>
      <c r="RX165" s="153"/>
      <c r="RY165" s="153"/>
      <c r="RZ165" s="153"/>
      <c r="SA165" s="153"/>
      <c r="SB165" s="153"/>
      <c r="SC165" s="153"/>
      <c r="SD165" s="153"/>
      <c r="SE165" s="153"/>
      <c r="SF165" s="153"/>
      <c r="SG165" s="153"/>
      <c r="SH165" s="153"/>
      <c r="SI165" s="153"/>
      <c r="SJ165" s="153"/>
      <c r="SK165" s="153"/>
      <c r="SL165" s="153"/>
      <c r="SM165" s="153"/>
      <c r="SN165" s="153"/>
      <c r="SO165" s="153"/>
      <c r="SP165" s="153"/>
      <c r="SQ165" s="153"/>
      <c r="SR165" s="153"/>
      <c r="SS165" s="153"/>
      <c r="ST165" s="153"/>
      <c r="SU165" s="153"/>
      <c r="SV165" s="153"/>
      <c r="SW165" s="153"/>
      <c r="SX165" s="153"/>
      <c r="SY165" s="153"/>
      <c r="SZ165" s="153"/>
      <c r="TA165" s="153"/>
      <c r="TB165" s="153"/>
      <c r="TC165" s="153"/>
      <c r="TD165" s="153"/>
      <c r="TE165" s="153"/>
      <c r="TF165" s="153"/>
      <c r="TG165" s="153"/>
      <c r="TH165" s="153"/>
      <c r="TI165" s="153"/>
      <c r="TJ165" s="153"/>
      <c r="TK165" s="153"/>
      <c r="TL165" s="153"/>
      <c r="TM165" s="153"/>
      <c r="TN165" s="153"/>
      <c r="TO165" s="153"/>
      <c r="TP165" s="153"/>
      <c r="TQ165" s="153"/>
      <c r="TR165" s="153"/>
      <c r="TS165" s="153"/>
      <c r="TT165" s="153"/>
      <c r="TU165" s="153"/>
      <c r="TV165" s="153"/>
      <c r="TW165" s="153"/>
      <c r="TX165" s="153"/>
      <c r="TY165" s="153"/>
      <c r="TZ165" s="153"/>
      <c r="UA165" s="153"/>
      <c r="UB165" s="153"/>
      <c r="UC165" s="153"/>
      <c r="UD165" s="153"/>
      <c r="UE165" s="153"/>
      <c r="UF165" s="153"/>
      <c r="UG165" s="153"/>
      <c r="UH165" s="153"/>
      <c r="UI165" s="153"/>
      <c r="UJ165" s="153"/>
      <c r="UK165" s="153"/>
      <c r="UL165" s="153"/>
      <c r="UM165" s="153"/>
      <c r="UN165" s="153"/>
      <c r="UO165" s="153"/>
      <c r="UP165" s="153"/>
      <c r="UQ165" s="153"/>
      <c r="UR165" s="153"/>
      <c r="US165" s="153"/>
      <c r="UT165" s="153"/>
      <c r="UU165" s="153"/>
      <c r="UV165" s="153"/>
      <c r="UW165" s="153"/>
      <c r="UX165" s="153"/>
      <c r="UY165" s="153"/>
      <c r="UZ165" s="153"/>
      <c r="VA165" s="153"/>
      <c r="VB165" s="153"/>
      <c r="VC165" s="153"/>
      <c r="VD165" s="153"/>
      <c r="VE165" s="153"/>
      <c r="VF165" s="153"/>
      <c r="VG165" s="153"/>
      <c r="VH165" s="153"/>
      <c r="VI165" s="153"/>
      <c r="VJ165" s="153"/>
      <c r="VK165" s="153"/>
      <c r="VL165" s="153"/>
      <c r="VM165" s="153"/>
      <c r="VN165" s="153"/>
      <c r="VO165" s="153"/>
      <c r="VP165" s="153"/>
      <c r="VQ165" s="153"/>
      <c r="VR165" s="153"/>
      <c r="VS165" s="153"/>
      <c r="VT165" s="153"/>
      <c r="VU165" s="153"/>
      <c r="VV165" s="153"/>
      <c r="VW165" s="153"/>
      <c r="VX165" s="153"/>
      <c r="VY165" s="153"/>
      <c r="VZ165" s="153"/>
      <c r="WA165" s="153"/>
      <c r="WB165" s="153"/>
      <c r="WC165" s="153"/>
      <c r="WD165" s="153"/>
      <c r="WE165" s="153"/>
      <c r="WF165" s="153"/>
      <c r="WG165" s="153"/>
      <c r="WH165" s="153"/>
      <c r="WI165" s="153"/>
      <c r="WJ165" s="153"/>
      <c r="WK165" s="153"/>
      <c r="WL165" s="153"/>
      <c r="WM165" s="153"/>
      <c r="WN165" s="153"/>
      <c r="WO165" s="153"/>
      <c r="WP165" s="153"/>
      <c r="WQ165" s="153"/>
      <c r="WR165" s="153"/>
      <c r="WS165" s="153"/>
      <c r="WT165" s="153"/>
      <c r="WU165" s="153"/>
      <c r="WV165" s="153"/>
      <c r="WW165" s="153"/>
      <c r="WX165" s="153"/>
      <c r="WY165" s="153"/>
      <c r="WZ165" s="153"/>
      <c r="XA165" s="153"/>
      <c r="XB165" s="153"/>
      <c r="XC165" s="153"/>
      <c r="XD165" s="153"/>
      <c r="XE165" s="153"/>
      <c r="XF165" s="153"/>
      <c r="XG165" s="153"/>
      <c r="XH165" s="153"/>
      <c r="XI165" s="153"/>
      <c r="XJ165" s="153"/>
      <c r="XK165" s="153"/>
      <c r="XL165" s="153"/>
      <c r="XM165" s="153"/>
      <c r="XN165" s="153"/>
      <c r="XO165" s="153"/>
      <c r="XP165" s="153"/>
      <c r="XQ165" s="153"/>
      <c r="XR165" s="153"/>
      <c r="XS165" s="153"/>
      <c r="XT165" s="153"/>
      <c r="XU165" s="153"/>
      <c r="XV165" s="153"/>
      <c r="XW165" s="153"/>
      <c r="XX165" s="153"/>
      <c r="XY165" s="153"/>
      <c r="XZ165" s="153"/>
      <c r="YA165" s="153"/>
      <c r="YB165" s="153"/>
      <c r="YC165" s="153"/>
      <c r="YD165" s="153"/>
      <c r="YE165" s="153"/>
      <c r="YF165" s="153"/>
      <c r="YG165" s="153"/>
      <c r="YH165" s="153"/>
      <c r="YI165" s="153"/>
      <c r="YJ165" s="153"/>
      <c r="YK165" s="153"/>
      <c r="YL165" s="153"/>
      <c r="YM165" s="153"/>
      <c r="YN165" s="153"/>
      <c r="YO165" s="153"/>
      <c r="YP165" s="153"/>
      <c r="YQ165" s="153"/>
      <c r="YR165" s="153"/>
      <c r="YS165" s="153"/>
      <c r="YT165" s="153"/>
      <c r="YU165" s="153"/>
      <c r="YV165" s="153"/>
      <c r="YW165" s="153"/>
      <c r="YX165" s="153"/>
      <c r="YY165" s="153"/>
      <c r="YZ165" s="153"/>
      <c r="ZA165" s="153"/>
      <c r="ZB165" s="153"/>
      <c r="ZC165" s="153"/>
      <c r="ZD165" s="153"/>
      <c r="ZE165" s="153"/>
      <c r="ZF165" s="153"/>
      <c r="ZG165" s="153"/>
      <c r="ZH165" s="153"/>
      <c r="ZI165" s="153"/>
      <c r="ZJ165" s="153"/>
      <c r="ZK165" s="153"/>
      <c r="ZL165" s="153"/>
      <c r="ZM165" s="153"/>
      <c r="ZN165" s="153"/>
      <c r="ZO165" s="153"/>
      <c r="ZP165" s="153"/>
      <c r="ZQ165" s="153"/>
      <c r="ZR165" s="153"/>
      <c r="ZS165" s="153"/>
      <c r="ZT165" s="153"/>
      <c r="ZU165" s="153"/>
      <c r="ZV165" s="153"/>
      <c r="ZW165" s="153"/>
      <c r="ZX165" s="153"/>
      <c r="ZY165" s="153"/>
      <c r="ZZ165" s="153"/>
      <c r="AAA165" s="153"/>
      <c r="AAB165" s="153"/>
      <c r="AAC165" s="153"/>
      <c r="AAD165" s="153"/>
      <c r="AAE165" s="153"/>
      <c r="AAF165" s="153"/>
      <c r="AAG165" s="153"/>
      <c r="AAH165" s="153"/>
      <c r="AAI165" s="153"/>
      <c r="AAJ165" s="153"/>
      <c r="AAK165" s="153"/>
      <c r="AAL165" s="153"/>
      <c r="AAM165" s="153"/>
      <c r="AAN165" s="153"/>
      <c r="AAO165" s="153"/>
      <c r="AAP165" s="153"/>
      <c r="AAQ165" s="153"/>
      <c r="AAR165" s="153"/>
      <c r="AAS165" s="153"/>
      <c r="AAT165" s="153"/>
      <c r="AAU165" s="153"/>
      <c r="AAV165" s="153"/>
      <c r="AAW165" s="153"/>
      <c r="AAX165" s="153"/>
      <c r="AAY165" s="153"/>
      <c r="AAZ165" s="153"/>
      <c r="ABA165" s="153"/>
      <c r="ABB165" s="153"/>
      <c r="ABC165" s="153"/>
      <c r="ABD165" s="153"/>
      <c r="ABE165" s="153"/>
      <c r="ABF165" s="153"/>
      <c r="ABG165" s="153"/>
      <c r="ABH165" s="153"/>
      <c r="ABI165" s="153"/>
      <c r="ABJ165" s="153"/>
      <c r="ABK165" s="153"/>
      <c r="ABL165" s="153"/>
      <c r="ABM165" s="153"/>
      <c r="ABN165" s="153"/>
      <c r="ABO165" s="153"/>
      <c r="ABP165" s="153"/>
      <c r="ABQ165" s="153"/>
      <c r="ABR165" s="153"/>
      <c r="ABS165" s="153"/>
      <c r="ABT165" s="153"/>
      <c r="ABU165" s="153"/>
      <c r="ABV165" s="153"/>
      <c r="ABW165" s="153"/>
      <c r="ABX165" s="153"/>
      <c r="ABY165" s="153"/>
      <c r="ABZ165" s="153"/>
      <c r="ACA165" s="153"/>
      <c r="ACB165" s="153"/>
      <c r="ACC165" s="153"/>
      <c r="ACD165" s="153"/>
      <c r="ACE165" s="153"/>
      <c r="ACF165" s="153"/>
      <c r="ACG165" s="153"/>
      <c r="ACH165" s="153"/>
      <c r="ACI165" s="153"/>
      <c r="ACJ165" s="153"/>
      <c r="ACK165" s="153"/>
      <c r="ACL165" s="153"/>
      <c r="ACM165" s="153"/>
      <c r="ACN165" s="153"/>
      <c r="ACO165" s="153"/>
      <c r="ACP165" s="153"/>
      <c r="ACQ165" s="153"/>
      <c r="ACR165" s="153"/>
      <c r="ACS165" s="153"/>
      <c r="ACT165" s="153"/>
      <c r="ACU165" s="153"/>
      <c r="ACV165" s="153"/>
      <c r="ACW165" s="153"/>
      <c r="ACX165" s="153"/>
      <c r="ACY165" s="153"/>
      <c r="ACZ165" s="153"/>
      <c r="ADA165" s="153"/>
      <c r="ADB165" s="153"/>
      <c r="ADC165" s="153"/>
      <c r="ADD165" s="153"/>
      <c r="ADE165" s="153"/>
      <c r="ADF165" s="153"/>
      <c r="ADG165" s="153"/>
      <c r="ADH165" s="153"/>
      <c r="ADI165" s="153"/>
      <c r="ADJ165" s="153"/>
      <c r="ADK165" s="153"/>
      <c r="ADL165" s="153"/>
      <c r="ADM165" s="153"/>
      <c r="ADN165" s="153"/>
      <c r="ADO165" s="153"/>
      <c r="ADP165" s="153"/>
      <c r="ADQ165" s="153"/>
      <c r="ADR165" s="153"/>
      <c r="ADS165" s="153"/>
      <c r="ADT165" s="153"/>
      <c r="ADU165" s="153"/>
      <c r="ADV165" s="153"/>
      <c r="ADW165" s="153"/>
      <c r="ADX165" s="153"/>
      <c r="ADY165" s="153"/>
      <c r="ADZ165" s="153"/>
      <c r="AEA165" s="153"/>
      <c r="AEB165" s="153"/>
      <c r="AEC165" s="153"/>
      <c r="AED165" s="153"/>
      <c r="AEE165" s="153"/>
      <c r="AEF165" s="153"/>
      <c r="AEG165" s="153"/>
      <c r="AEH165" s="153"/>
      <c r="AEI165" s="153"/>
      <c r="AEJ165" s="153"/>
      <c r="AEK165" s="153"/>
      <c r="AEL165" s="153"/>
      <c r="AEM165" s="153"/>
      <c r="AEN165" s="153"/>
      <c r="AEO165" s="153"/>
      <c r="AEP165" s="153"/>
      <c r="AEQ165" s="153"/>
      <c r="AER165" s="153"/>
      <c r="AES165" s="153"/>
      <c r="AET165" s="153"/>
      <c r="AEU165" s="153"/>
      <c r="AEV165" s="153"/>
      <c r="AEW165" s="153"/>
      <c r="AEX165" s="153"/>
      <c r="AEY165" s="153"/>
      <c r="AEZ165" s="153"/>
      <c r="AFA165" s="153"/>
      <c r="AFB165" s="153"/>
      <c r="AFC165" s="153"/>
      <c r="AFD165" s="153"/>
      <c r="AFE165" s="153"/>
      <c r="AFF165" s="153"/>
      <c r="AFG165" s="153"/>
      <c r="AFH165" s="153"/>
      <c r="AFI165" s="153"/>
      <c r="AFJ165" s="153"/>
      <c r="AFK165" s="153"/>
      <c r="AFL165" s="153"/>
      <c r="AFM165" s="153"/>
      <c r="AFN165" s="153"/>
      <c r="AFO165" s="153"/>
      <c r="AFP165" s="153"/>
      <c r="AFQ165" s="153"/>
      <c r="AFR165" s="153"/>
      <c r="AFS165" s="153"/>
      <c r="AFT165" s="153"/>
      <c r="AFU165" s="153"/>
      <c r="AFV165" s="153"/>
      <c r="AFW165" s="153"/>
      <c r="AFX165" s="153"/>
      <c r="AFY165" s="153"/>
      <c r="AFZ165" s="153"/>
      <c r="AGA165" s="153"/>
      <c r="AGB165" s="153"/>
      <c r="AGC165" s="153"/>
      <c r="AGD165" s="153"/>
      <c r="AGE165" s="153"/>
      <c r="AGF165" s="153"/>
      <c r="AGG165" s="153"/>
      <c r="AGH165" s="153"/>
      <c r="AGI165" s="153"/>
      <c r="AGJ165" s="153"/>
      <c r="AGK165" s="153"/>
      <c r="AGL165" s="153"/>
      <c r="AGM165" s="153"/>
      <c r="AGN165" s="153"/>
      <c r="AGO165" s="153"/>
      <c r="AGP165" s="153"/>
      <c r="AGQ165" s="153"/>
      <c r="AGR165" s="153"/>
      <c r="AGS165" s="153"/>
      <c r="AGT165" s="153"/>
      <c r="AGU165" s="153"/>
      <c r="AGV165" s="153"/>
      <c r="AGW165" s="153"/>
      <c r="AGX165" s="153"/>
      <c r="AGY165" s="153"/>
      <c r="AGZ165" s="153"/>
      <c r="AHA165" s="153"/>
      <c r="AHB165" s="153"/>
      <c r="AHC165" s="153"/>
      <c r="AHD165" s="153"/>
      <c r="AHE165" s="153"/>
      <c r="AHF165" s="153"/>
      <c r="AHG165" s="153"/>
      <c r="AHH165" s="153"/>
      <c r="AHI165" s="153"/>
      <c r="AHJ165" s="153"/>
      <c r="AHK165" s="153"/>
      <c r="AHL165" s="153"/>
      <c r="AHM165" s="153"/>
      <c r="AHN165" s="153"/>
      <c r="AHO165" s="153"/>
      <c r="AHP165" s="153"/>
      <c r="AHQ165" s="153"/>
      <c r="AHR165" s="153"/>
      <c r="AHS165" s="153"/>
      <c r="AHT165" s="153"/>
      <c r="AHU165" s="153"/>
      <c r="AHV165" s="153"/>
      <c r="AHW165" s="153"/>
      <c r="AHX165" s="153"/>
      <c r="AHY165" s="153"/>
      <c r="AHZ165" s="153"/>
      <c r="AIA165" s="153"/>
      <c r="AIB165" s="153"/>
      <c r="AIC165" s="153"/>
      <c r="AID165" s="153"/>
      <c r="AIE165" s="153"/>
      <c r="AIF165" s="153"/>
      <c r="AIG165" s="153"/>
      <c r="AIH165" s="153"/>
      <c r="AII165" s="153"/>
      <c r="AIJ165" s="153"/>
      <c r="AIK165" s="153"/>
      <c r="AIL165" s="153"/>
      <c r="AIM165" s="153"/>
      <c r="AIN165" s="153"/>
      <c r="AIO165" s="153"/>
      <c r="AIP165" s="153"/>
      <c r="AIQ165" s="153"/>
      <c r="AIR165" s="153"/>
      <c r="AIS165" s="153"/>
      <c r="AIT165" s="153"/>
      <c r="AIU165" s="153"/>
      <c r="AIV165" s="153"/>
      <c r="AIW165" s="153"/>
      <c r="AIX165" s="153"/>
      <c r="AIY165" s="153"/>
      <c r="AIZ165" s="153"/>
      <c r="AJA165" s="153"/>
      <c r="AJB165" s="153"/>
      <c r="AJC165" s="153"/>
      <c r="AJD165" s="153"/>
      <c r="AJE165" s="153"/>
      <c r="AJF165" s="153"/>
      <c r="AJG165" s="153"/>
      <c r="AJH165" s="153"/>
      <c r="AJI165" s="153"/>
      <c r="AJJ165" s="153"/>
      <c r="AJK165" s="153"/>
      <c r="AJL165" s="153"/>
      <c r="AJM165" s="153"/>
      <c r="AJN165" s="153"/>
      <c r="AJO165" s="153"/>
      <c r="AJP165" s="153"/>
      <c r="AJQ165" s="153"/>
      <c r="AJR165" s="153"/>
      <c r="AJS165" s="153"/>
      <c r="AJT165" s="153"/>
      <c r="AJU165" s="153"/>
      <c r="AJV165" s="153"/>
      <c r="AJW165" s="153"/>
      <c r="AJX165" s="153"/>
      <c r="AJY165" s="153"/>
      <c r="AJZ165" s="153"/>
      <c r="AKA165" s="153"/>
      <c r="AKB165" s="153"/>
      <c r="AKC165" s="153"/>
      <c r="AKD165" s="153"/>
      <c r="AKE165" s="153"/>
      <c r="AKF165" s="153"/>
      <c r="AKG165" s="153"/>
      <c r="AKH165" s="153"/>
      <c r="AKI165" s="153"/>
      <c r="AKJ165" s="153"/>
      <c r="AKK165" s="153"/>
      <c r="AKL165" s="153"/>
      <c r="AKM165" s="153"/>
      <c r="AKN165" s="153"/>
      <c r="AKO165" s="153"/>
      <c r="AKP165" s="153"/>
      <c r="AKQ165" s="153"/>
      <c r="AKR165" s="153"/>
      <c r="AKS165" s="153"/>
      <c r="AKT165" s="153"/>
      <c r="AKU165" s="153"/>
      <c r="AKV165" s="153"/>
      <c r="AKW165" s="153"/>
      <c r="AKX165" s="153"/>
      <c r="AKY165" s="153"/>
      <c r="AKZ165" s="153"/>
      <c r="ALA165" s="153"/>
      <c r="ALB165" s="153"/>
      <c r="ALC165" s="153"/>
      <c r="ALD165" s="153"/>
      <c r="ALE165" s="153"/>
      <c r="ALF165" s="153"/>
      <c r="ALG165" s="153"/>
      <c r="ALH165" s="153"/>
      <c r="ALI165" s="153"/>
      <c r="ALJ165" s="153"/>
      <c r="ALK165" s="153"/>
      <c r="ALL165" s="153"/>
      <c r="ALM165" s="153"/>
      <c r="ALN165" s="153"/>
      <c r="ALO165" s="153"/>
      <c r="ALP165" s="153"/>
      <c r="ALQ165" s="153"/>
      <c r="ALR165" s="153"/>
      <c r="ALS165" s="153"/>
      <c r="ALT165" s="153"/>
      <c r="ALU165" s="153"/>
      <c r="ALV165" s="153"/>
      <c r="ALW165" s="153"/>
      <c r="ALX165" s="153"/>
      <c r="ALY165" s="153"/>
      <c r="ALZ165" s="153"/>
      <c r="AMA165" s="153"/>
      <c r="AMB165" s="153"/>
      <c r="AMC165" s="153"/>
      <c r="AMD165" s="153"/>
      <c r="AME165" s="153"/>
      <c r="AMF165" s="153"/>
      <c r="AMG165" s="153"/>
      <c r="AMH165" s="153"/>
      <c r="AMI165" s="153"/>
      <c r="AMJ165" s="153"/>
      <c r="AMK165" s="153"/>
      <c r="AML165" s="153"/>
      <c r="AMM165" s="153"/>
      <c r="AMN165" s="153"/>
      <c r="AMO165" s="153"/>
      <c r="AMP165" s="153"/>
      <c r="AMQ165" s="153"/>
      <c r="AMR165" s="153"/>
      <c r="AMS165" s="153"/>
      <c r="AMT165" s="153"/>
      <c r="AMU165" s="153"/>
      <c r="AMV165" s="153"/>
      <c r="AMW165" s="153"/>
      <c r="AMX165" s="153"/>
      <c r="AMY165" s="153"/>
      <c r="AMZ165" s="153"/>
      <c r="ANA165" s="153"/>
      <c r="ANB165" s="153"/>
      <c r="ANC165" s="153"/>
      <c r="AND165" s="153"/>
      <c r="ANE165" s="153"/>
      <c r="ANF165" s="153"/>
      <c r="ANG165" s="153"/>
      <c r="ANH165" s="153"/>
      <c r="ANI165" s="153"/>
      <c r="ANJ165" s="153"/>
      <c r="ANK165" s="153"/>
      <c r="ANL165" s="153"/>
      <c r="ANM165" s="153"/>
      <c r="ANN165" s="153"/>
      <c r="ANO165" s="153"/>
      <c r="ANP165" s="153"/>
      <c r="ANQ165" s="153"/>
      <c r="ANR165" s="153"/>
      <c r="ANS165" s="153"/>
      <c r="ANT165" s="153"/>
      <c r="ANU165" s="153"/>
      <c r="ANV165" s="153"/>
      <c r="ANW165" s="153"/>
      <c r="ANX165" s="153"/>
      <c r="ANY165" s="153"/>
      <c r="ANZ165" s="153"/>
      <c r="AOA165" s="153"/>
      <c r="AOB165" s="153"/>
      <c r="AOC165" s="153"/>
      <c r="AOD165" s="153"/>
      <c r="AOE165" s="153"/>
      <c r="AOF165" s="153"/>
      <c r="AOG165" s="153"/>
      <c r="AOH165" s="153"/>
      <c r="AOI165" s="153"/>
      <c r="AOJ165" s="153"/>
      <c r="AOK165" s="153"/>
      <c r="AOL165" s="153"/>
      <c r="AOM165" s="153"/>
      <c r="AON165" s="153"/>
      <c r="AOO165" s="153"/>
      <c r="AOP165" s="153"/>
      <c r="AOQ165" s="153"/>
      <c r="AOR165" s="153"/>
      <c r="AOS165" s="153"/>
      <c r="AOT165" s="153"/>
      <c r="AOU165" s="153"/>
      <c r="AOV165" s="153"/>
      <c r="AOW165" s="153"/>
      <c r="AOX165" s="153"/>
      <c r="AOY165" s="153"/>
      <c r="AOZ165" s="153"/>
      <c r="APA165" s="153"/>
      <c r="APB165" s="153"/>
      <c r="APC165" s="153"/>
      <c r="APD165" s="153"/>
      <c r="APE165" s="153"/>
      <c r="APF165" s="153"/>
      <c r="APG165" s="153"/>
      <c r="APH165" s="153"/>
      <c r="API165" s="153"/>
      <c r="APJ165" s="153"/>
      <c r="APK165" s="153"/>
      <c r="APL165" s="153"/>
      <c r="APM165" s="153"/>
      <c r="APN165" s="153"/>
      <c r="APO165" s="153"/>
      <c r="APP165" s="153"/>
      <c r="APQ165" s="153"/>
      <c r="APR165" s="153"/>
      <c r="APS165" s="153"/>
      <c r="APT165" s="153"/>
      <c r="APU165" s="153"/>
      <c r="APV165" s="153"/>
      <c r="APW165" s="153"/>
      <c r="APX165" s="153"/>
      <c r="APY165" s="153"/>
      <c r="APZ165" s="153"/>
      <c r="AQA165" s="153"/>
      <c r="AQB165" s="153"/>
      <c r="AQC165" s="153"/>
      <c r="AQD165" s="153"/>
      <c r="AQE165" s="153"/>
      <c r="AQF165" s="153"/>
      <c r="AQG165" s="153"/>
      <c r="AQH165" s="153"/>
      <c r="AQI165" s="153"/>
      <c r="AQJ165" s="153"/>
      <c r="AQK165" s="153"/>
      <c r="AQL165" s="153"/>
      <c r="AQM165" s="153"/>
      <c r="AQN165" s="153"/>
      <c r="AQO165" s="153"/>
      <c r="AQP165" s="153"/>
      <c r="AQQ165" s="153"/>
      <c r="AQR165" s="153"/>
      <c r="AQS165" s="153"/>
      <c r="AQT165" s="153"/>
      <c r="AQU165" s="153"/>
      <c r="AQV165" s="153"/>
      <c r="AQW165" s="153"/>
      <c r="AQX165" s="153"/>
      <c r="AQY165" s="153"/>
      <c r="AQZ165" s="153"/>
      <c r="ARA165" s="153"/>
      <c r="ARB165" s="153"/>
      <c r="ARC165" s="153"/>
      <c r="ARD165" s="153"/>
      <c r="ARE165" s="153"/>
      <c r="ARF165" s="153"/>
      <c r="ARG165" s="153"/>
      <c r="ARH165" s="153"/>
      <c r="ARI165" s="153"/>
      <c r="ARJ165" s="153"/>
      <c r="ARK165" s="153"/>
      <c r="ARL165" s="153"/>
      <c r="ARM165" s="153"/>
      <c r="ARN165" s="153"/>
      <c r="ARO165" s="153"/>
      <c r="ARP165" s="153"/>
      <c r="ARQ165" s="153"/>
      <c r="ARR165" s="153"/>
      <c r="ARS165" s="153"/>
      <c r="ART165" s="153"/>
      <c r="ARU165" s="153"/>
      <c r="ARV165" s="153"/>
      <c r="ARW165" s="153"/>
      <c r="ARX165" s="153"/>
      <c r="ARY165" s="153"/>
      <c r="ARZ165" s="153"/>
      <c r="ASA165" s="153"/>
      <c r="ASB165" s="153"/>
      <c r="ASC165" s="153"/>
      <c r="ASD165" s="153"/>
      <c r="ASE165" s="153"/>
      <c r="ASF165" s="153"/>
      <c r="ASG165" s="153"/>
      <c r="ASH165" s="153"/>
      <c r="ASI165" s="153"/>
      <c r="ASJ165" s="153"/>
      <c r="ASK165" s="153"/>
      <c r="ASL165" s="153"/>
      <c r="ASM165" s="153"/>
      <c r="ASN165" s="153"/>
      <c r="ASO165" s="153"/>
      <c r="ASP165" s="153"/>
      <c r="ASQ165" s="153"/>
      <c r="ASR165" s="153"/>
      <c r="ASS165" s="153"/>
      <c r="AST165" s="153"/>
      <c r="ASU165" s="153"/>
      <c r="ASV165" s="153"/>
      <c r="ASW165" s="153"/>
      <c r="ASX165" s="153"/>
      <c r="ASY165" s="153"/>
      <c r="ASZ165" s="153"/>
      <c r="ATA165" s="153"/>
      <c r="ATB165" s="153"/>
      <c r="ATC165" s="153"/>
      <c r="ATD165" s="153"/>
      <c r="ATE165" s="153"/>
      <c r="ATF165" s="153"/>
      <c r="ATG165" s="153"/>
      <c r="ATH165" s="153"/>
      <c r="ATI165" s="153"/>
      <c r="ATJ165" s="153"/>
      <c r="ATK165" s="153"/>
      <c r="ATL165" s="153"/>
      <c r="ATM165" s="153"/>
      <c r="ATN165" s="153"/>
      <c r="ATO165" s="153"/>
      <c r="ATP165" s="153"/>
      <c r="ATQ165" s="153"/>
      <c r="ATR165" s="153"/>
      <c r="ATS165" s="153"/>
      <c r="ATT165" s="153"/>
      <c r="ATU165" s="153"/>
      <c r="ATV165" s="153"/>
      <c r="ATW165" s="153"/>
      <c r="ATX165" s="153"/>
      <c r="ATY165" s="153"/>
      <c r="ATZ165" s="153"/>
      <c r="AUA165" s="153"/>
      <c r="AUB165" s="153"/>
      <c r="AUC165" s="153"/>
      <c r="AUD165" s="153"/>
      <c r="AUE165" s="153"/>
      <c r="AUF165" s="153"/>
      <c r="AUG165" s="153"/>
      <c r="AUH165" s="153"/>
      <c r="AUI165" s="153"/>
      <c r="AUJ165" s="153"/>
      <c r="AUK165" s="153"/>
      <c r="AUL165" s="153"/>
      <c r="AUM165" s="153"/>
      <c r="AUN165" s="153"/>
      <c r="AUO165" s="153"/>
      <c r="AUP165" s="153"/>
      <c r="AUQ165" s="153"/>
      <c r="AUR165" s="153"/>
      <c r="AUS165" s="153"/>
      <c r="AUT165" s="153"/>
      <c r="AUU165" s="153"/>
      <c r="AUV165" s="153"/>
      <c r="AUW165" s="153"/>
      <c r="AUX165" s="153"/>
      <c r="AUY165" s="153"/>
      <c r="AUZ165" s="153"/>
      <c r="AVA165" s="153"/>
      <c r="AVB165" s="153"/>
      <c r="AVC165" s="153"/>
      <c r="AVD165" s="153"/>
      <c r="AVE165" s="153"/>
      <c r="AVF165" s="153"/>
      <c r="AVG165" s="153"/>
      <c r="AVH165" s="153"/>
      <c r="AVI165" s="153"/>
      <c r="AVJ165" s="153"/>
      <c r="AVK165" s="153"/>
      <c r="AVL165" s="153"/>
      <c r="AVM165" s="153"/>
      <c r="AVN165" s="153"/>
      <c r="AVO165" s="153"/>
      <c r="AVP165" s="153"/>
      <c r="AVQ165" s="153"/>
      <c r="AVR165" s="153"/>
      <c r="AVS165" s="153"/>
      <c r="AVT165" s="153"/>
      <c r="AVU165" s="153"/>
      <c r="AVV165" s="153"/>
      <c r="AVW165" s="153"/>
      <c r="AVX165" s="153"/>
      <c r="AVY165" s="153"/>
      <c r="AVZ165" s="153"/>
      <c r="AWA165" s="153"/>
      <c r="AWB165" s="153"/>
      <c r="AWC165" s="153"/>
      <c r="AWD165" s="153"/>
      <c r="AWE165" s="153"/>
      <c r="AWF165" s="153"/>
      <c r="AWG165" s="153"/>
      <c r="AWH165" s="153"/>
      <c r="AWI165" s="153"/>
      <c r="AWJ165" s="153"/>
      <c r="AWK165" s="153"/>
      <c r="AWL165" s="153"/>
      <c r="AWM165" s="153"/>
      <c r="AWN165" s="153"/>
      <c r="AWO165" s="153"/>
      <c r="AWP165" s="153"/>
      <c r="AWQ165" s="153"/>
      <c r="AWR165" s="153"/>
      <c r="AWS165" s="153"/>
      <c r="AWT165" s="153"/>
      <c r="AWU165" s="153"/>
      <c r="AWV165" s="153"/>
      <c r="AWW165" s="153"/>
      <c r="AWX165" s="153"/>
      <c r="AWY165" s="153"/>
      <c r="AWZ165" s="153"/>
      <c r="AXA165" s="153"/>
      <c r="AXB165" s="153"/>
      <c r="AXC165" s="153"/>
      <c r="AXD165" s="153"/>
      <c r="AXE165" s="153"/>
      <c r="AXF165" s="153"/>
      <c r="AXG165" s="153"/>
      <c r="AXH165" s="153"/>
      <c r="AXI165" s="153"/>
      <c r="AXJ165" s="153"/>
      <c r="AXK165" s="153"/>
      <c r="AXL165" s="153"/>
      <c r="AXM165" s="153"/>
      <c r="AXN165" s="153"/>
      <c r="AXO165" s="153"/>
      <c r="AXP165" s="153"/>
      <c r="AXQ165" s="153"/>
      <c r="AXR165" s="153"/>
      <c r="AXS165" s="153"/>
      <c r="AXT165" s="153"/>
      <c r="AXU165" s="153"/>
      <c r="AXV165" s="153"/>
      <c r="AXW165" s="153"/>
      <c r="AXX165" s="153"/>
      <c r="AXY165" s="153"/>
      <c r="AXZ165" s="153"/>
      <c r="AYA165" s="153"/>
      <c r="AYB165" s="153"/>
      <c r="AYC165" s="153"/>
      <c r="AYD165" s="153"/>
      <c r="AYE165" s="153"/>
      <c r="AYF165" s="153"/>
      <c r="AYG165" s="153"/>
      <c r="AYH165" s="153"/>
      <c r="AYI165" s="153"/>
      <c r="AYJ165" s="153"/>
      <c r="AYK165" s="153"/>
      <c r="AYL165" s="153"/>
      <c r="AYM165" s="153"/>
      <c r="AYN165" s="153"/>
      <c r="AYO165" s="153"/>
      <c r="AYP165" s="153"/>
      <c r="AYQ165" s="153"/>
      <c r="AYR165" s="153"/>
      <c r="AYS165" s="153"/>
      <c r="AYT165" s="153"/>
      <c r="AYU165" s="153"/>
      <c r="AYV165" s="153"/>
      <c r="AYW165" s="153"/>
      <c r="AYX165" s="153"/>
      <c r="AYY165" s="153"/>
      <c r="AYZ165" s="153"/>
      <c r="AZA165" s="153"/>
      <c r="AZB165" s="153"/>
      <c r="AZC165" s="153"/>
      <c r="AZD165" s="153"/>
      <c r="AZE165" s="153"/>
      <c r="AZF165" s="153"/>
      <c r="AZG165" s="153"/>
      <c r="AZH165" s="153"/>
      <c r="AZI165" s="153"/>
      <c r="AZJ165" s="153"/>
      <c r="AZK165" s="153"/>
      <c r="AZL165" s="153"/>
      <c r="AZM165" s="153"/>
      <c r="AZN165" s="153"/>
      <c r="AZO165" s="153"/>
      <c r="AZP165" s="153"/>
      <c r="AZQ165" s="153"/>
      <c r="AZR165" s="153"/>
      <c r="AZS165" s="153"/>
      <c r="AZT165" s="153"/>
      <c r="AZU165" s="153"/>
      <c r="AZV165" s="153"/>
      <c r="AZW165" s="153"/>
      <c r="AZX165" s="153"/>
      <c r="AZY165" s="153"/>
      <c r="AZZ165" s="153"/>
      <c r="BAA165" s="153"/>
      <c r="BAB165" s="153"/>
      <c r="BAC165" s="153"/>
      <c r="BAD165" s="153"/>
      <c r="BAE165" s="153"/>
      <c r="BAF165" s="153"/>
      <c r="BAG165" s="153"/>
      <c r="BAH165" s="153"/>
      <c r="BAI165" s="153"/>
      <c r="BAJ165" s="153"/>
      <c r="BAK165" s="153"/>
      <c r="BAL165" s="153"/>
      <c r="BAM165" s="153"/>
      <c r="BAN165" s="153"/>
      <c r="BAO165" s="153"/>
      <c r="BAP165" s="153"/>
      <c r="BAQ165" s="153"/>
      <c r="BAR165" s="153"/>
      <c r="BAS165" s="153"/>
      <c r="BAT165" s="153"/>
      <c r="BAU165" s="153"/>
      <c r="BAV165" s="153"/>
      <c r="BAW165" s="153"/>
      <c r="BAX165" s="153"/>
      <c r="BAY165" s="153"/>
      <c r="BAZ165" s="153"/>
      <c r="BBA165" s="153"/>
      <c r="BBB165" s="153"/>
      <c r="BBC165" s="153"/>
      <c r="BBD165" s="153"/>
      <c r="BBE165" s="153"/>
      <c r="BBF165" s="153"/>
      <c r="BBG165" s="153"/>
      <c r="BBH165" s="153"/>
      <c r="BBI165" s="153"/>
      <c r="BBJ165" s="153"/>
      <c r="BBK165" s="153"/>
      <c r="BBL165" s="153"/>
      <c r="BBM165" s="153"/>
      <c r="BBN165" s="153"/>
      <c r="BBO165" s="153"/>
      <c r="BBP165" s="153"/>
      <c r="BBQ165" s="153"/>
      <c r="BBR165" s="153"/>
      <c r="BBS165" s="153"/>
      <c r="BBT165" s="153"/>
      <c r="BBU165" s="153"/>
      <c r="BBV165" s="153"/>
      <c r="BBW165" s="153"/>
      <c r="BBX165" s="153"/>
      <c r="BBY165" s="153"/>
      <c r="BBZ165" s="153"/>
      <c r="BCA165" s="153"/>
      <c r="BCB165" s="153"/>
      <c r="BCC165" s="153"/>
      <c r="BCD165" s="153"/>
      <c r="BCE165" s="153"/>
      <c r="BCF165" s="153"/>
      <c r="BCG165" s="153"/>
      <c r="BCH165" s="153"/>
      <c r="BCI165" s="153"/>
      <c r="BCJ165" s="153"/>
      <c r="BCK165" s="153"/>
      <c r="BCL165" s="153"/>
      <c r="BCM165" s="153"/>
      <c r="BCN165" s="153"/>
      <c r="BCO165" s="153"/>
      <c r="BCP165" s="153"/>
      <c r="BCQ165" s="153"/>
      <c r="BCR165" s="153"/>
      <c r="BCS165" s="153"/>
      <c r="BCT165" s="153"/>
      <c r="BCU165" s="153"/>
      <c r="BCV165" s="153"/>
      <c r="BCW165" s="153"/>
      <c r="BCX165" s="153"/>
      <c r="BCY165" s="153"/>
      <c r="BCZ165" s="153"/>
      <c r="BDA165" s="153"/>
      <c r="BDB165" s="153"/>
      <c r="BDC165" s="153"/>
      <c r="BDD165" s="153"/>
      <c r="BDE165" s="153"/>
      <c r="BDF165" s="153"/>
      <c r="BDG165" s="153"/>
      <c r="BDH165" s="153"/>
      <c r="BDI165" s="153"/>
      <c r="BDJ165" s="153"/>
      <c r="BDK165" s="153"/>
      <c r="BDL165" s="153"/>
      <c r="BDM165" s="153"/>
      <c r="BDN165" s="153"/>
      <c r="BDO165" s="153"/>
      <c r="BDP165" s="153"/>
      <c r="BDQ165" s="153"/>
      <c r="BDR165" s="153"/>
      <c r="BDS165" s="153"/>
      <c r="BDT165" s="153"/>
      <c r="BDU165" s="153"/>
      <c r="BDV165" s="153"/>
      <c r="BDW165" s="153"/>
      <c r="BDX165" s="153"/>
      <c r="BDY165" s="153"/>
      <c r="BDZ165" s="153"/>
      <c r="BEA165" s="153"/>
      <c r="BEB165" s="153"/>
      <c r="BEC165" s="153"/>
      <c r="BED165" s="153"/>
      <c r="BEE165" s="153"/>
      <c r="BEF165" s="153"/>
      <c r="BEG165" s="153"/>
      <c r="BEH165" s="153"/>
      <c r="BEI165" s="153"/>
      <c r="BEJ165" s="153"/>
      <c r="BEK165" s="153"/>
      <c r="BEL165" s="153"/>
      <c r="BEM165" s="153"/>
      <c r="BEN165" s="153"/>
      <c r="BEO165" s="153"/>
      <c r="BEP165" s="153"/>
      <c r="BEQ165" s="153"/>
      <c r="BER165" s="153"/>
      <c r="BES165" s="153"/>
      <c r="BET165" s="153"/>
      <c r="BEU165" s="153"/>
      <c r="BEV165" s="153"/>
      <c r="BEW165" s="153"/>
      <c r="BEX165" s="153"/>
      <c r="BEY165" s="153"/>
      <c r="BEZ165" s="153"/>
      <c r="BFA165" s="153"/>
      <c r="BFB165" s="153"/>
      <c r="BFC165" s="153"/>
      <c r="BFD165" s="153"/>
      <c r="BFE165" s="153"/>
      <c r="BFF165" s="153"/>
      <c r="BFG165" s="153"/>
      <c r="BFH165" s="153"/>
      <c r="BFI165" s="153"/>
      <c r="BFJ165" s="153"/>
      <c r="BFK165" s="153"/>
      <c r="BFL165" s="153"/>
      <c r="BFM165" s="153"/>
      <c r="BFN165" s="153"/>
      <c r="BFO165" s="153"/>
      <c r="BFP165" s="153"/>
      <c r="BFQ165" s="153"/>
      <c r="BFR165" s="153"/>
      <c r="BFS165" s="153"/>
      <c r="BFT165" s="153"/>
      <c r="BFU165" s="153"/>
      <c r="BFV165" s="153"/>
      <c r="BFW165" s="153"/>
      <c r="BFX165" s="153"/>
      <c r="BFY165" s="153"/>
      <c r="BFZ165" s="153"/>
      <c r="BGA165" s="153"/>
      <c r="BGB165" s="153"/>
      <c r="BGC165" s="153"/>
      <c r="BGD165" s="153"/>
      <c r="BGE165" s="153"/>
      <c r="BGF165" s="153"/>
      <c r="BGG165" s="153"/>
      <c r="BGH165" s="153"/>
      <c r="BGI165" s="153"/>
      <c r="BGJ165" s="153"/>
      <c r="BGK165" s="153"/>
      <c r="BGL165" s="153"/>
      <c r="BGM165" s="153"/>
      <c r="BGN165" s="153"/>
      <c r="BGO165" s="153"/>
      <c r="BGP165" s="153"/>
      <c r="BGQ165" s="153"/>
      <c r="BGR165" s="153"/>
      <c r="BGS165" s="153"/>
      <c r="BGT165" s="153"/>
      <c r="BGU165" s="153"/>
      <c r="BGV165" s="153"/>
      <c r="BGW165" s="153"/>
      <c r="BGX165" s="153"/>
      <c r="BGY165" s="153"/>
      <c r="BGZ165" s="153"/>
      <c r="BHA165" s="153"/>
      <c r="BHB165" s="153"/>
      <c r="BHC165" s="153"/>
      <c r="BHD165" s="153"/>
      <c r="BHE165" s="153"/>
      <c r="BHF165" s="153"/>
      <c r="BHG165" s="153"/>
      <c r="BHH165" s="153"/>
      <c r="BHI165" s="153"/>
      <c r="BHJ165" s="153"/>
      <c r="BHK165" s="153"/>
      <c r="BHL165" s="153"/>
      <c r="BHM165" s="153"/>
      <c r="BHN165" s="153"/>
      <c r="BHO165" s="153"/>
      <c r="BHP165" s="153"/>
      <c r="BHQ165" s="153"/>
      <c r="BHR165" s="153"/>
      <c r="BHS165" s="153"/>
      <c r="BHT165" s="153"/>
      <c r="BHU165" s="153"/>
      <c r="BHV165" s="153"/>
      <c r="BHW165" s="153"/>
      <c r="BHX165" s="153"/>
      <c r="BHY165" s="153"/>
      <c r="BHZ165" s="153"/>
      <c r="BIA165" s="153"/>
      <c r="BIB165" s="153"/>
      <c r="BIC165" s="153"/>
      <c r="BID165" s="153"/>
      <c r="BIE165" s="153"/>
      <c r="BIF165" s="153"/>
      <c r="BIG165" s="153"/>
      <c r="BIH165" s="153"/>
      <c r="BII165" s="153"/>
      <c r="BIJ165" s="153"/>
      <c r="BIK165" s="153"/>
      <c r="BIL165" s="153"/>
      <c r="BIM165" s="153"/>
      <c r="BIN165" s="153"/>
      <c r="BIO165" s="153"/>
      <c r="BIP165" s="153"/>
      <c r="BIQ165" s="153"/>
      <c r="BIR165" s="153"/>
      <c r="BIS165" s="153"/>
      <c r="BIT165" s="153"/>
      <c r="BIU165" s="153"/>
      <c r="BIV165" s="153"/>
      <c r="BIW165" s="153"/>
      <c r="BIX165" s="153"/>
      <c r="BIY165" s="153"/>
      <c r="BIZ165" s="153"/>
      <c r="BJA165" s="153"/>
      <c r="BJB165" s="153"/>
      <c r="BJC165" s="153"/>
      <c r="BJD165" s="153"/>
      <c r="BJE165" s="153"/>
      <c r="BJF165" s="153"/>
      <c r="BJG165" s="153"/>
      <c r="BJH165" s="153"/>
      <c r="BJI165" s="153"/>
      <c r="BJJ165" s="153"/>
      <c r="BJK165" s="153"/>
      <c r="BJL165" s="153"/>
      <c r="BJM165" s="153"/>
      <c r="BJN165" s="153"/>
      <c r="BJO165" s="153"/>
      <c r="BJP165" s="153"/>
      <c r="BJQ165" s="153"/>
      <c r="BJR165" s="153"/>
      <c r="BJS165" s="153"/>
      <c r="BJT165" s="153"/>
      <c r="BJU165" s="153"/>
      <c r="BJV165" s="153"/>
      <c r="BJW165" s="153"/>
      <c r="BJX165" s="153"/>
      <c r="BJY165" s="153"/>
      <c r="BJZ165" s="153"/>
      <c r="BKA165" s="153"/>
      <c r="BKB165" s="153"/>
      <c r="BKC165" s="153"/>
      <c r="BKD165" s="153"/>
      <c r="BKE165" s="153"/>
      <c r="BKF165" s="153"/>
      <c r="BKG165" s="153"/>
      <c r="BKH165" s="153"/>
      <c r="BKI165" s="153"/>
      <c r="BKJ165" s="153"/>
      <c r="BKK165" s="153"/>
      <c r="BKL165" s="153"/>
      <c r="BKM165" s="153"/>
      <c r="BKN165" s="153"/>
      <c r="BKO165" s="153"/>
      <c r="BKP165" s="153"/>
      <c r="BKQ165" s="153"/>
      <c r="BKR165" s="153"/>
      <c r="BKS165" s="153"/>
      <c r="BKT165" s="153"/>
      <c r="BKU165" s="153"/>
      <c r="BKV165" s="153"/>
      <c r="BKW165" s="153"/>
      <c r="BKX165" s="153"/>
      <c r="BKY165" s="153"/>
      <c r="BKZ165" s="153"/>
      <c r="BLA165" s="153"/>
      <c r="BLB165" s="153"/>
      <c r="BLC165" s="153"/>
      <c r="BLD165" s="153"/>
      <c r="BLE165" s="153"/>
      <c r="BLF165" s="153"/>
      <c r="BLG165" s="153"/>
      <c r="BLH165" s="153"/>
      <c r="BLI165" s="153"/>
      <c r="BLJ165" s="153"/>
      <c r="BLK165" s="153"/>
      <c r="BLL165" s="153"/>
      <c r="BLM165" s="153"/>
      <c r="BLN165" s="153"/>
      <c r="BLO165" s="153"/>
      <c r="BLP165" s="153"/>
      <c r="BLQ165" s="153"/>
      <c r="BLR165" s="153"/>
      <c r="BLS165" s="153"/>
      <c r="BLT165" s="153"/>
      <c r="BLU165" s="153"/>
      <c r="BLV165" s="153"/>
      <c r="BLW165" s="153"/>
      <c r="BLX165" s="153"/>
      <c r="BLY165" s="153"/>
      <c r="BLZ165" s="153"/>
      <c r="BMA165" s="153"/>
      <c r="BMB165" s="153"/>
      <c r="BMC165" s="153"/>
      <c r="BMD165" s="153"/>
      <c r="BME165" s="153"/>
      <c r="BMF165" s="153"/>
      <c r="BMG165" s="153"/>
      <c r="BMH165" s="153"/>
      <c r="BMI165" s="153"/>
      <c r="BMJ165" s="153"/>
      <c r="BMK165" s="153"/>
      <c r="BML165" s="153"/>
      <c r="BMM165" s="153"/>
      <c r="BMN165" s="153"/>
      <c r="BMO165" s="153"/>
      <c r="BMP165" s="153"/>
      <c r="BMQ165" s="153"/>
      <c r="BMR165" s="153"/>
      <c r="BMS165" s="153"/>
      <c r="BMT165" s="153"/>
      <c r="BMU165" s="153"/>
      <c r="BMV165" s="153"/>
      <c r="BMW165" s="153"/>
      <c r="BMX165" s="153"/>
      <c r="BMY165" s="153"/>
      <c r="BMZ165" s="153"/>
      <c r="BNA165" s="153"/>
      <c r="BNB165" s="153"/>
      <c r="BNC165" s="153"/>
      <c r="BND165" s="153"/>
      <c r="BNE165" s="153"/>
      <c r="BNF165" s="153"/>
      <c r="BNG165" s="153"/>
      <c r="BNH165" s="153"/>
      <c r="BNI165" s="153"/>
      <c r="BNJ165" s="153"/>
      <c r="BNK165" s="153"/>
      <c r="BNL165" s="153"/>
      <c r="BNM165" s="153"/>
      <c r="BNN165" s="153"/>
      <c r="BNO165" s="153"/>
      <c r="BNP165" s="153"/>
      <c r="BNQ165" s="153"/>
      <c r="BNR165" s="153"/>
      <c r="BNS165" s="153"/>
      <c r="BNT165" s="153"/>
      <c r="BNU165" s="153"/>
      <c r="BNV165" s="153"/>
      <c r="BNW165" s="153"/>
      <c r="BNX165" s="153"/>
      <c r="BNY165" s="153"/>
      <c r="BNZ165" s="153"/>
      <c r="BOA165" s="153"/>
      <c r="BOB165" s="153"/>
      <c r="BOC165" s="153"/>
      <c r="BOD165" s="153"/>
      <c r="BOE165" s="153"/>
      <c r="BOF165" s="153"/>
      <c r="BOG165" s="153"/>
      <c r="BOH165" s="153"/>
      <c r="BOI165" s="153"/>
      <c r="BOJ165" s="153"/>
      <c r="BOK165" s="153"/>
      <c r="BOL165" s="153"/>
      <c r="BOM165" s="153"/>
      <c r="BON165" s="153"/>
      <c r="BOO165" s="153"/>
      <c r="BOP165" s="153"/>
      <c r="BOQ165" s="153"/>
      <c r="BOR165" s="153"/>
      <c r="BOS165" s="153"/>
      <c r="BOT165" s="153"/>
      <c r="BOU165" s="153"/>
      <c r="BOV165" s="153"/>
      <c r="BOW165" s="153"/>
      <c r="BOX165" s="153"/>
      <c r="BOY165" s="153"/>
      <c r="BOZ165" s="153"/>
      <c r="BPA165" s="153"/>
      <c r="BPB165" s="153"/>
      <c r="BPC165" s="153"/>
      <c r="BPD165" s="153"/>
      <c r="BPE165" s="153"/>
      <c r="BPF165" s="153"/>
      <c r="BPG165" s="153"/>
      <c r="BPH165" s="153"/>
      <c r="BPI165" s="153"/>
      <c r="BPJ165" s="153"/>
      <c r="BPK165" s="153"/>
      <c r="BPL165" s="153"/>
      <c r="BPM165" s="153"/>
      <c r="BPN165" s="153"/>
      <c r="BPO165" s="153"/>
      <c r="BPP165" s="153"/>
      <c r="BPQ165" s="153"/>
      <c r="BPR165" s="153"/>
      <c r="BPS165" s="153"/>
      <c r="BPT165" s="153"/>
      <c r="BPU165" s="153"/>
      <c r="BPV165" s="153"/>
      <c r="BPW165" s="153"/>
      <c r="BPX165" s="153"/>
      <c r="BPY165" s="153"/>
      <c r="BPZ165" s="153"/>
      <c r="BQA165" s="153"/>
      <c r="BQB165" s="153"/>
      <c r="BQC165" s="153"/>
      <c r="BQD165" s="153"/>
      <c r="BQE165" s="153"/>
      <c r="BQF165" s="153"/>
      <c r="BQG165" s="153"/>
      <c r="BQH165" s="153"/>
      <c r="BQI165" s="153"/>
      <c r="BQJ165" s="153"/>
      <c r="BQK165" s="153"/>
      <c r="BQL165" s="153"/>
      <c r="BQM165" s="153"/>
      <c r="BQN165" s="153"/>
      <c r="BQO165" s="153"/>
      <c r="BQP165" s="153"/>
      <c r="BQQ165" s="153"/>
      <c r="BQR165" s="153"/>
      <c r="BQS165" s="153"/>
      <c r="BQT165" s="153"/>
      <c r="BQU165" s="153"/>
      <c r="BQV165" s="153"/>
      <c r="BQW165" s="153"/>
      <c r="BQX165" s="153"/>
      <c r="BQY165" s="153"/>
      <c r="BQZ165" s="153"/>
      <c r="BRA165" s="153"/>
      <c r="BRB165" s="153"/>
      <c r="BRC165" s="153"/>
      <c r="BRD165" s="153"/>
      <c r="BRE165" s="153"/>
      <c r="BRF165" s="153"/>
      <c r="BRG165" s="153"/>
      <c r="BRH165" s="153"/>
      <c r="BRI165" s="153"/>
      <c r="BRJ165" s="153"/>
      <c r="BRK165" s="153"/>
      <c r="BRL165" s="153"/>
      <c r="BRM165" s="153"/>
      <c r="BRN165" s="153"/>
      <c r="BRO165" s="153"/>
      <c r="BRP165" s="153"/>
      <c r="BRQ165" s="153"/>
      <c r="BRR165" s="153"/>
      <c r="BRS165" s="153"/>
      <c r="BRT165" s="153"/>
      <c r="BRU165" s="153"/>
      <c r="BRV165" s="153"/>
      <c r="BRW165" s="153"/>
      <c r="BRX165" s="153"/>
      <c r="BRY165" s="153"/>
      <c r="BRZ165" s="153"/>
      <c r="BSA165" s="153"/>
      <c r="BSB165" s="153"/>
      <c r="BSC165" s="153"/>
      <c r="BSD165" s="153"/>
      <c r="BSE165" s="153"/>
      <c r="BSF165" s="153"/>
      <c r="BSG165" s="153"/>
      <c r="BSH165" s="153"/>
      <c r="BSI165" s="153"/>
      <c r="BSJ165" s="153"/>
      <c r="BSK165" s="153"/>
      <c r="BSL165" s="153"/>
      <c r="BSM165" s="153"/>
      <c r="BSN165" s="153"/>
      <c r="BSO165" s="153"/>
      <c r="BSP165" s="153"/>
      <c r="BSQ165" s="153"/>
      <c r="BSR165" s="153"/>
      <c r="BSS165" s="153"/>
      <c r="BST165" s="153"/>
      <c r="BSU165" s="153"/>
      <c r="BSV165" s="153"/>
      <c r="BSW165" s="153"/>
      <c r="BSX165" s="153"/>
      <c r="BSY165" s="153"/>
      <c r="BSZ165" s="153"/>
      <c r="BTA165" s="153"/>
      <c r="BTB165" s="153"/>
      <c r="BTC165" s="153"/>
      <c r="BTD165" s="153"/>
      <c r="BTE165" s="153"/>
      <c r="BTF165" s="153"/>
      <c r="BTG165" s="153"/>
      <c r="BTH165" s="153"/>
      <c r="BTI165" s="153"/>
      <c r="BTJ165" s="153"/>
      <c r="BTK165" s="153"/>
      <c r="BTL165" s="153"/>
      <c r="BTM165" s="153"/>
      <c r="BTN165" s="153"/>
      <c r="BTO165" s="153"/>
      <c r="BTP165" s="153"/>
      <c r="BTQ165" s="153"/>
      <c r="BTR165" s="153"/>
      <c r="BTS165" s="153"/>
      <c r="BTT165" s="153"/>
      <c r="BTU165" s="153"/>
      <c r="BTV165" s="153"/>
      <c r="BTW165" s="153"/>
      <c r="BTX165" s="153"/>
      <c r="BTY165" s="153"/>
      <c r="BTZ165" s="153"/>
      <c r="BUA165" s="153"/>
      <c r="BUB165" s="153"/>
      <c r="BUC165" s="153"/>
      <c r="BUD165" s="153"/>
      <c r="BUE165" s="153"/>
      <c r="BUF165" s="153"/>
      <c r="BUG165" s="153"/>
      <c r="BUH165" s="153"/>
      <c r="BUI165" s="153"/>
      <c r="BUJ165" s="153"/>
      <c r="BUK165" s="153"/>
      <c r="BUL165" s="153"/>
      <c r="BUM165" s="153"/>
      <c r="BUN165" s="153"/>
      <c r="BUO165" s="153"/>
      <c r="BUP165" s="153"/>
      <c r="BUQ165" s="153"/>
      <c r="BUR165" s="153"/>
      <c r="BUS165" s="153"/>
      <c r="BUT165" s="153"/>
      <c r="BUU165" s="153"/>
      <c r="BUV165" s="153"/>
      <c r="BUW165" s="153"/>
      <c r="BUX165" s="153"/>
      <c r="BUY165" s="153"/>
      <c r="BUZ165" s="153"/>
      <c r="BVA165" s="153"/>
      <c r="BVB165" s="153"/>
      <c r="BVC165" s="153"/>
      <c r="BVD165" s="153"/>
      <c r="BVE165" s="153"/>
      <c r="BVF165" s="153"/>
      <c r="BVG165" s="153"/>
      <c r="BVH165" s="153"/>
      <c r="BVI165" s="153"/>
      <c r="BVJ165" s="153"/>
      <c r="BVK165" s="153"/>
      <c r="BVL165" s="153"/>
      <c r="BVM165" s="153"/>
      <c r="BVN165" s="153"/>
      <c r="BVO165" s="153"/>
      <c r="BVP165" s="153"/>
      <c r="BVQ165" s="153"/>
      <c r="BVR165" s="153"/>
      <c r="BVS165" s="153"/>
      <c r="BVT165" s="153"/>
      <c r="BVU165" s="153"/>
      <c r="BVV165" s="153"/>
      <c r="BVW165" s="153"/>
      <c r="BVX165" s="153"/>
      <c r="BVY165" s="153"/>
      <c r="BVZ165" s="153"/>
      <c r="BWA165" s="153"/>
      <c r="BWB165" s="153"/>
      <c r="BWC165" s="153"/>
      <c r="BWD165" s="153"/>
      <c r="BWE165" s="153"/>
      <c r="BWF165" s="153"/>
      <c r="BWG165" s="153"/>
      <c r="BWH165" s="153"/>
      <c r="BWI165" s="153"/>
      <c r="BWJ165" s="153"/>
      <c r="BWK165" s="153"/>
      <c r="BWL165" s="153"/>
      <c r="BWM165" s="153"/>
      <c r="BWN165" s="153"/>
      <c r="BWO165" s="153"/>
      <c r="BWP165" s="153"/>
      <c r="BWQ165" s="153"/>
      <c r="BWR165" s="153"/>
      <c r="BWS165" s="153"/>
      <c r="BWT165" s="153"/>
      <c r="BWU165" s="153"/>
      <c r="BWV165" s="153"/>
      <c r="BWW165" s="153"/>
      <c r="BWX165" s="153"/>
      <c r="BWY165" s="153"/>
      <c r="BWZ165" s="153"/>
      <c r="BXA165" s="153"/>
      <c r="BXB165" s="153"/>
      <c r="BXC165" s="153"/>
      <c r="BXD165" s="153"/>
      <c r="BXE165" s="153"/>
      <c r="BXF165" s="153"/>
      <c r="BXG165" s="153"/>
      <c r="BXH165" s="153"/>
      <c r="BXI165" s="153"/>
      <c r="BXJ165" s="153"/>
      <c r="BXK165" s="153"/>
      <c r="BXL165" s="153"/>
      <c r="BXM165" s="153"/>
      <c r="BXN165" s="153"/>
      <c r="BXO165" s="153"/>
      <c r="BXP165" s="153"/>
      <c r="BXQ165" s="153"/>
      <c r="BXR165" s="153"/>
      <c r="BXS165" s="153"/>
      <c r="BXT165" s="153"/>
      <c r="BXU165" s="153"/>
      <c r="BXV165" s="153"/>
      <c r="BXW165" s="153"/>
      <c r="BXX165" s="153"/>
      <c r="BXY165" s="153"/>
      <c r="BXZ165" s="153"/>
      <c r="BYA165" s="153"/>
      <c r="BYB165" s="153"/>
      <c r="BYC165" s="153"/>
      <c r="BYD165" s="153"/>
      <c r="BYE165" s="153"/>
      <c r="BYF165" s="153"/>
      <c r="BYG165" s="153"/>
      <c r="BYH165" s="153"/>
      <c r="BYI165" s="153"/>
      <c r="BYJ165" s="153"/>
      <c r="BYK165" s="153"/>
      <c r="BYL165" s="153"/>
      <c r="BYM165" s="153"/>
      <c r="BYN165" s="153"/>
      <c r="BYO165" s="153"/>
      <c r="BYP165" s="153"/>
      <c r="BYQ165" s="153"/>
      <c r="BYR165" s="153"/>
      <c r="BYS165" s="153"/>
      <c r="BYT165" s="153"/>
      <c r="BYU165" s="153"/>
      <c r="BYV165" s="153"/>
      <c r="BYW165" s="153"/>
      <c r="BYX165" s="153"/>
      <c r="BYY165" s="153"/>
      <c r="BYZ165" s="153"/>
      <c r="BZA165" s="153"/>
      <c r="BZB165" s="153"/>
      <c r="BZC165" s="153"/>
      <c r="BZD165" s="153"/>
      <c r="BZE165" s="153"/>
      <c r="BZF165" s="153"/>
      <c r="BZG165" s="153"/>
      <c r="BZH165" s="153"/>
      <c r="BZI165" s="153"/>
      <c r="BZJ165" s="153"/>
      <c r="BZK165" s="153"/>
      <c r="BZL165" s="153"/>
      <c r="BZM165" s="153"/>
      <c r="BZN165" s="153"/>
      <c r="BZO165" s="153"/>
      <c r="BZP165" s="153"/>
      <c r="BZQ165" s="153"/>
      <c r="BZR165" s="153"/>
      <c r="BZS165" s="153"/>
      <c r="BZT165" s="153"/>
      <c r="BZU165" s="153"/>
      <c r="BZV165" s="153"/>
      <c r="BZW165" s="153"/>
      <c r="BZX165" s="153"/>
      <c r="BZY165" s="153"/>
      <c r="BZZ165" s="153"/>
      <c r="CAA165" s="153"/>
      <c r="CAB165" s="153"/>
      <c r="CAC165" s="153"/>
      <c r="CAD165" s="153"/>
      <c r="CAE165" s="153"/>
      <c r="CAF165" s="153"/>
      <c r="CAG165" s="153"/>
      <c r="CAH165" s="153"/>
      <c r="CAI165" s="153"/>
      <c r="CAJ165" s="153"/>
      <c r="CAK165" s="153"/>
      <c r="CAL165" s="153"/>
      <c r="CAM165" s="153"/>
      <c r="CAN165" s="153"/>
      <c r="CAO165" s="153"/>
      <c r="CAP165" s="153"/>
      <c r="CAQ165" s="153"/>
      <c r="CAR165" s="153"/>
      <c r="CAS165" s="153"/>
      <c r="CAT165" s="153"/>
      <c r="CAU165" s="153"/>
      <c r="CAV165" s="153"/>
      <c r="CAW165" s="153"/>
      <c r="CAX165" s="153"/>
      <c r="CAY165" s="153"/>
      <c r="CAZ165" s="153"/>
      <c r="CBA165" s="153"/>
      <c r="CBB165" s="153"/>
      <c r="CBC165" s="153"/>
      <c r="CBD165" s="153"/>
      <c r="CBE165" s="153"/>
      <c r="CBF165" s="153"/>
      <c r="CBG165" s="153"/>
      <c r="CBH165" s="153"/>
      <c r="CBI165" s="153"/>
      <c r="CBJ165" s="153"/>
      <c r="CBK165" s="153"/>
      <c r="CBL165" s="153"/>
      <c r="CBM165" s="153"/>
      <c r="CBN165" s="153"/>
      <c r="CBO165" s="153"/>
      <c r="CBP165" s="153"/>
      <c r="CBQ165" s="153"/>
      <c r="CBR165" s="153"/>
      <c r="CBS165" s="153"/>
      <c r="CBT165" s="153"/>
      <c r="CBU165" s="153"/>
      <c r="CBV165" s="153"/>
      <c r="CBW165" s="153"/>
      <c r="CBX165" s="153"/>
      <c r="CBY165" s="153"/>
      <c r="CBZ165" s="153"/>
      <c r="CCA165" s="153"/>
      <c r="CCB165" s="153"/>
      <c r="CCC165" s="153"/>
      <c r="CCD165" s="153"/>
      <c r="CCE165" s="153"/>
      <c r="CCF165" s="153"/>
      <c r="CCG165" s="153"/>
      <c r="CCH165" s="153"/>
      <c r="CCI165" s="153"/>
      <c r="CCJ165" s="153"/>
      <c r="CCK165" s="153"/>
      <c r="CCL165" s="153"/>
      <c r="CCM165" s="153"/>
      <c r="CCN165" s="153"/>
      <c r="CCO165" s="153"/>
      <c r="CCP165" s="153"/>
      <c r="CCQ165" s="153"/>
      <c r="CCR165" s="153"/>
      <c r="CCS165" s="153"/>
      <c r="CCT165" s="153"/>
      <c r="CCU165" s="153"/>
      <c r="CCV165" s="153"/>
      <c r="CCW165" s="153"/>
      <c r="CCX165" s="153"/>
      <c r="CCY165" s="153"/>
      <c r="CCZ165" s="153"/>
      <c r="CDA165" s="153"/>
      <c r="CDB165" s="153"/>
      <c r="CDC165" s="153"/>
      <c r="CDD165" s="153"/>
      <c r="CDE165" s="153"/>
      <c r="CDF165" s="153"/>
      <c r="CDG165" s="153"/>
      <c r="CDH165" s="153"/>
      <c r="CDI165" s="153"/>
      <c r="CDJ165" s="153"/>
      <c r="CDK165" s="153"/>
      <c r="CDL165" s="153"/>
      <c r="CDM165" s="153"/>
      <c r="CDN165" s="153"/>
      <c r="CDO165" s="153"/>
      <c r="CDP165" s="153"/>
      <c r="CDQ165" s="153"/>
      <c r="CDR165" s="153"/>
      <c r="CDS165" s="153"/>
      <c r="CDT165" s="153"/>
      <c r="CDU165" s="153"/>
      <c r="CDV165" s="153"/>
      <c r="CDW165" s="153"/>
      <c r="CDX165" s="153"/>
      <c r="CDY165" s="153"/>
      <c r="CDZ165" s="153"/>
      <c r="CEA165" s="153"/>
      <c r="CEB165" s="153"/>
      <c r="CEC165" s="153"/>
      <c r="CED165" s="153"/>
      <c r="CEE165" s="153"/>
      <c r="CEF165" s="153"/>
      <c r="CEG165" s="153"/>
      <c r="CEH165" s="153"/>
      <c r="CEI165" s="153"/>
      <c r="CEJ165" s="153"/>
      <c r="CEK165" s="153"/>
      <c r="CEL165" s="153"/>
      <c r="CEM165" s="153"/>
      <c r="CEN165" s="153"/>
      <c r="CEO165" s="153"/>
      <c r="CEP165" s="153"/>
      <c r="CEQ165" s="153"/>
      <c r="CER165" s="153"/>
      <c r="CES165" s="153"/>
      <c r="CET165" s="153"/>
      <c r="CEU165" s="153"/>
      <c r="CEV165" s="153"/>
      <c r="CEW165" s="153"/>
      <c r="CEX165" s="153"/>
      <c r="CEY165" s="153"/>
      <c r="CEZ165" s="153"/>
      <c r="CFA165" s="153"/>
      <c r="CFB165" s="153"/>
      <c r="CFC165" s="153"/>
      <c r="CFD165" s="153"/>
      <c r="CFE165" s="153"/>
      <c r="CFF165" s="153"/>
      <c r="CFG165" s="153"/>
      <c r="CFH165" s="153"/>
      <c r="CFI165" s="153"/>
      <c r="CFJ165" s="153"/>
      <c r="CFK165" s="153"/>
      <c r="CFL165" s="153"/>
      <c r="CFM165" s="153"/>
      <c r="CFN165" s="153"/>
      <c r="CFO165" s="153"/>
      <c r="CFP165" s="153"/>
      <c r="CFQ165" s="153"/>
      <c r="CFR165" s="153"/>
      <c r="CFS165" s="153"/>
      <c r="CFT165" s="153"/>
      <c r="CFU165" s="153"/>
      <c r="CFV165" s="153"/>
      <c r="CFW165" s="153"/>
      <c r="CFX165" s="153"/>
      <c r="CFY165" s="153"/>
      <c r="CFZ165" s="153"/>
      <c r="CGA165" s="153"/>
      <c r="CGB165" s="153"/>
      <c r="CGC165" s="153"/>
      <c r="CGD165" s="153"/>
      <c r="CGE165" s="153"/>
      <c r="CGF165" s="153"/>
      <c r="CGG165" s="153"/>
      <c r="CGH165" s="153"/>
      <c r="CGI165" s="153"/>
      <c r="CGJ165" s="153"/>
      <c r="CGK165" s="153"/>
      <c r="CGL165" s="153"/>
      <c r="CGM165" s="153"/>
      <c r="CGN165" s="153"/>
      <c r="CGO165" s="153"/>
      <c r="CGP165" s="153"/>
      <c r="CGQ165" s="153"/>
      <c r="CGR165" s="153"/>
      <c r="CGS165" s="153"/>
      <c r="CGT165" s="153"/>
      <c r="CGU165" s="153"/>
      <c r="CGV165" s="153"/>
      <c r="CGW165" s="153"/>
      <c r="CGX165" s="153"/>
      <c r="CGY165" s="153"/>
      <c r="CGZ165" s="153"/>
      <c r="CHA165" s="153"/>
      <c r="CHB165" s="153"/>
      <c r="CHC165" s="153"/>
      <c r="CHD165" s="153"/>
      <c r="CHE165" s="153"/>
      <c r="CHF165" s="153"/>
      <c r="CHG165" s="153"/>
      <c r="CHH165" s="153"/>
      <c r="CHI165" s="153"/>
      <c r="CHJ165" s="153"/>
      <c r="CHK165" s="153"/>
      <c r="CHL165" s="153"/>
      <c r="CHM165" s="153"/>
      <c r="CHN165" s="153"/>
      <c r="CHO165" s="153"/>
      <c r="CHP165" s="153"/>
      <c r="CHQ165" s="153"/>
      <c r="CHR165" s="153"/>
      <c r="CHS165" s="153"/>
      <c r="CHT165" s="153"/>
      <c r="CHU165" s="153"/>
      <c r="CHV165" s="153"/>
      <c r="CHW165" s="153"/>
      <c r="CHX165" s="153"/>
      <c r="CHY165" s="153"/>
      <c r="CHZ165" s="153"/>
      <c r="CIA165" s="153"/>
      <c r="CIB165" s="153"/>
      <c r="CIC165" s="153"/>
      <c r="CID165" s="153"/>
      <c r="CIE165" s="153"/>
      <c r="CIF165" s="153"/>
      <c r="CIG165" s="153"/>
      <c r="CIH165" s="153"/>
      <c r="CII165" s="153"/>
      <c r="CIJ165" s="153"/>
      <c r="CIK165" s="153"/>
      <c r="CIL165" s="153"/>
      <c r="CIM165" s="153"/>
      <c r="CIN165" s="153"/>
      <c r="CIO165" s="153"/>
      <c r="CIP165" s="153"/>
      <c r="CIQ165" s="153"/>
      <c r="CIR165" s="153"/>
      <c r="CIS165" s="153"/>
      <c r="CIT165" s="153"/>
      <c r="CIU165" s="153"/>
      <c r="CIV165" s="153"/>
      <c r="CIW165" s="153"/>
      <c r="CIX165" s="153"/>
      <c r="CIY165" s="153"/>
      <c r="CIZ165" s="153"/>
      <c r="CJA165" s="153"/>
      <c r="CJB165" s="153"/>
      <c r="CJC165" s="153"/>
      <c r="CJD165" s="153"/>
      <c r="CJE165" s="153"/>
      <c r="CJF165" s="153"/>
      <c r="CJG165" s="153"/>
      <c r="CJH165" s="153"/>
      <c r="CJI165" s="153"/>
      <c r="CJJ165" s="153"/>
      <c r="CJK165" s="153"/>
      <c r="CJL165" s="153"/>
      <c r="CJM165" s="153"/>
      <c r="CJN165" s="153"/>
      <c r="CJO165" s="153"/>
      <c r="CJP165" s="153"/>
      <c r="CJQ165" s="153"/>
      <c r="CJR165" s="153"/>
      <c r="CJS165" s="153"/>
      <c r="CJT165" s="153"/>
      <c r="CJU165" s="153"/>
      <c r="CJV165" s="153"/>
      <c r="CJW165" s="153"/>
      <c r="CJX165" s="153"/>
      <c r="CJY165" s="153"/>
      <c r="CJZ165" s="153"/>
      <c r="CKA165" s="153"/>
      <c r="CKB165" s="153"/>
      <c r="CKC165" s="153"/>
      <c r="CKD165" s="153"/>
      <c r="CKE165" s="153"/>
      <c r="CKF165" s="153"/>
      <c r="CKG165" s="153"/>
      <c r="CKH165" s="153"/>
      <c r="CKI165" s="153"/>
      <c r="CKJ165" s="153"/>
      <c r="CKK165" s="153"/>
      <c r="CKL165" s="153"/>
      <c r="CKM165" s="153"/>
      <c r="CKN165" s="153"/>
      <c r="CKO165" s="153"/>
      <c r="CKP165" s="153"/>
      <c r="CKQ165" s="153"/>
      <c r="CKR165" s="153"/>
      <c r="CKS165" s="153"/>
      <c r="CKT165" s="153"/>
      <c r="CKU165" s="153"/>
      <c r="CKV165" s="153"/>
      <c r="CKW165" s="153"/>
      <c r="CKX165" s="153"/>
      <c r="CKY165" s="153"/>
      <c r="CKZ165" s="153"/>
      <c r="CLA165" s="153"/>
      <c r="CLB165" s="153"/>
      <c r="CLC165" s="153"/>
      <c r="CLD165" s="153"/>
      <c r="CLE165" s="153"/>
      <c r="CLF165" s="153"/>
      <c r="CLG165" s="153"/>
      <c r="CLH165" s="153"/>
      <c r="CLI165" s="153"/>
      <c r="CLJ165" s="153"/>
      <c r="CLK165" s="153"/>
      <c r="CLL165" s="153"/>
      <c r="CLM165" s="153"/>
      <c r="CLN165" s="153"/>
      <c r="CLO165" s="153"/>
      <c r="CLP165" s="153"/>
      <c r="CLQ165" s="153"/>
      <c r="CLR165" s="153"/>
      <c r="CLS165" s="153"/>
      <c r="CLT165" s="153"/>
      <c r="CLU165" s="153"/>
      <c r="CLV165" s="153"/>
      <c r="CLW165" s="153"/>
      <c r="CLX165" s="153"/>
      <c r="CLY165" s="153"/>
      <c r="CLZ165" s="153"/>
      <c r="CMA165" s="153"/>
      <c r="CMB165" s="153"/>
      <c r="CMC165" s="153"/>
      <c r="CMD165" s="153"/>
      <c r="CME165" s="153"/>
      <c r="CMF165" s="153"/>
      <c r="CMG165" s="153"/>
      <c r="CMH165" s="153"/>
      <c r="CMI165" s="153"/>
      <c r="CMJ165" s="153"/>
      <c r="CMK165" s="153"/>
      <c r="CML165" s="153"/>
      <c r="CMM165" s="153"/>
      <c r="CMN165" s="153"/>
      <c r="CMO165" s="153"/>
      <c r="CMP165" s="153"/>
      <c r="CMQ165" s="153"/>
      <c r="CMR165" s="153"/>
      <c r="CMS165" s="153"/>
      <c r="CMT165" s="153"/>
      <c r="CMU165" s="153"/>
      <c r="CMV165" s="153"/>
      <c r="CMW165" s="153"/>
      <c r="CMX165" s="153"/>
      <c r="CMY165" s="153"/>
      <c r="CMZ165" s="153"/>
      <c r="CNA165" s="153"/>
      <c r="CNB165" s="153"/>
      <c r="CNC165" s="153"/>
      <c r="CND165" s="153"/>
      <c r="CNE165" s="153"/>
      <c r="CNF165" s="153"/>
      <c r="CNG165" s="153"/>
      <c r="CNH165" s="153"/>
      <c r="CNI165" s="153"/>
      <c r="CNJ165" s="153"/>
      <c r="CNK165" s="153"/>
      <c r="CNL165" s="153"/>
      <c r="CNM165" s="153"/>
      <c r="CNN165" s="153"/>
      <c r="CNO165" s="153"/>
      <c r="CNP165" s="153"/>
      <c r="CNQ165" s="153"/>
      <c r="CNR165" s="153"/>
      <c r="CNS165" s="153"/>
      <c r="CNT165" s="153"/>
      <c r="CNU165" s="153"/>
      <c r="CNV165" s="153"/>
      <c r="CNW165" s="153"/>
      <c r="CNX165" s="153"/>
      <c r="CNY165" s="153"/>
      <c r="CNZ165" s="153"/>
      <c r="COA165" s="153"/>
      <c r="COB165" s="153"/>
      <c r="COC165" s="153"/>
      <c r="COD165" s="153"/>
      <c r="COE165" s="153"/>
      <c r="COF165" s="153"/>
      <c r="COG165" s="153"/>
      <c r="COH165" s="153"/>
      <c r="COI165" s="153"/>
      <c r="COJ165" s="153"/>
      <c r="COK165" s="153"/>
      <c r="COL165" s="153"/>
      <c r="COM165" s="153"/>
      <c r="CON165" s="153"/>
      <c r="COO165" s="153"/>
      <c r="COP165" s="153"/>
      <c r="COQ165" s="153"/>
      <c r="COR165" s="153"/>
      <c r="COS165" s="153"/>
      <c r="COT165" s="153"/>
      <c r="COU165" s="153"/>
      <c r="COV165" s="153"/>
      <c r="COW165" s="153"/>
      <c r="COX165" s="153"/>
      <c r="COY165" s="153"/>
      <c r="COZ165" s="153"/>
      <c r="CPA165" s="153"/>
      <c r="CPB165" s="153"/>
      <c r="CPC165" s="153"/>
      <c r="CPD165" s="153"/>
      <c r="CPE165" s="153"/>
      <c r="CPF165" s="153"/>
      <c r="CPG165" s="153"/>
      <c r="CPH165" s="153"/>
      <c r="CPI165" s="153"/>
      <c r="CPJ165" s="153"/>
      <c r="CPK165" s="153"/>
      <c r="CPL165" s="153"/>
      <c r="CPM165" s="153"/>
      <c r="CPN165" s="153"/>
      <c r="CPO165" s="153"/>
      <c r="CPP165" s="153"/>
      <c r="CPQ165" s="153"/>
      <c r="CPR165" s="153"/>
      <c r="CPS165" s="153"/>
      <c r="CPT165" s="153"/>
      <c r="CPU165" s="153"/>
      <c r="CPV165" s="153"/>
      <c r="CPW165" s="153"/>
      <c r="CPX165" s="153"/>
      <c r="CPY165" s="153"/>
      <c r="CPZ165" s="153"/>
      <c r="CQA165" s="153"/>
      <c r="CQB165" s="153"/>
      <c r="CQC165" s="153"/>
      <c r="CQD165" s="153"/>
      <c r="CQE165" s="153"/>
      <c r="CQF165" s="153"/>
      <c r="CQG165" s="153"/>
      <c r="CQH165" s="153"/>
      <c r="CQI165" s="153"/>
      <c r="CQJ165" s="153"/>
      <c r="CQK165" s="153"/>
      <c r="CQL165" s="153"/>
      <c r="CQM165" s="153"/>
      <c r="CQN165" s="153"/>
      <c r="CQO165" s="153"/>
      <c r="CQP165" s="153"/>
      <c r="CQQ165" s="153"/>
      <c r="CQR165" s="153"/>
      <c r="CQS165" s="153"/>
      <c r="CQT165" s="153"/>
      <c r="CQU165" s="153"/>
      <c r="CQV165" s="153"/>
      <c r="CQW165" s="153"/>
      <c r="CQX165" s="153"/>
      <c r="CQY165" s="153"/>
      <c r="CQZ165" s="153"/>
      <c r="CRA165" s="153"/>
      <c r="CRB165" s="153"/>
      <c r="CRC165" s="153"/>
      <c r="CRD165" s="153"/>
      <c r="CRE165" s="153"/>
      <c r="CRF165" s="153"/>
      <c r="CRG165" s="153"/>
      <c r="CRH165" s="153"/>
      <c r="CRI165" s="153"/>
      <c r="CRJ165" s="153"/>
      <c r="CRK165" s="153"/>
      <c r="CRL165" s="153"/>
      <c r="CRM165" s="153"/>
      <c r="CRN165" s="153"/>
      <c r="CRO165" s="153"/>
      <c r="CRP165" s="153"/>
      <c r="CRQ165" s="153"/>
      <c r="CRR165" s="153"/>
      <c r="CRS165" s="153"/>
      <c r="CRT165" s="153"/>
      <c r="CRU165" s="153"/>
      <c r="CRV165" s="153"/>
      <c r="CRW165" s="153"/>
      <c r="CRX165" s="153"/>
      <c r="CRY165" s="153"/>
      <c r="CRZ165" s="153"/>
      <c r="CSA165" s="153"/>
      <c r="CSB165" s="153"/>
      <c r="CSC165" s="153"/>
      <c r="CSD165" s="153"/>
      <c r="CSE165" s="153"/>
      <c r="CSF165" s="153"/>
      <c r="CSG165" s="153"/>
      <c r="CSH165" s="153"/>
      <c r="CSI165" s="153"/>
      <c r="CSJ165" s="153"/>
      <c r="CSK165" s="153"/>
      <c r="CSL165" s="153"/>
      <c r="CSM165" s="153"/>
      <c r="CSN165" s="153"/>
      <c r="CSO165" s="153"/>
      <c r="CSP165" s="153"/>
      <c r="CSQ165" s="153"/>
      <c r="CSR165" s="153"/>
      <c r="CSS165" s="153"/>
      <c r="CST165" s="153"/>
      <c r="CSU165" s="153"/>
      <c r="CSV165" s="153"/>
      <c r="CSW165" s="153"/>
      <c r="CSX165" s="153"/>
      <c r="CSY165" s="153"/>
      <c r="CSZ165" s="153"/>
      <c r="CTA165" s="153"/>
      <c r="CTB165" s="153"/>
      <c r="CTC165" s="153"/>
      <c r="CTD165" s="153"/>
      <c r="CTE165" s="153"/>
      <c r="CTF165" s="153"/>
      <c r="CTG165" s="153"/>
      <c r="CTH165" s="153"/>
      <c r="CTI165" s="153"/>
      <c r="CTJ165" s="153"/>
      <c r="CTK165" s="153"/>
      <c r="CTL165" s="153"/>
      <c r="CTM165" s="153"/>
      <c r="CTN165" s="153"/>
      <c r="CTO165" s="153"/>
      <c r="CTP165" s="153"/>
      <c r="CTQ165" s="153"/>
      <c r="CTR165" s="153"/>
      <c r="CTS165" s="153"/>
      <c r="CTT165" s="153"/>
      <c r="CTU165" s="153"/>
      <c r="CTV165" s="153"/>
      <c r="CTW165" s="153"/>
      <c r="CTX165" s="153"/>
      <c r="CTY165" s="153"/>
      <c r="CTZ165" s="153"/>
      <c r="CUA165" s="153"/>
      <c r="CUB165" s="153"/>
      <c r="CUC165" s="153"/>
      <c r="CUD165" s="153"/>
      <c r="CUE165" s="153"/>
      <c r="CUF165" s="153"/>
      <c r="CUG165" s="153"/>
      <c r="CUH165" s="153"/>
      <c r="CUI165" s="153"/>
      <c r="CUJ165" s="153"/>
      <c r="CUK165" s="153"/>
      <c r="CUL165" s="153"/>
      <c r="CUM165" s="153"/>
      <c r="CUN165" s="153"/>
      <c r="CUO165" s="153"/>
      <c r="CUP165" s="153"/>
      <c r="CUQ165" s="153"/>
      <c r="CUR165" s="153"/>
      <c r="CUS165" s="153"/>
      <c r="CUT165" s="153"/>
      <c r="CUU165" s="153"/>
      <c r="CUV165" s="153"/>
      <c r="CUW165" s="153"/>
      <c r="CUX165" s="153"/>
      <c r="CUY165" s="153"/>
      <c r="CUZ165" s="153"/>
      <c r="CVA165" s="153"/>
      <c r="CVB165" s="153"/>
      <c r="CVC165" s="153"/>
      <c r="CVD165" s="153"/>
      <c r="CVE165" s="153"/>
      <c r="CVF165" s="153"/>
      <c r="CVG165" s="153"/>
      <c r="CVH165" s="153"/>
      <c r="CVI165" s="153"/>
      <c r="CVJ165" s="153"/>
      <c r="CVK165" s="153"/>
      <c r="CVL165" s="153"/>
      <c r="CVM165" s="153"/>
      <c r="CVN165" s="153"/>
      <c r="CVO165" s="153"/>
      <c r="CVP165" s="153"/>
      <c r="CVQ165" s="153"/>
      <c r="CVR165" s="153"/>
      <c r="CVS165" s="153"/>
      <c r="CVT165" s="153"/>
      <c r="CVU165" s="153"/>
      <c r="CVV165" s="153"/>
      <c r="CVW165" s="153"/>
      <c r="CVX165" s="153"/>
      <c r="CVY165" s="153"/>
      <c r="CVZ165" s="153"/>
      <c r="CWA165" s="153"/>
      <c r="CWB165" s="153"/>
      <c r="CWC165" s="153"/>
      <c r="CWD165" s="153"/>
      <c r="CWE165" s="153"/>
      <c r="CWF165" s="153"/>
      <c r="CWG165" s="153"/>
      <c r="CWH165" s="153"/>
      <c r="CWI165" s="153"/>
      <c r="CWJ165" s="153"/>
      <c r="CWK165" s="153"/>
      <c r="CWL165" s="153"/>
      <c r="CWM165" s="153"/>
      <c r="CWN165" s="153"/>
      <c r="CWO165" s="153"/>
      <c r="CWP165" s="153"/>
      <c r="CWQ165" s="153"/>
      <c r="CWR165" s="153"/>
      <c r="CWS165" s="153"/>
      <c r="CWT165" s="153"/>
      <c r="CWU165" s="153"/>
      <c r="CWV165" s="153"/>
      <c r="CWW165" s="153"/>
      <c r="CWX165" s="153"/>
      <c r="CWY165" s="153"/>
      <c r="CWZ165" s="153"/>
      <c r="CXA165" s="153"/>
      <c r="CXB165" s="153"/>
      <c r="CXC165" s="153"/>
      <c r="CXD165" s="153"/>
      <c r="CXE165" s="153"/>
      <c r="CXF165" s="153"/>
      <c r="CXG165" s="153"/>
      <c r="CXH165" s="153"/>
      <c r="CXI165" s="153"/>
      <c r="CXJ165" s="153"/>
      <c r="CXK165" s="153"/>
      <c r="CXL165" s="153"/>
      <c r="CXM165" s="153"/>
      <c r="CXN165" s="153"/>
      <c r="CXO165" s="153"/>
      <c r="CXP165" s="153"/>
      <c r="CXQ165" s="153"/>
      <c r="CXR165" s="153"/>
      <c r="CXS165" s="153"/>
      <c r="CXT165" s="153"/>
      <c r="CXU165" s="153"/>
      <c r="CXV165" s="153"/>
      <c r="CXW165" s="153"/>
      <c r="CXX165" s="153"/>
      <c r="CXY165" s="153"/>
      <c r="CXZ165" s="153"/>
      <c r="CYA165" s="153"/>
      <c r="CYB165" s="153"/>
      <c r="CYC165" s="153"/>
      <c r="CYD165" s="153"/>
      <c r="CYE165" s="153"/>
      <c r="CYF165" s="153"/>
      <c r="CYG165" s="153"/>
      <c r="CYH165" s="153"/>
      <c r="CYI165" s="153"/>
      <c r="CYJ165" s="153"/>
      <c r="CYK165" s="153"/>
      <c r="CYL165" s="153"/>
      <c r="CYM165" s="153"/>
      <c r="CYN165" s="153"/>
      <c r="CYO165" s="153"/>
      <c r="CYP165" s="153"/>
      <c r="CYQ165" s="153"/>
      <c r="CYR165" s="153"/>
      <c r="CYS165" s="153"/>
      <c r="CYT165" s="153"/>
      <c r="CYU165" s="153"/>
      <c r="CYV165" s="153"/>
      <c r="CYW165" s="153"/>
      <c r="CYX165" s="153"/>
      <c r="CYY165" s="153"/>
      <c r="CYZ165" s="153"/>
      <c r="CZA165" s="153"/>
      <c r="CZB165" s="153"/>
      <c r="CZC165" s="153"/>
      <c r="CZD165" s="153"/>
      <c r="CZE165" s="153"/>
      <c r="CZF165" s="153"/>
      <c r="CZG165" s="153"/>
      <c r="CZH165" s="153"/>
      <c r="CZI165" s="153"/>
      <c r="CZJ165" s="153"/>
      <c r="CZK165" s="153"/>
      <c r="CZL165" s="153"/>
      <c r="CZM165" s="153"/>
      <c r="CZN165" s="153"/>
      <c r="CZO165" s="153"/>
      <c r="CZP165" s="153"/>
      <c r="CZQ165" s="153"/>
      <c r="CZR165" s="153"/>
      <c r="CZS165" s="153"/>
      <c r="CZT165" s="153"/>
      <c r="CZU165" s="153"/>
      <c r="CZV165" s="153"/>
      <c r="CZW165" s="153"/>
      <c r="CZX165" s="153"/>
      <c r="CZY165" s="153"/>
      <c r="CZZ165" s="153"/>
      <c r="DAA165" s="153"/>
      <c r="DAB165" s="153"/>
      <c r="DAC165" s="153"/>
      <c r="DAD165" s="153"/>
      <c r="DAE165" s="153"/>
      <c r="DAF165" s="153"/>
      <c r="DAG165" s="153"/>
      <c r="DAH165" s="153"/>
      <c r="DAI165" s="153"/>
      <c r="DAJ165" s="153"/>
      <c r="DAK165" s="153"/>
      <c r="DAL165" s="153"/>
      <c r="DAM165" s="153"/>
      <c r="DAN165" s="153"/>
      <c r="DAO165" s="153"/>
      <c r="DAP165" s="153"/>
      <c r="DAQ165" s="153"/>
      <c r="DAR165" s="153"/>
      <c r="DAS165" s="153"/>
      <c r="DAT165" s="153"/>
      <c r="DAU165" s="153"/>
      <c r="DAV165" s="153"/>
      <c r="DAW165" s="153"/>
      <c r="DAX165" s="153"/>
      <c r="DAY165" s="153"/>
      <c r="DAZ165" s="153"/>
      <c r="DBA165" s="153"/>
      <c r="DBB165" s="153"/>
      <c r="DBC165" s="153"/>
      <c r="DBD165" s="153"/>
      <c r="DBE165" s="153"/>
      <c r="DBF165" s="153"/>
      <c r="DBG165" s="153"/>
      <c r="DBH165" s="153"/>
      <c r="DBI165" s="153"/>
      <c r="DBJ165" s="153"/>
      <c r="DBK165" s="153"/>
      <c r="DBL165" s="153"/>
      <c r="DBM165" s="153"/>
      <c r="DBN165" s="153"/>
      <c r="DBO165" s="153"/>
      <c r="DBP165" s="153"/>
      <c r="DBQ165" s="153"/>
      <c r="DBR165" s="153"/>
      <c r="DBS165" s="153"/>
      <c r="DBT165" s="153"/>
      <c r="DBU165" s="153"/>
      <c r="DBV165" s="153"/>
      <c r="DBW165" s="153"/>
      <c r="DBX165" s="153"/>
      <c r="DBY165" s="153"/>
      <c r="DBZ165" s="153"/>
      <c r="DCA165" s="153"/>
      <c r="DCB165" s="153"/>
      <c r="DCC165" s="153"/>
      <c r="DCD165" s="153"/>
      <c r="DCE165" s="153"/>
      <c r="DCF165" s="153"/>
      <c r="DCG165" s="153"/>
      <c r="DCH165" s="153"/>
      <c r="DCI165" s="153"/>
      <c r="DCJ165" s="153"/>
      <c r="DCK165" s="153"/>
      <c r="DCL165" s="153"/>
      <c r="DCM165" s="153"/>
      <c r="DCN165" s="153"/>
      <c r="DCO165" s="153"/>
      <c r="DCP165" s="153"/>
      <c r="DCQ165" s="153"/>
      <c r="DCR165" s="153"/>
      <c r="DCS165" s="153"/>
      <c r="DCT165" s="153"/>
      <c r="DCU165" s="153"/>
      <c r="DCV165" s="153"/>
      <c r="DCW165" s="153"/>
      <c r="DCX165" s="153"/>
      <c r="DCY165" s="153"/>
      <c r="DCZ165" s="153"/>
      <c r="DDA165" s="153"/>
      <c r="DDB165" s="153"/>
      <c r="DDC165" s="153"/>
      <c r="DDD165" s="153"/>
      <c r="DDE165" s="153"/>
      <c r="DDF165" s="153"/>
      <c r="DDG165" s="153"/>
      <c r="DDH165" s="153"/>
      <c r="DDI165" s="153"/>
      <c r="DDJ165" s="153"/>
      <c r="DDK165" s="153"/>
      <c r="DDL165" s="153"/>
      <c r="DDM165" s="153"/>
      <c r="DDN165" s="153"/>
      <c r="DDO165" s="153"/>
      <c r="DDP165" s="153"/>
      <c r="DDQ165" s="153"/>
      <c r="DDR165" s="153"/>
      <c r="DDS165" s="153"/>
      <c r="DDT165" s="153"/>
      <c r="DDU165" s="153"/>
      <c r="DDV165" s="153"/>
      <c r="DDW165" s="153"/>
      <c r="DDX165" s="153"/>
      <c r="DDY165" s="153"/>
      <c r="DDZ165" s="153"/>
      <c r="DEA165" s="153"/>
      <c r="DEB165" s="153"/>
      <c r="DEC165" s="153"/>
      <c r="DED165" s="153"/>
      <c r="DEE165" s="153"/>
      <c r="DEF165" s="153"/>
      <c r="DEG165" s="153"/>
      <c r="DEH165" s="153"/>
      <c r="DEI165" s="153"/>
      <c r="DEJ165" s="153"/>
      <c r="DEK165" s="153"/>
      <c r="DEL165" s="153"/>
      <c r="DEM165" s="153"/>
      <c r="DEN165" s="153"/>
      <c r="DEO165" s="153"/>
      <c r="DEP165" s="153"/>
      <c r="DEQ165" s="153"/>
      <c r="DER165" s="153"/>
      <c r="DES165" s="153"/>
      <c r="DET165" s="153"/>
      <c r="DEU165" s="153"/>
      <c r="DEV165" s="153"/>
      <c r="DEW165" s="153"/>
      <c r="DEX165" s="153"/>
      <c r="DEY165" s="153"/>
      <c r="DEZ165" s="153"/>
      <c r="DFA165" s="153"/>
      <c r="DFB165" s="153"/>
      <c r="DFC165" s="153"/>
      <c r="DFD165" s="153"/>
      <c r="DFE165" s="153"/>
      <c r="DFF165" s="153"/>
      <c r="DFG165" s="153"/>
      <c r="DFH165" s="153"/>
      <c r="DFI165" s="153"/>
      <c r="DFJ165" s="153"/>
      <c r="DFK165" s="153"/>
      <c r="DFL165" s="153"/>
      <c r="DFM165" s="153"/>
      <c r="DFN165" s="153"/>
      <c r="DFO165" s="153"/>
      <c r="DFP165" s="153"/>
      <c r="DFQ165" s="153"/>
      <c r="DFR165" s="153"/>
      <c r="DFS165" s="153"/>
      <c r="DFT165" s="153"/>
      <c r="DFU165" s="153"/>
      <c r="DFV165" s="153"/>
      <c r="DFW165" s="153"/>
      <c r="DFX165" s="153"/>
      <c r="DFY165" s="153"/>
      <c r="DFZ165" s="153"/>
      <c r="DGA165" s="153"/>
      <c r="DGB165" s="153"/>
      <c r="DGC165" s="153"/>
      <c r="DGD165" s="153"/>
      <c r="DGE165" s="153"/>
      <c r="DGF165" s="153"/>
      <c r="DGG165" s="153"/>
      <c r="DGH165" s="153"/>
      <c r="DGI165" s="153"/>
      <c r="DGJ165" s="153"/>
      <c r="DGK165" s="153"/>
      <c r="DGL165" s="153"/>
      <c r="DGM165" s="153"/>
      <c r="DGN165" s="153"/>
      <c r="DGO165" s="153"/>
      <c r="DGP165" s="153"/>
      <c r="DGQ165" s="153"/>
      <c r="DGR165" s="153"/>
      <c r="DGS165" s="153"/>
      <c r="DGT165" s="153"/>
      <c r="DGU165" s="153"/>
      <c r="DGV165" s="153"/>
      <c r="DGW165" s="153"/>
      <c r="DGX165" s="153"/>
      <c r="DGY165" s="153"/>
      <c r="DGZ165" s="153"/>
      <c r="DHA165" s="153"/>
      <c r="DHB165" s="153"/>
      <c r="DHC165" s="153"/>
      <c r="DHD165" s="153"/>
      <c r="DHE165" s="153"/>
      <c r="DHF165" s="153"/>
      <c r="DHG165" s="153"/>
      <c r="DHH165" s="153"/>
      <c r="DHI165" s="153"/>
      <c r="DHJ165" s="153"/>
      <c r="DHK165" s="153"/>
      <c r="DHL165" s="153"/>
      <c r="DHM165" s="153"/>
      <c r="DHN165" s="153"/>
      <c r="DHO165" s="153"/>
      <c r="DHP165" s="153"/>
      <c r="DHQ165" s="153"/>
      <c r="DHR165" s="153"/>
      <c r="DHS165" s="153"/>
      <c r="DHT165" s="153"/>
      <c r="DHU165" s="153"/>
      <c r="DHV165" s="153"/>
      <c r="DHW165" s="153"/>
      <c r="DHX165" s="153"/>
      <c r="DHY165" s="153"/>
      <c r="DHZ165" s="153"/>
      <c r="DIA165" s="153"/>
      <c r="DIB165" s="153"/>
      <c r="DIC165" s="153"/>
      <c r="DID165" s="153"/>
      <c r="DIE165" s="153"/>
      <c r="DIF165" s="153"/>
      <c r="DIG165" s="153"/>
      <c r="DIH165" s="153"/>
      <c r="DII165" s="153"/>
      <c r="DIJ165" s="153"/>
      <c r="DIK165" s="153"/>
      <c r="DIL165" s="153"/>
      <c r="DIM165" s="153"/>
      <c r="DIN165" s="153"/>
      <c r="DIO165" s="153"/>
      <c r="DIP165" s="153"/>
      <c r="DIQ165" s="153"/>
      <c r="DIR165" s="153"/>
      <c r="DIS165" s="153"/>
      <c r="DIT165" s="153"/>
      <c r="DIU165" s="153"/>
      <c r="DIV165" s="153"/>
      <c r="DIW165" s="153"/>
      <c r="DIX165" s="153"/>
      <c r="DIY165" s="153"/>
      <c r="DIZ165" s="153"/>
      <c r="DJA165" s="153"/>
      <c r="DJB165" s="153"/>
      <c r="DJC165" s="153"/>
      <c r="DJD165" s="153"/>
      <c r="DJE165" s="153"/>
      <c r="DJF165" s="153"/>
      <c r="DJG165" s="153"/>
      <c r="DJH165" s="153"/>
      <c r="DJI165" s="153"/>
      <c r="DJJ165" s="153"/>
      <c r="DJK165" s="153"/>
      <c r="DJL165" s="153"/>
      <c r="DJM165" s="153"/>
      <c r="DJN165" s="153"/>
      <c r="DJO165" s="153"/>
      <c r="DJP165" s="153"/>
      <c r="DJQ165" s="153"/>
      <c r="DJR165" s="153"/>
      <c r="DJS165" s="153"/>
      <c r="DJT165" s="153"/>
      <c r="DJU165" s="153"/>
      <c r="DJV165" s="153"/>
      <c r="DJW165" s="153"/>
      <c r="DJX165" s="153"/>
      <c r="DJY165" s="153"/>
      <c r="DJZ165" s="153"/>
      <c r="DKA165" s="153"/>
      <c r="DKB165" s="153"/>
      <c r="DKC165" s="153"/>
      <c r="DKD165" s="153"/>
      <c r="DKE165" s="153"/>
      <c r="DKF165" s="153"/>
      <c r="DKG165" s="153"/>
      <c r="DKH165" s="153"/>
      <c r="DKI165" s="153"/>
      <c r="DKJ165" s="153"/>
      <c r="DKK165" s="153"/>
      <c r="DKL165" s="153"/>
      <c r="DKM165" s="153"/>
      <c r="DKN165" s="153"/>
      <c r="DKO165" s="153"/>
      <c r="DKP165" s="153"/>
      <c r="DKQ165" s="153"/>
      <c r="DKR165" s="153"/>
      <c r="DKS165" s="153"/>
      <c r="DKT165" s="153"/>
      <c r="DKU165" s="153"/>
      <c r="DKV165" s="153"/>
      <c r="DKW165" s="153"/>
      <c r="DKX165" s="153"/>
      <c r="DKY165" s="153"/>
      <c r="DKZ165" s="153"/>
      <c r="DLA165" s="153"/>
      <c r="DLB165" s="153"/>
      <c r="DLC165" s="153"/>
      <c r="DLD165" s="153"/>
      <c r="DLE165" s="153"/>
      <c r="DLF165" s="153"/>
      <c r="DLG165" s="153"/>
      <c r="DLH165" s="153"/>
      <c r="DLI165" s="153"/>
      <c r="DLJ165" s="153"/>
      <c r="DLK165" s="153"/>
      <c r="DLL165" s="153"/>
      <c r="DLM165" s="153"/>
      <c r="DLN165" s="153"/>
      <c r="DLO165" s="153"/>
      <c r="DLP165" s="153"/>
      <c r="DLQ165" s="153"/>
      <c r="DLR165" s="153"/>
      <c r="DLS165" s="153"/>
      <c r="DLT165" s="153"/>
      <c r="DLU165" s="153"/>
      <c r="DLV165" s="153"/>
      <c r="DLW165" s="153"/>
      <c r="DLX165" s="153"/>
      <c r="DLY165" s="153"/>
      <c r="DLZ165" s="153"/>
      <c r="DMA165" s="153"/>
      <c r="DMB165" s="153"/>
      <c r="DMC165" s="153"/>
      <c r="DMD165" s="153"/>
      <c r="DME165" s="153"/>
      <c r="DMF165" s="153"/>
      <c r="DMG165" s="153"/>
      <c r="DMH165" s="153"/>
      <c r="DMI165" s="153"/>
      <c r="DMJ165" s="153"/>
      <c r="DMK165" s="153"/>
      <c r="DML165" s="153"/>
      <c r="DMM165" s="153"/>
      <c r="DMN165" s="153"/>
      <c r="DMO165" s="153"/>
      <c r="DMP165" s="153"/>
      <c r="DMQ165" s="153"/>
      <c r="DMR165" s="153"/>
      <c r="DMS165" s="153"/>
      <c r="DMT165" s="153"/>
      <c r="DMU165" s="153"/>
      <c r="DMV165" s="153"/>
      <c r="DMW165" s="153"/>
      <c r="DMX165" s="153"/>
      <c r="DMY165" s="153"/>
      <c r="DMZ165" s="153"/>
      <c r="DNA165" s="153"/>
      <c r="DNB165" s="153"/>
      <c r="DNC165" s="153"/>
      <c r="DND165" s="153"/>
      <c r="DNE165" s="153"/>
      <c r="DNF165" s="153"/>
      <c r="DNG165" s="153"/>
      <c r="DNH165" s="153"/>
      <c r="DNI165" s="153"/>
      <c r="DNJ165" s="153"/>
      <c r="DNK165" s="153"/>
      <c r="DNL165" s="153"/>
      <c r="DNM165" s="153"/>
      <c r="DNN165" s="153"/>
      <c r="DNO165" s="153"/>
      <c r="DNP165" s="153"/>
      <c r="DNQ165" s="153"/>
      <c r="DNR165" s="153"/>
      <c r="DNS165" s="153"/>
      <c r="DNT165" s="153"/>
      <c r="DNU165" s="153"/>
      <c r="DNV165" s="153"/>
      <c r="DNW165" s="153"/>
      <c r="DNX165" s="153"/>
      <c r="DNY165" s="153"/>
      <c r="DNZ165" s="153"/>
      <c r="DOA165" s="153"/>
      <c r="DOB165" s="153"/>
      <c r="DOC165" s="153"/>
      <c r="DOD165" s="153"/>
      <c r="DOE165" s="153"/>
      <c r="DOF165" s="153"/>
      <c r="DOG165" s="153"/>
      <c r="DOH165" s="153"/>
      <c r="DOI165" s="153"/>
      <c r="DOJ165" s="153"/>
      <c r="DOK165" s="153"/>
      <c r="DOL165" s="153"/>
      <c r="DOM165" s="153"/>
      <c r="DON165" s="153"/>
      <c r="DOO165" s="153"/>
      <c r="DOP165" s="153"/>
      <c r="DOQ165" s="153"/>
      <c r="DOR165" s="153"/>
      <c r="DOS165" s="153"/>
      <c r="DOT165" s="153"/>
      <c r="DOU165" s="153"/>
      <c r="DOV165" s="153"/>
      <c r="DOW165" s="153"/>
      <c r="DOX165" s="153"/>
      <c r="DOY165" s="153"/>
      <c r="DOZ165" s="153"/>
      <c r="DPA165" s="153"/>
      <c r="DPB165" s="153"/>
      <c r="DPC165" s="153"/>
      <c r="DPD165" s="153"/>
      <c r="DPE165" s="153"/>
      <c r="DPF165" s="153"/>
      <c r="DPG165" s="153"/>
      <c r="DPH165" s="153"/>
      <c r="DPI165" s="153"/>
      <c r="DPJ165" s="153"/>
      <c r="DPK165" s="153"/>
      <c r="DPL165" s="153"/>
      <c r="DPM165" s="153"/>
      <c r="DPN165" s="153"/>
      <c r="DPO165" s="153"/>
      <c r="DPP165" s="153"/>
      <c r="DPQ165" s="153"/>
      <c r="DPR165" s="153"/>
      <c r="DPS165" s="153"/>
      <c r="DPT165" s="153"/>
      <c r="DPU165" s="153"/>
      <c r="DPV165" s="153"/>
      <c r="DPW165" s="153"/>
      <c r="DPX165" s="153"/>
      <c r="DPY165" s="153"/>
      <c r="DPZ165" s="153"/>
      <c r="DQA165" s="153"/>
      <c r="DQB165" s="153"/>
      <c r="DQC165" s="153"/>
      <c r="DQD165" s="153"/>
      <c r="DQE165" s="153"/>
      <c r="DQF165" s="153"/>
      <c r="DQG165" s="153"/>
      <c r="DQH165" s="153"/>
      <c r="DQI165" s="153"/>
      <c r="DQJ165" s="153"/>
      <c r="DQK165" s="153"/>
      <c r="DQL165" s="153"/>
      <c r="DQM165" s="153"/>
      <c r="DQN165" s="153"/>
      <c r="DQO165" s="153"/>
      <c r="DQP165" s="153"/>
      <c r="DQQ165" s="153"/>
      <c r="DQR165" s="153"/>
      <c r="DQS165" s="153"/>
      <c r="DQT165" s="153"/>
      <c r="DQU165" s="153"/>
      <c r="DQV165" s="153"/>
      <c r="DQW165" s="153"/>
      <c r="DQX165" s="153"/>
      <c r="DQY165" s="153"/>
      <c r="DQZ165" s="153"/>
      <c r="DRA165" s="153"/>
      <c r="DRB165" s="153"/>
      <c r="DRC165" s="153"/>
      <c r="DRD165" s="153"/>
      <c r="DRE165" s="153"/>
      <c r="DRF165" s="153"/>
      <c r="DRG165" s="153"/>
      <c r="DRH165" s="153"/>
      <c r="DRI165" s="153"/>
      <c r="DRJ165" s="153"/>
      <c r="DRK165" s="153"/>
      <c r="DRL165" s="153"/>
      <c r="DRM165" s="153"/>
      <c r="DRN165" s="153"/>
      <c r="DRO165" s="153"/>
      <c r="DRP165" s="153"/>
      <c r="DRQ165" s="153"/>
      <c r="DRR165" s="153"/>
      <c r="DRS165" s="153"/>
      <c r="DRT165" s="153"/>
      <c r="DRU165" s="153"/>
      <c r="DRV165" s="153"/>
      <c r="DRW165" s="153"/>
      <c r="DRX165" s="153"/>
      <c r="DRY165" s="153"/>
      <c r="DRZ165" s="153"/>
      <c r="DSA165" s="153"/>
      <c r="DSB165" s="153"/>
      <c r="DSC165" s="153"/>
      <c r="DSD165" s="153"/>
      <c r="DSE165" s="153"/>
      <c r="DSF165" s="153"/>
      <c r="DSG165" s="153"/>
      <c r="DSH165" s="153"/>
      <c r="DSI165" s="153"/>
      <c r="DSJ165" s="153"/>
      <c r="DSK165" s="153"/>
      <c r="DSL165" s="153"/>
      <c r="DSM165" s="153"/>
      <c r="DSN165" s="153"/>
      <c r="DSO165" s="153"/>
      <c r="DSP165" s="153"/>
      <c r="DSQ165" s="153"/>
      <c r="DSR165" s="153"/>
      <c r="DSS165" s="153"/>
      <c r="DST165" s="153"/>
      <c r="DSU165" s="153"/>
      <c r="DSV165" s="153"/>
      <c r="DSW165" s="153"/>
      <c r="DSX165" s="153"/>
      <c r="DSY165" s="153"/>
      <c r="DSZ165" s="153"/>
      <c r="DTA165" s="153"/>
      <c r="DTB165" s="153"/>
      <c r="DTC165" s="153"/>
      <c r="DTD165" s="153"/>
      <c r="DTE165" s="153"/>
      <c r="DTF165" s="153"/>
      <c r="DTG165" s="153"/>
      <c r="DTH165" s="153"/>
      <c r="DTI165" s="153"/>
      <c r="DTJ165" s="153"/>
      <c r="DTK165" s="153"/>
      <c r="DTL165" s="153"/>
      <c r="DTM165" s="153"/>
      <c r="DTN165" s="153"/>
      <c r="DTO165" s="153"/>
      <c r="DTP165" s="153"/>
      <c r="DTQ165" s="153"/>
      <c r="DTR165" s="153"/>
      <c r="DTS165" s="153"/>
      <c r="DTT165" s="153"/>
      <c r="DTU165" s="153"/>
      <c r="DTV165" s="153"/>
      <c r="DTW165" s="153"/>
      <c r="DTX165" s="153"/>
      <c r="DTY165" s="153"/>
      <c r="DTZ165" s="153"/>
      <c r="DUA165" s="153"/>
      <c r="DUB165" s="153"/>
      <c r="DUC165" s="153"/>
      <c r="DUD165" s="153"/>
      <c r="DUE165" s="153"/>
      <c r="DUF165" s="153"/>
      <c r="DUG165" s="153"/>
      <c r="DUH165" s="153"/>
      <c r="DUI165" s="153"/>
      <c r="DUJ165" s="153"/>
      <c r="DUK165" s="153"/>
      <c r="DUL165" s="153"/>
      <c r="DUM165" s="153"/>
      <c r="DUN165" s="153"/>
      <c r="DUO165" s="153"/>
      <c r="DUP165" s="153"/>
      <c r="DUQ165" s="153"/>
      <c r="DUR165" s="153"/>
      <c r="DUS165" s="153"/>
      <c r="DUT165" s="153"/>
      <c r="DUU165" s="153"/>
      <c r="DUV165" s="153"/>
      <c r="DUW165" s="153"/>
      <c r="DUX165" s="153"/>
      <c r="DUY165" s="153"/>
      <c r="DUZ165" s="153"/>
      <c r="DVA165" s="153"/>
      <c r="DVB165" s="153"/>
      <c r="DVC165" s="153"/>
      <c r="DVD165" s="153"/>
      <c r="DVE165" s="153"/>
      <c r="DVF165" s="153"/>
      <c r="DVG165" s="153"/>
      <c r="DVH165" s="153"/>
      <c r="DVI165" s="153"/>
      <c r="DVJ165" s="153"/>
      <c r="DVK165" s="153"/>
      <c r="DVL165" s="153"/>
      <c r="DVM165" s="153"/>
      <c r="DVN165" s="153"/>
      <c r="DVO165" s="153"/>
      <c r="DVP165" s="153"/>
      <c r="DVQ165" s="153"/>
      <c r="DVR165" s="153"/>
      <c r="DVS165" s="153"/>
      <c r="DVT165" s="153"/>
      <c r="DVU165" s="153"/>
      <c r="DVV165" s="153"/>
      <c r="DVW165" s="153"/>
      <c r="DVX165" s="153"/>
      <c r="DVY165" s="153"/>
      <c r="DVZ165" s="153"/>
      <c r="DWA165" s="153"/>
      <c r="DWB165" s="153"/>
      <c r="DWC165" s="153"/>
      <c r="DWD165" s="153"/>
      <c r="DWE165" s="153"/>
      <c r="DWF165" s="153"/>
      <c r="DWG165" s="153"/>
      <c r="DWH165" s="153"/>
      <c r="DWI165" s="153"/>
      <c r="DWJ165" s="153"/>
      <c r="DWK165" s="153"/>
      <c r="DWL165" s="153"/>
      <c r="DWM165" s="153"/>
      <c r="DWN165" s="153"/>
      <c r="DWO165" s="153"/>
      <c r="DWP165" s="153"/>
      <c r="DWQ165" s="153"/>
      <c r="DWR165" s="153"/>
      <c r="DWS165" s="153"/>
      <c r="DWT165" s="153"/>
      <c r="DWU165" s="153"/>
      <c r="DWV165" s="153"/>
      <c r="DWW165" s="153"/>
      <c r="DWX165" s="153"/>
      <c r="DWY165" s="153"/>
      <c r="DWZ165" s="153"/>
      <c r="DXA165" s="153"/>
      <c r="DXB165" s="153"/>
      <c r="DXC165" s="153"/>
      <c r="DXD165" s="153"/>
      <c r="DXE165" s="153"/>
      <c r="DXF165" s="153"/>
      <c r="DXG165" s="153"/>
      <c r="DXH165" s="153"/>
      <c r="DXI165" s="153"/>
      <c r="DXJ165" s="153"/>
      <c r="DXK165" s="153"/>
      <c r="DXL165" s="153"/>
      <c r="DXM165" s="153"/>
      <c r="DXN165" s="153"/>
      <c r="DXO165" s="153"/>
      <c r="DXP165" s="153"/>
      <c r="DXQ165" s="153"/>
      <c r="DXR165" s="153"/>
      <c r="DXS165" s="153"/>
      <c r="DXT165" s="153"/>
      <c r="DXU165" s="153"/>
      <c r="DXV165" s="153"/>
      <c r="DXW165" s="153"/>
      <c r="DXX165" s="153"/>
      <c r="DXY165" s="153"/>
      <c r="DXZ165" s="153"/>
      <c r="DYA165" s="153"/>
      <c r="DYB165" s="153"/>
      <c r="DYC165" s="153"/>
      <c r="DYD165" s="153"/>
      <c r="DYE165" s="153"/>
      <c r="DYF165" s="153"/>
      <c r="DYG165" s="153"/>
      <c r="DYH165" s="153"/>
      <c r="DYI165" s="153"/>
      <c r="DYJ165" s="153"/>
      <c r="DYK165" s="153"/>
      <c r="DYL165" s="153"/>
      <c r="DYM165" s="153"/>
      <c r="DYN165" s="153"/>
      <c r="DYO165" s="153"/>
      <c r="DYP165" s="153"/>
      <c r="DYQ165" s="153"/>
      <c r="DYR165" s="153"/>
      <c r="DYS165" s="153"/>
      <c r="DYT165" s="153"/>
      <c r="DYU165" s="153"/>
      <c r="DYV165" s="153"/>
      <c r="DYW165" s="153"/>
      <c r="DYX165" s="153"/>
      <c r="DYY165" s="153"/>
      <c r="DYZ165" s="153"/>
      <c r="DZA165" s="153"/>
      <c r="DZB165" s="153"/>
      <c r="DZC165" s="153"/>
      <c r="DZD165" s="153"/>
      <c r="DZE165" s="153"/>
      <c r="DZF165" s="153"/>
      <c r="DZG165" s="153"/>
      <c r="DZH165" s="153"/>
      <c r="DZI165" s="153"/>
      <c r="DZJ165" s="153"/>
      <c r="DZK165" s="153"/>
      <c r="DZL165" s="153"/>
      <c r="DZM165" s="153"/>
      <c r="DZN165" s="153"/>
      <c r="DZO165" s="153"/>
      <c r="DZP165" s="153"/>
      <c r="DZQ165" s="153"/>
      <c r="DZR165" s="153"/>
      <c r="DZS165" s="153"/>
      <c r="DZT165" s="153"/>
      <c r="DZU165" s="153"/>
      <c r="DZV165" s="153"/>
      <c r="DZW165" s="153"/>
      <c r="DZX165" s="153"/>
      <c r="DZY165" s="153"/>
      <c r="DZZ165" s="153"/>
      <c r="EAA165" s="153"/>
      <c r="EAB165" s="153"/>
      <c r="EAC165" s="153"/>
      <c r="EAD165" s="153"/>
      <c r="EAE165" s="153"/>
      <c r="EAF165" s="153"/>
      <c r="EAG165" s="153"/>
      <c r="EAH165" s="153"/>
      <c r="EAI165" s="153"/>
      <c r="EAJ165" s="153"/>
      <c r="EAK165" s="153"/>
      <c r="EAL165" s="153"/>
      <c r="EAM165" s="153"/>
      <c r="EAN165" s="153"/>
      <c r="EAO165" s="153"/>
      <c r="EAP165" s="153"/>
      <c r="EAQ165" s="153"/>
      <c r="EAR165" s="153"/>
      <c r="EAS165" s="153"/>
      <c r="EAT165" s="153"/>
      <c r="EAU165" s="153"/>
      <c r="EAV165" s="153"/>
      <c r="EAW165" s="153"/>
      <c r="EAX165" s="153"/>
      <c r="EAY165" s="153"/>
      <c r="EAZ165" s="153"/>
      <c r="EBA165" s="153"/>
      <c r="EBB165" s="153"/>
      <c r="EBC165" s="153"/>
      <c r="EBD165" s="153"/>
      <c r="EBE165" s="153"/>
      <c r="EBF165" s="153"/>
      <c r="EBG165" s="153"/>
      <c r="EBH165" s="153"/>
      <c r="EBI165" s="153"/>
      <c r="EBJ165" s="153"/>
      <c r="EBK165" s="153"/>
      <c r="EBL165" s="153"/>
      <c r="EBM165" s="153"/>
      <c r="EBN165" s="153"/>
      <c r="EBO165" s="153"/>
      <c r="EBP165" s="153"/>
      <c r="EBQ165" s="153"/>
      <c r="EBR165" s="153"/>
      <c r="EBS165" s="153"/>
      <c r="EBT165" s="153"/>
      <c r="EBU165" s="153"/>
      <c r="EBV165" s="153"/>
      <c r="EBW165" s="153"/>
      <c r="EBX165" s="153"/>
      <c r="EBY165" s="153"/>
      <c r="EBZ165" s="153"/>
      <c r="ECA165" s="153"/>
      <c r="ECB165" s="153"/>
      <c r="ECC165" s="153"/>
      <c r="ECD165" s="153"/>
      <c r="ECE165" s="153"/>
      <c r="ECF165" s="153"/>
      <c r="ECG165" s="153"/>
      <c r="ECH165" s="153"/>
      <c r="ECI165" s="153"/>
      <c r="ECJ165" s="153"/>
      <c r="ECK165" s="153"/>
      <c r="ECL165" s="153"/>
      <c r="ECM165" s="153"/>
      <c r="ECN165" s="153"/>
      <c r="ECO165" s="153"/>
      <c r="ECP165" s="153"/>
      <c r="ECQ165" s="153"/>
      <c r="ECR165" s="153"/>
      <c r="ECS165" s="153"/>
      <c r="ECT165" s="153"/>
      <c r="ECU165" s="153"/>
      <c r="ECV165" s="153"/>
      <c r="ECW165" s="153"/>
      <c r="ECX165" s="153"/>
      <c r="ECY165" s="153"/>
      <c r="ECZ165" s="153"/>
      <c r="EDA165" s="153"/>
      <c r="EDB165" s="153"/>
      <c r="EDC165" s="153"/>
      <c r="EDD165" s="153"/>
      <c r="EDE165" s="153"/>
      <c r="EDF165" s="153"/>
      <c r="EDG165" s="153"/>
      <c r="EDH165" s="153"/>
      <c r="EDI165" s="153"/>
      <c r="EDJ165" s="153"/>
      <c r="EDK165" s="153"/>
      <c r="EDL165" s="153"/>
      <c r="EDM165" s="153"/>
      <c r="EDN165" s="153"/>
      <c r="EDO165" s="153"/>
      <c r="EDP165" s="153"/>
      <c r="EDQ165" s="153"/>
      <c r="EDR165" s="153"/>
      <c r="EDS165" s="153"/>
      <c r="EDT165" s="153"/>
      <c r="EDU165" s="153"/>
      <c r="EDV165" s="153"/>
      <c r="EDW165" s="153"/>
      <c r="EDX165" s="153"/>
      <c r="EDY165" s="153"/>
      <c r="EDZ165" s="153"/>
      <c r="EEA165" s="153"/>
      <c r="EEB165" s="153"/>
      <c r="EEC165" s="153"/>
      <c r="EED165" s="153"/>
      <c r="EEE165" s="153"/>
      <c r="EEF165" s="153"/>
      <c r="EEG165" s="153"/>
      <c r="EEH165" s="153"/>
      <c r="EEI165" s="153"/>
      <c r="EEJ165" s="153"/>
      <c r="EEK165" s="153"/>
      <c r="EEL165" s="153"/>
      <c r="EEM165" s="153"/>
      <c r="EEN165" s="153"/>
      <c r="EEO165" s="153"/>
      <c r="EEP165" s="153"/>
      <c r="EEQ165" s="153"/>
      <c r="EER165" s="153"/>
      <c r="EES165" s="153"/>
      <c r="EET165" s="153"/>
      <c r="EEU165" s="153"/>
      <c r="EEV165" s="153"/>
      <c r="EEW165" s="153"/>
      <c r="EEX165" s="153"/>
      <c r="EEY165" s="153"/>
      <c r="EEZ165" s="153"/>
      <c r="EFA165" s="153"/>
      <c r="EFB165" s="153"/>
      <c r="EFC165" s="153"/>
      <c r="EFD165" s="153"/>
      <c r="EFE165" s="153"/>
      <c r="EFF165" s="153"/>
      <c r="EFG165" s="153"/>
      <c r="EFH165" s="153"/>
      <c r="EFI165" s="153"/>
      <c r="EFJ165" s="153"/>
      <c r="EFK165" s="153"/>
      <c r="EFL165" s="153"/>
      <c r="EFM165" s="153"/>
      <c r="EFN165" s="153"/>
      <c r="EFO165" s="153"/>
      <c r="EFP165" s="153"/>
      <c r="EFQ165" s="153"/>
      <c r="EFR165" s="153"/>
      <c r="EFS165" s="153"/>
      <c r="EFT165" s="153"/>
      <c r="EFU165" s="153"/>
      <c r="EFV165" s="153"/>
      <c r="EFW165" s="153"/>
      <c r="EFX165" s="153"/>
      <c r="EFY165" s="153"/>
      <c r="EFZ165" s="153"/>
      <c r="EGA165" s="153"/>
      <c r="EGB165" s="153"/>
      <c r="EGC165" s="153"/>
      <c r="EGD165" s="153"/>
      <c r="EGE165" s="153"/>
      <c r="EGF165" s="153"/>
      <c r="EGG165" s="153"/>
      <c r="EGH165" s="153"/>
      <c r="EGI165" s="153"/>
      <c r="EGJ165" s="153"/>
      <c r="EGK165" s="153"/>
      <c r="EGL165" s="153"/>
      <c r="EGM165" s="153"/>
      <c r="EGN165" s="153"/>
      <c r="EGO165" s="153"/>
      <c r="EGP165" s="153"/>
      <c r="EGQ165" s="153"/>
      <c r="EGR165" s="153"/>
      <c r="EGS165" s="153"/>
      <c r="EGT165" s="153"/>
      <c r="EGU165" s="153"/>
      <c r="EGV165" s="153"/>
      <c r="EGW165" s="153"/>
      <c r="EGX165" s="153"/>
      <c r="EGY165" s="153"/>
      <c r="EGZ165" s="153"/>
      <c r="EHA165" s="153"/>
      <c r="EHB165" s="153"/>
      <c r="EHC165" s="153"/>
      <c r="EHD165" s="153"/>
      <c r="EHE165" s="153"/>
      <c r="EHF165" s="153"/>
      <c r="EHG165" s="153"/>
      <c r="EHH165" s="153"/>
      <c r="EHI165" s="153"/>
      <c r="EHJ165" s="153"/>
      <c r="EHK165" s="153"/>
      <c r="EHL165" s="153"/>
      <c r="EHM165" s="153"/>
      <c r="EHN165" s="153"/>
      <c r="EHO165" s="153"/>
      <c r="EHP165" s="153"/>
      <c r="EHQ165" s="153"/>
      <c r="EHR165" s="153"/>
      <c r="EHS165" s="153"/>
      <c r="EHT165" s="153"/>
      <c r="EHU165" s="153"/>
      <c r="EHV165" s="153"/>
      <c r="EHW165" s="153"/>
      <c r="EHX165" s="153"/>
      <c r="EHY165" s="153"/>
      <c r="EHZ165" s="153"/>
      <c r="EIA165" s="153"/>
      <c r="EIB165" s="153"/>
      <c r="EIC165" s="153"/>
      <c r="EID165" s="153"/>
      <c r="EIE165" s="153"/>
      <c r="EIF165" s="153"/>
      <c r="EIG165" s="153"/>
      <c r="EIH165" s="153"/>
      <c r="EII165" s="153"/>
      <c r="EIJ165" s="153"/>
      <c r="EIK165" s="153"/>
      <c r="EIL165" s="153"/>
      <c r="EIM165" s="153"/>
      <c r="EIN165" s="153"/>
      <c r="EIO165" s="153"/>
      <c r="EIP165" s="153"/>
      <c r="EIQ165" s="153"/>
      <c r="EIR165" s="153"/>
      <c r="EIS165" s="153"/>
      <c r="EIT165" s="153"/>
      <c r="EIU165" s="153"/>
      <c r="EIV165" s="153"/>
      <c r="EIW165" s="153"/>
      <c r="EIX165" s="153"/>
      <c r="EIY165" s="153"/>
      <c r="EIZ165" s="153"/>
      <c r="EJA165" s="153"/>
      <c r="EJB165" s="153"/>
      <c r="EJC165" s="153"/>
      <c r="EJD165" s="153"/>
      <c r="EJE165" s="153"/>
      <c r="EJF165" s="153"/>
      <c r="EJG165" s="153"/>
      <c r="EJH165" s="153"/>
      <c r="EJI165" s="153"/>
      <c r="EJJ165" s="153"/>
      <c r="EJK165" s="153"/>
      <c r="EJL165" s="153"/>
      <c r="EJM165" s="153"/>
      <c r="EJN165" s="153"/>
      <c r="EJO165" s="153"/>
      <c r="EJP165" s="153"/>
      <c r="EJQ165" s="153"/>
      <c r="EJR165" s="153"/>
      <c r="EJS165" s="153"/>
      <c r="EJT165" s="153"/>
      <c r="EJU165" s="153"/>
      <c r="EJV165" s="153"/>
      <c r="EJW165" s="153"/>
      <c r="EJX165" s="153"/>
      <c r="EJY165" s="153"/>
      <c r="EJZ165" s="153"/>
      <c r="EKA165" s="153"/>
      <c r="EKB165" s="153"/>
      <c r="EKC165" s="153"/>
      <c r="EKD165" s="153"/>
      <c r="EKE165" s="153"/>
      <c r="EKF165" s="153"/>
      <c r="EKG165" s="153"/>
      <c r="EKH165" s="153"/>
      <c r="EKI165" s="153"/>
      <c r="EKJ165" s="153"/>
      <c r="EKK165" s="153"/>
      <c r="EKL165" s="153"/>
      <c r="EKM165" s="153"/>
      <c r="EKN165" s="153"/>
      <c r="EKO165" s="153"/>
      <c r="EKP165" s="153"/>
      <c r="EKQ165" s="153"/>
      <c r="EKR165" s="153"/>
      <c r="EKS165" s="153"/>
      <c r="EKT165" s="153"/>
      <c r="EKU165" s="153"/>
      <c r="EKV165" s="153"/>
      <c r="EKW165" s="153"/>
      <c r="EKX165" s="153"/>
      <c r="EKY165" s="153"/>
      <c r="EKZ165" s="153"/>
      <c r="ELA165" s="153"/>
      <c r="ELB165" s="153"/>
      <c r="ELC165" s="153"/>
      <c r="ELD165" s="153"/>
      <c r="ELE165" s="153"/>
      <c r="ELF165" s="153"/>
      <c r="ELG165" s="153"/>
      <c r="ELH165" s="153"/>
      <c r="ELI165" s="153"/>
      <c r="ELJ165" s="153"/>
      <c r="ELK165" s="153"/>
      <c r="ELL165" s="153"/>
      <c r="ELM165" s="153"/>
      <c r="ELN165" s="153"/>
      <c r="ELO165" s="153"/>
      <c r="ELP165" s="153"/>
      <c r="ELQ165" s="153"/>
      <c r="ELR165" s="153"/>
      <c r="ELS165" s="153"/>
      <c r="ELT165" s="153"/>
      <c r="ELU165" s="153"/>
      <c r="ELV165" s="153"/>
      <c r="ELW165" s="153"/>
      <c r="ELX165" s="153"/>
      <c r="ELY165" s="153"/>
      <c r="ELZ165" s="153"/>
      <c r="EMA165" s="153"/>
      <c r="EMB165" s="153"/>
      <c r="EMC165" s="153"/>
      <c r="EMD165" s="153"/>
      <c r="EME165" s="153"/>
      <c r="EMF165" s="153"/>
      <c r="EMG165" s="153"/>
      <c r="EMH165" s="153"/>
      <c r="EMI165" s="153"/>
      <c r="EMJ165" s="153"/>
      <c r="EMK165" s="153"/>
      <c r="EML165" s="153"/>
      <c r="EMM165" s="153"/>
      <c r="EMN165" s="153"/>
      <c r="EMO165" s="153"/>
      <c r="EMP165" s="153"/>
      <c r="EMQ165" s="153"/>
      <c r="EMR165" s="153"/>
      <c r="EMS165" s="153"/>
      <c r="EMT165" s="153"/>
      <c r="EMU165" s="153"/>
      <c r="EMV165" s="153"/>
      <c r="EMW165" s="153"/>
      <c r="EMX165" s="153"/>
      <c r="EMY165" s="153"/>
      <c r="EMZ165" s="153"/>
      <c r="ENA165" s="153"/>
      <c r="ENB165" s="153"/>
      <c r="ENC165" s="153"/>
      <c r="END165" s="153"/>
      <c r="ENE165" s="153"/>
      <c r="ENF165" s="153"/>
      <c r="ENG165" s="153"/>
      <c r="ENH165" s="153"/>
      <c r="ENI165" s="153"/>
      <c r="ENJ165" s="153"/>
      <c r="ENK165" s="153"/>
      <c r="ENL165" s="153"/>
      <c r="ENM165" s="153"/>
      <c r="ENN165" s="153"/>
      <c r="ENO165" s="153"/>
      <c r="ENP165" s="153"/>
      <c r="ENQ165" s="153"/>
      <c r="ENR165" s="153"/>
      <c r="ENS165" s="153"/>
      <c r="ENT165" s="153"/>
      <c r="ENU165" s="153"/>
      <c r="ENV165" s="153"/>
      <c r="ENW165" s="153"/>
      <c r="ENX165" s="153"/>
      <c r="ENY165" s="153"/>
      <c r="ENZ165" s="153"/>
      <c r="EOA165" s="153"/>
      <c r="EOB165" s="153"/>
      <c r="EOC165" s="153"/>
      <c r="EOD165" s="153"/>
      <c r="EOE165" s="153"/>
      <c r="EOF165" s="153"/>
      <c r="EOG165" s="153"/>
      <c r="EOH165" s="153"/>
      <c r="EOI165" s="153"/>
      <c r="EOJ165" s="153"/>
      <c r="EOK165" s="153"/>
      <c r="EOL165" s="153"/>
      <c r="EOM165" s="153"/>
      <c r="EON165" s="153"/>
      <c r="EOO165" s="153"/>
      <c r="EOP165" s="153"/>
      <c r="EOQ165" s="153"/>
      <c r="EOR165" s="153"/>
      <c r="EOS165" s="153"/>
      <c r="EOT165" s="153"/>
      <c r="EOU165" s="153"/>
      <c r="EOV165" s="153"/>
      <c r="EOW165" s="153"/>
      <c r="EOX165" s="153"/>
      <c r="EOY165" s="153"/>
      <c r="EOZ165" s="153"/>
      <c r="EPA165" s="153"/>
      <c r="EPB165" s="153"/>
      <c r="EPC165" s="153"/>
      <c r="EPD165" s="153"/>
      <c r="EPE165" s="153"/>
      <c r="EPF165" s="153"/>
      <c r="EPG165" s="153"/>
      <c r="EPH165" s="153"/>
      <c r="EPI165" s="153"/>
      <c r="EPJ165" s="153"/>
      <c r="EPK165" s="153"/>
      <c r="EPL165" s="153"/>
      <c r="EPM165" s="153"/>
      <c r="EPN165" s="153"/>
      <c r="EPO165" s="153"/>
      <c r="EPP165" s="153"/>
      <c r="EPQ165" s="153"/>
      <c r="EPR165" s="153"/>
      <c r="EPS165" s="153"/>
      <c r="EPT165" s="153"/>
      <c r="EPU165" s="153"/>
      <c r="EPV165" s="153"/>
      <c r="EPW165" s="153"/>
      <c r="EPX165" s="153"/>
      <c r="EPY165" s="153"/>
      <c r="EPZ165" s="153"/>
      <c r="EQA165" s="153"/>
      <c r="EQB165" s="153"/>
      <c r="EQC165" s="153"/>
      <c r="EQD165" s="153"/>
      <c r="EQE165" s="153"/>
      <c r="EQF165" s="153"/>
      <c r="EQG165" s="153"/>
      <c r="EQH165" s="153"/>
      <c r="EQI165" s="153"/>
      <c r="EQJ165" s="153"/>
      <c r="EQK165" s="153"/>
      <c r="EQL165" s="153"/>
      <c r="EQM165" s="153"/>
      <c r="EQN165" s="153"/>
      <c r="EQO165" s="153"/>
      <c r="EQP165" s="153"/>
      <c r="EQQ165" s="153"/>
      <c r="EQR165" s="153"/>
      <c r="EQS165" s="153"/>
      <c r="EQT165" s="153"/>
      <c r="EQU165" s="153"/>
      <c r="EQV165" s="153"/>
      <c r="EQW165" s="153"/>
      <c r="EQX165" s="153"/>
      <c r="EQY165" s="153"/>
      <c r="EQZ165" s="153"/>
      <c r="ERA165" s="153"/>
      <c r="ERB165" s="153"/>
      <c r="ERC165" s="153"/>
      <c r="ERD165" s="153"/>
      <c r="ERE165" s="153"/>
      <c r="ERF165" s="153"/>
      <c r="ERG165" s="153"/>
      <c r="ERH165" s="153"/>
      <c r="ERI165" s="153"/>
      <c r="ERJ165" s="153"/>
      <c r="ERK165" s="153"/>
      <c r="ERL165" s="153"/>
      <c r="ERM165" s="153"/>
      <c r="ERN165" s="153"/>
      <c r="ERO165" s="153"/>
      <c r="ERP165" s="153"/>
      <c r="ERQ165" s="153"/>
      <c r="ERR165" s="153"/>
      <c r="ERS165" s="153"/>
      <c r="ERT165" s="153"/>
      <c r="ERU165" s="153"/>
      <c r="ERV165" s="153"/>
      <c r="ERW165" s="153"/>
      <c r="ERX165" s="153"/>
      <c r="ERY165" s="153"/>
      <c r="ERZ165" s="153"/>
      <c r="ESA165" s="153"/>
      <c r="ESB165" s="153"/>
      <c r="ESC165" s="153"/>
      <c r="ESD165" s="153"/>
      <c r="ESE165" s="153"/>
      <c r="ESF165" s="153"/>
      <c r="ESG165" s="153"/>
      <c r="ESH165" s="153"/>
      <c r="ESI165" s="153"/>
      <c r="ESJ165" s="153"/>
      <c r="ESK165" s="153"/>
      <c r="ESL165" s="153"/>
      <c r="ESM165" s="153"/>
      <c r="ESN165" s="153"/>
      <c r="ESO165" s="153"/>
      <c r="ESP165" s="153"/>
      <c r="ESQ165" s="153"/>
      <c r="ESR165" s="153"/>
      <c r="ESS165" s="153"/>
      <c r="EST165" s="153"/>
      <c r="ESU165" s="153"/>
      <c r="ESV165" s="153"/>
      <c r="ESW165" s="153"/>
      <c r="ESX165" s="153"/>
      <c r="ESY165" s="153"/>
      <c r="ESZ165" s="153"/>
      <c r="ETA165" s="153"/>
      <c r="ETB165" s="153"/>
      <c r="ETC165" s="153"/>
      <c r="ETD165" s="153"/>
      <c r="ETE165" s="153"/>
      <c r="ETF165" s="153"/>
      <c r="ETG165" s="153"/>
      <c r="ETH165" s="153"/>
      <c r="ETI165" s="153"/>
      <c r="ETJ165" s="153"/>
      <c r="ETK165" s="153"/>
      <c r="ETL165" s="153"/>
      <c r="ETM165" s="153"/>
      <c r="ETN165" s="153"/>
      <c r="ETO165" s="153"/>
      <c r="ETP165" s="153"/>
      <c r="ETQ165" s="153"/>
      <c r="ETR165" s="153"/>
      <c r="ETS165" s="153"/>
      <c r="ETT165" s="153"/>
      <c r="ETU165" s="153"/>
      <c r="ETV165" s="153"/>
      <c r="ETW165" s="153"/>
      <c r="ETX165" s="153"/>
      <c r="ETY165" s="153"/>
      <c r="ETZ165" s="153"/>
      <c r="EUA165" s="153"/>
      <c r="EUB165" s="153"/>
      <c r="EUC165" s="153"/>
      <c r="EUD165" s="153"/>
      <c r="EUE165" s="153"/>
      <c r="EUF165" s="153"/>
      <c r="EUG165" s="153"/>
      <c r="EUH165" s="153"/>
      <c r="EUI165" s="153"/>
      <c r="EUJ165" s="153"/>
      <c r="EUK165" s="153"/>
      <c r="EUL165" s="153"/>
      <c r="EUM165" s="153"/>
      <c r="EUN165" s="153"/>
      <c r="EUO165" s="153"/>
      <c r="EUP165" s="153"/>
      <c r="EUQ165" s="153"/>
      <c r="EUR165" s="153"/>
      <c r="EUS165" s="153"/>
      <c r="EUT165" s="153"/>
      <c r="EUU165" s="153"/>
      <c r="EUV165" s="153"/>
      <c r="EUW165" s="153"/>
      <c r="EUX165" s="153"/>
      <c r="EUY165" s="153"/>
      <c r="EUZ165" s="153"/>
      <c r="EVA165" s="153"/>
      <c r="EVB165" s="153"/>
      <c r="EVC165" s="153"/>
      <c r="EVD165" s="153"/>
      <c r="EVE165" s="153"/>
      <c r="EVF165" s="153"/>
      <c r="EVG165" s="153"/>
      <c r="EVH165" s="153"/>
      <c r="EVI165" s="153"/>
      <c r="EVJ165" s="153"/>
      <c r="EVK165" s="153"/>
      <c r="EVL165" s="153"/>
      <c r="EVM165" s="153"/>
      <c r="EVN165" s="153"/>
      <c r="EVO165" s="153"/>
      <c r="EVP165" s="153"/>
      <c r="EVQ165" s="153"/>
      <c r="EVR165" s="153"/>
      <c r="EVS165" s="153"/>
      <c r="EVT165" s="153"/>
      <c r="EVU165" s="153"/>
      <c r="EVV165" s="153"/>
      <c r="EVW165" s="153"/>
      <c r="EVX165" s="153"/>
      <c r="EVY165" s="153"/>
      <c r="EVZ165" s="153"/>
      <c r="EWA165" s="153"/>
      <c r="EWB165" s="153"/>
      <c r="EWC165" s="153"/>
      <c r="EWD165" s="153"/>
      <c r="EWE165" s="153"/>
      <c r="EWF165" s="153"/>
      <c r="EWG165" s="153"/>
      <c r="EWH165" s="153"/>
      <c r="EWI165" s="153"/>
      <c r="EWJ165" s="153"/>
      <c r="EWK165" s="153"/>
      <c r="EWL165" s="153"/>
      <c r="EWM165" s="153"/>
      <c r="EWN165" s="153"/>
      <c r="EWO165" s="153"/>
      <c r="EWP165" s="153"/>
      <c r="EWQ165" s="153"/>
      <c r="EWR165" s="153"/>
      <c r="EWS165" s="153"/>
      <c r="EWT165" s="153"/>
      <c r="EWU165" s="153"/>
      <c r="EWV165" s="153"/>
      <c r="EWW165" s="153"/>
      <c r="EWX165" s="153"/>
      <c r="EWY165" s="153"/>
      <c r="EWZ165" s="153"/>
      <c r="EXA165" s="153"/>
      <c r="EXB165" s="153"/>
      <c r="EXC165" s="153"/>
      <c r="EXD165" s="153"/>
      <c r="EXE165" s="153"/>
      <c r="EXF165" s="153"/>
      <c r="EXG165" s="153"/>
      <c r="EXH165" s="153"/>
      <c r="EXI165" s="153"/>
      <c r="EXJ165" s="153"/>
      <c r="EXK165" s="153"/>
      <c r="EXL165" s="153"/>
      <c r="EXM165" s="153"/>
      <c r="EXN165" s="153"/>
      <c r="EXO165" s="153"/>
      <c r="EXP165" s="153"/>
      <c r="EXQ165" s="153"/>
      <c r="EXR165" s="153"/>
      <c r="EXS165" s="153"/>
      <c r="EXT165" s="153"/>
      <c r="EXU165" s="153"/>
      <c r="EXV165" s="153"/>
      <c r="EXW165" s="153"/>
      <c r="EXX165" s="153"/>
      <c r="EXY165" s="153"/>
      <c r="EXZ165" s="153"/>
      <c r="EYA165" s="153"/>
      <c r="EYB165" s="153"/>
      <c r="EYC165" s="153"/>
      <c r="EYD165" s="153"/>
      <c r="EYE165" s="153"/>
      <c r="EYF165" s="153"/>
      <c r="EYG165" s="153"/>
      <c r="EYH165" s="153"/>
      <c r="EYI165" s="153"/>
      <c r="EYJ165" s="153"/>
      <c r="EYK165" s="153"/>
      <c r="EYL165" s="153"/>
      <c r="EYM165" s="153"/>
      <c r="EYN165" s="153"/>
      <c r="EYO165" s="153"/>
      <c r="EYP165" s="153"/>
      <c r="EYQ165" s="153"/>
      <c r="EYR165" s="153"/>
      <c r="EYS165" s="153"/>
      <c r="EYT165" s="153"/>
      <c r="EYU165" s="153"/>
      <c r="EYV165" s="153"/>
      <c r="EYW165" s="153"/>
      <c r="EYX165" s="153"/>
      <c r="EYY165" s="153"/>
      <c r="EYZ165" s="153"/>
      <c r="EZA165" s="153"/>
      <c r="EZB165" s="153"/>
      <c r="EZC165" s="153"/>
      <c r="EZD165" s="153"/>
      <c r="EZE165" s="153"/>
      <c r="EZF165" s="153"/>
      <c r="EZG165" s="153"/>
      <c r="EZH165" s="153"/>
      <c r="EZI165" s="153"/>
      <c r="EZJ165" s="153"/>
      <c r="EZK165" s="153"/>
      <c r="EZL165" s="153"/>
      <c r="EZM165" s="153"/>
      <c r="EZN165" s="153"/>
      <c r="EZO165" s="153"/>
      <c r="EZP165" s="153"/>
      <c r="EZQ165" s="153"/>
      <c r="EZR165" s="153"/>
      <c r="EZS165" s="153"/>
      <c r="EZT165" s="153"/>
      <c r="EZU165" s="153"/>
      <c r="EZV165" s="153"/>
      <c r="EZW165" s="153"/>
      <c r="EZX165" s="153"/>
      <c r="EZY165" s="153"/>
      <c r="EZZ165" s="153"/>
      <c r="FAA165" s="153"/>
      <c r="FAB165" s="153"/>
      <c r="FAC165" s="153"/>
      <c r="FAD165" s="153"/>
      <c r="FAE165" s="153"/>
      <c r="FAF165" s="153"/>
      <c r="FAG165" s="153"/>
      <c r="FAH165" s="153"/>
      <c r="FAI165" s="153"/>
      <c r="FAJ165" s="153"/>
      <c r="FAK165" s="153"/>
      <c r="FAL165" s="153"/>
      <c r="FAM165" s="153"/>
      <c r="FAN165" s="153"/>
      <c r="FAO165" s="153"/>
      <c r="FAP165" s="153"/>
      <c r="FAQ165" s="153"/>
      <c r="FAR165" s="153"/>
      <c r="FAS165" s="153"/>
      <c r="FAT165" s="153"/>
      <c r="FAU165" s="153"/>
      <c r="FAV165" s="153"/>
      <c r="FAW165" s="153"/>
      <c r="FAX165" s="153"/>
      <c r="FAY165" s="153"/>
      <c r="FAZ165" s="153"/>
      <c r="FBA165" s="153"/>
      <c r="FBB165" s="153"/>
      <c r="FBC165" s="153"/>
      <c r="FBD165" s="153"/>
      <c r="FBE165" s="153"/>
      <c r="FBF165" s="153"/>
      <c r="FBG165" s="153"/>
      <c r="FBH165" s="153"/>
      <c r="FBI165" s="153"/>
      <c r="FBJ165" s="153"/>
      <c r="FBK165" s="153"/>
      <c r="FBL165" s="153"/>
      <c r="FBM165" s="153"/>
      <c r="FBN165" s="153"/>
      <c r="FBO165" s="153"/>
      <c r="FBP165" s="153"/>
      <c r="FBQ165" s="153"/>
      <c r="FBR165" s="153"/>
      <c r="FBS165" s="153"/>
      <c r="FBT165" s="153"/>
      <c r="FBU165" s="153"/>
      <c r="FBV165" s="153"/>
      <c r="FBW165" s="153"/>
      <c r="FBX165" s="153"/>
      <c r="FBY165" s="153"/>
      <c r="FBZ165" s="153"/>
      <c r="FCA165" s="153"/>
      <c r="FCB165" s="153"/>
      <c r="FCC165" s="153"/>
      <c r="FCD165" s="153"/>
      <c r="FCE165" s="153"/>
      <c r="FCF165" s="153"/>
      <c r="FCG165" s="153"/>
      <c r="FCH165" s="153"/>
      <c r="FCI165" s="153"/>
      <c r="FCJ165" s="153"/>
      <c r="FCK165" s="153"/>
      <c r="FCL165" s="153"/>
      <c r="FCM165" s="153"/>
      <c r="FCN165" s="153"/>
      <c r="FCO165" s="153"/>
      <c r="FCP165" s="153"/>
      <c r="FCQ165" s="153"/>
      <c r="FCR165" s="153"/>
      <c r="FCS165" s="153"/>
      <c r="FCT165" s="153"/>
      <c r="FCU165" s="153"/>
      <c r="FCV165" s="153"/>
      <c r="FCW165" s="153"/>
      <c r="FCX165" s="153"/>
      <c r="FCY165" s="153"/>
      <c r="FCZ165" s="153"/>
      <c r="FDA165" s="153"/>
      <c r="FDB165" s="153"/>
      <c r="FDC165" s="153"/>
      <c r="FDD165" s="153"/>
      <c r="FDE165" s="153"/>
      <c r="FDF165" s="153"/>
      <c r="FDG165" s="153"/>
      <c r="FDH165" s="153"/>
      <c r="FDI165" s="153"/>
      <c r="FDJ165" s="153"/>
      <c r="FDK165" s="153"/>
      <c r="FDL165" s="153"/>
      <c r="FDM165" s="153"/>
      <c r="FDN165" s="153"/>
      <c r="FDO165" s="153"/>
      <c r="FDP165" s="153"/>
      <c r="FDQ165" s="153"/>
      <c r="FDR165" s="153"/>
      <c r="FDS165" s="153"/>
      <c r="FDT165" s="153"/>
      <c r="FDU165" s="153"/>
      <c r="FDV165" s="153"/>
      <c r="FDW165" s="153"/>
      <c r="FDX165" s="153"/>
      <c r="FDY165" s="153"/>
      <c r="FDZ165" s="153"/>
      <c r="FEA165" s="153"/>
      <c r="FEB165" s="153"/>
      <c r="FEC165" s="153"/>
      <c r="FED165" s="153"/>
      <c r="FEE165" s="153"/>
      <c r="FEF165" s="153"/>
      <c r="FEG165" s="153"/>
      <c r="FEH165" s="153"/>
      <c r="FEI165" s="153"/>
      <c r="FEJ165" s="153"/>
      <c r="FEK165" s="153"/>
      <c r="FEL165" s="153"/>
      <c r="FEM165" s="153"/>
      <c r="FEN165" s="153"/>
      <c r="FEO165" s="153"/>
      <c r="FEP165" s="153"/>
      <c r="FEQ165" s="153"/>
      <c r="FER165" s="153"/>
      <c r="FES165" s="153"/>
      <c r="FET165" s="153"/>
      <c r="FEU165" s="153"/>
      <c r="FEV165" s="153"/>
      <c r="FEW165" s="153"/>
      <c r="FEX165" s="153"/>
      <c r="FEY165" s="153"/>
      <c r="FEZ165" s="153"/>
      <c r="FFA165" s="153"/>
      <c r="FFB165" s="153"/>
      <c r="FFC165" s="153"/>
      <c r="FFD165" s="153"/>
      <c r="FFE165" s="153"/>
      <c r="FFF165" s="153"/>
      <c r="FFG165" s="153"/>
      <c r="FFH165" s="153"/>
      <c r="FFI165" s="153"/>
      <c r="FFJ165" s="153"/>
      <c r="FFK165" s="153"/>
      <c r="FFL165" s="153"/>
      <c r="FFM165" s="153"/>
      <c r="FFN165" s="153"/>
      <c r="FFO165" s="153"/>
      <c r="FFP165" s="153"/>
      <c r="FFQ165" s="153"/>
      <c r="FFR165" s="153"/>
      <c r="FFS165" s="153"/>
      <c r="FFT165" s="153"/>
      <c r="FFU165" s="153"/>
      <c r="FFV165" s="153"/>
      <c r="FFW165" s="153"/>
      <c r="FFX165" s="153"/>
      <c r="FFY165" s="153"/>
      <c r="FFZ165" s="153"/>
      <c r="FGA165" s="153"/>
      <c r="FGB165" s="153"/>
      <c r="FGC165" s="153"/>
      <c r="FGD165" s="153"/>
      <c r="FGE165" s="153"/>
      <c r="FGF165" s="153"/>
      <c r="FGG165" s="153"/>
      <c r="FGH165" s="153"/>
      <c r="FGI165" s="153"/>
      <c r="FGJ165" s="153"/>
      <c r="FGK165" s="153"/>
      <c r="FGL165" s="153"/>
      <c r="FGM165" s="153"/>
      <c r="FGN165" s="153"/>
      <c r="FGO165" s="153"/>
      <c r="FGP165" s="153"/>
      <c r="FGQ165" s="153"/>
      <c r="FGR165" s="153"/>
      <c r="FGS165" s="153"/>
      <c r="FGT165" s="153"/>
      <c r="FGU165" s="153"/>
      <c r="FGV165" s="153"/>
      <c r="FGW165" s="153"/>
      <c r="FGX165" s="153"/>
      <c r="FGY165" s="153"/>
      <c r="FGZ165" s="153"/>
      <c r="FHA165" s="153"/>
      <c r="FHB165" s="153"/>
      <c r="FHC165" s="153"/>
      <c r="FHD165" s="153"/>
      <c r="FHE165" s="153"/>
      <c r="FHF165" s="153"/>
      <c r="FHG165" s="153"/>
      <c r="FHH165" s="153"/>
      <c r="FHI165" s="153"/>
      <c r="FHJ165" s="153"/>
      <c r="FHK165" s="153"/>
      <c r="FHL165" s="153"/>
      <c r="FHM165" s="153"/>
      <c r="FHN165" s="153"/>
      <c r="FHO165" s="153"/>
      <c r="FHP165" s="153"/>
      <c r="FHQ165" s="153"/>
      <c r="FHR165" s="153"/>
      <c r="FHS165" s="153"/>
      <c r="FHT165" s="153"/>
      <c r="FHU165" s="153"/>
      <c r="FHV165" s="153"/>
      <c r="FHW165" s="153"/>
      <c r="FHX165" s="153"/>
      <c r="FHY165" s="153"/>
      <c r="FHZ165" s="153"/>
      <c r="FIA165" s="153"/>
      <c r="FIB165" s="153"/>
      <c r="FIC165" s="153"/>
      <c r="FID165" s="153"/>
      <c r="FIE165" s="153"/>
      <c r="FIF165" s="153"/>
      <c r="FIG165" s="153"/>
      <c r="FIH165" s="153"/>
      <c r="FII165" s="153"/>
      <c r="FIJ165" s="153"/>
      <c r="FIK165" s="153"/>
      <c r="FIL165" s="153"/>
      <c r="FIM165" s="153"/>
      <c r="FIN165" s="153"/>
      <c r="FIO165" s="153"/>
      <c r="FIP165" s="153"/>
      <c r="FIQ165" s="153"/>
      <c r="FIR165" s="153"/>
      <c r="FIS165" s="153"/>
      <c r="FIT165" s="153"/>
      <c r="FIU165" s="153"/>
      <c r="FIV165" s="153"/>
      <c r="FIW165" s="153"/>
      <c r="FIX165" s="153"/>
      <c r="FIY165" s="153"/>
      <c r="FIZ165" s="153"/>
      <c r="FJA165" s="153"/>
      <c r="FJB165" s="153"/>
      <c r="FJC165" s="153"/>
      <c r="FJD165" s="153"/>
      <c r="FJE165" s="153"/>
      <c r="FJF165" s="153"/>
      <c r="FJG165" s="153"/>
      <c r="FJH165" s="153"/>
      <c r="FJI165" s="153"/>
      <c r="FJJ165" s="153"/>
      <c r="FJK165" s="153"/>
      <c r="FJL165" s="153"/>
      <c r="FJM165" s="153"/>
      <c r="FJN165" s="153"/>
      <c r="FJO165" s="153"/>
      <c r="FJP165" s="153"/>
      <c r="FJQ165" s="153"/>
      <c r="FJR165" s="153"/>
      <c r="FJS165" s="153"/>
      <c r="FJT165" s="153"/>
      <c r="FJU165" s="153"/>
      <c r="FJV165" s="153"/>
      <c r="FJW165" s="153"/>
      <c r="FJX165" s="153"/>
      <c r="FJY165" s="153"/>
      <c r="FJZ165" s="153"/>
      <c r="FKA165" s="153"/>
      <c r="FKB165" s="153"/>
      <c r="FKC165" s="153"/>
      <c r="FKD165" s="153"/>
      <c r="FKE165" s="153"/>
      <c r="FKF165" s="153"/>
      <c r="FKG165" s="153"/>
      <c r="FKH165" s="153"/>
      <c r="FKI165" s="153"/>
      <c r="FKJ165" s="153"/>
      <c r="FKK165" s="153"/>
      <c r="FKL165" s="153"/>
      <c r="FKM165" s="153"/>
      <c r="FKN165" s="153"/>
      <c r="FKO165" s="153"/>
      <c r="FKP165" s="153"/>
      <c r="FKQ165" s="153"/>
      <c r="FKR165" s="153"/>
      <c r="FKS165" s="153"/>
      <c r="FKT165" s="153"/>
      <c r="FKU165" s="153"/>
      <c r="FKV165" s="153"/>
      <c r="FKW165" s="153"/>
      <c r="FKX165" s="153"/>
      <c r="FKY165" s="153"/>
      <c r="FKZ165" s="153"/>
      <c r="FLA165" s="153"/>
      <c r="FLB165" s="153"/>
      <c r="FLC165" s="153"/>
      <c r="FLD165" s="153"/>
      <c r="FLE165" s="153"/>
      <c r="FLF165" s="153"/>
      <c r="FLG165" s="153"/>
      <c r="FLH165" s="153"/>
      <c r="FLI165" s="153"/>
      <c r="FLJ165" s="153"/>
      <c r="FLK165" s="153"/>
      <c r="FLL165" s="153"/>
      <c r="FLM165" s="153"/>
      <c r="FLN165" s="153"/>
      <c r="FLO165" s="153"/>
      <c r="FLP165" s="153"/>
      <c r="FLQ165" s="153"/>
      <c r="FLR165" s="153"/>
      <c r="FLS165" s="153"/>
      <c r="FLT165" s="153"/>
      <c r="FLU165" s="153"/>
      <c r="FLV165" s="153"/>
      <c r="FLW165" s="153"/>
      <c r="FLX165" s="153"/>
      <c r="FLY165" s="153"/>
      <c r="FLZ165" s="153"/>
      <c r="FMA165" s="153"/>
      <c r="FMB165" s="153"/>
      <c r="FMC165" s="153"/>
      <c r="FMD165" s="153"/>
      <c r="FME165" s="153"/>
      <c r="FMF165" s="153"/>
      <c r="FMG165" s="153"/>
      <c r="FMH165" s="153"/>
      <c r="FMI165" s="153"/>
      <c r="FMJ165" s="153"/>
      <c r="FMK165" s="153"/>
      <c r="FML165" s="153"/>
      <c r="FMM165" s="153"/>
      <c r="FMN165" s="153"/>
      <c r="FMO165" s="153"/>
      <c r="FMP165" s="153"/>
      <c r="FMQ165" s="153"/>
      <c r="FMR165" s="153"/>
      <c r="FMS165" s="153"/>
      <c r="FMT165" s="153"/>
      <c r="FMU165" s="153"/>
      <c r="FMV165" s="153"/>
      <c r="FMW165" s="153"/>
      <c r="FMX165" s="153"/>
      <c r="FMY165" s="153"/>
      <c r="FMZ165" s="153"/>
      <c r="FNA165" s="153"/>
      <c r="FNB165" s="153"/>
      <c r="FNC165" s="153"/>
      <c r="FND165" s="153"/>
      <c r="FNE165" s="153"/>
      <c r="FNF165" s="153"/>
      <c r="FNG165" s="153"/>
      <c r="FNH165" s="153"/>
      <c r="FNI165" s="153"/>
      <c r="FNJ165" s="153"/>
      <c r="FNK165" s="153"/>
      <c r="FNL165" s="153"/>
      <c r="FNM165" s="153"/>
      <c r="FNN165" s="153"/>
      <c r="FNO165" s="153"/>
      <c r="FNP165" s="153"/>
      <c r="FNQ165" s="153"/>
      <c r="FNR165" s="153"/>
      <c r="FNS165" s="153"/>
      <c r="FNT165" s="153"/>
      <c r="FNU165" s="153"/>
      <c r="FNV165" s="153"/>
      <c r="FNW165" s="153"/>
      <c r="FNX165" s="153"/>
      <c r="FNY165" s="153"/>
      <c r="FNZ165" s="153"/>
      <c r="FOA165" s="153"/>
      <c r="FOB165" s="153"/>
      <c r="FOC165" s="153"/>
      <c r="FOD165" s="153"/>
      <c r="FOE165" s="153"/>
      <c r="FOF165" s="153"/>
      <c r="FOG165" s="153"/>
      <c r="FOH165" s="153"/>
      <c r="FOI165" s="153"/>
      <c r="FOJ165" s="153"/>
      <c r="FOK165" s="153"/>
      <c r="FOL165" s="153"/>
      <c r="FOM165" s="153"/>
      <c r="FON165" s="153"/>
      <c r="FOO165" s="153"/>
      <c r="FOP165" s="153"/>
      <c r="FOQ165" s="153"/>
      <c r="FOR165" s="153"/>
      <c r="FOS165" s="153"/>
      <c r="FOT165" s="153"/>
      <c r="FOU165" s="153"/>
      <c r="FOV165" s="153"/>
      <c r="FOW165" s="153"/>
      <c r="FOX165" s="153"/>
      <c r="FOY165" s="153"/>
      <c r="FOZ165" s="153"/>
      <c r="FPA165" s="153"/>
      <c r="FPB165" s="153"/>
      <c r="FPC165" s="153"/>
      <c r="FPD165" s="153"/>
      <c r="FPE165" s="153"/>
      <c r="FPF165" s="153"/>
      <c r="FPG165" s="153"/>
      <c r="FPH165" s="153"/>
      <c r="FPI165" s="153"/>
      <c r="FPJ165" s="153"/>
      <c r="FPK165" s="153"/>
      <c r="FPL165" s="153"/>
      <c r="FPM165" s="153"/>
      <c r="FPN165" s="153"/>
      <c r="FPO165" s="153"/>
      <c r="FPP165" s="153"/>
      <c r="FPQ165" s="153"/>
      <c r="FPR165" s="153"/>
      <c r="FPS165" s="153"/>
      <c r="FPT165" s="153"/>
      <c r="FPU165" s="153"/>
      <c r="FPV165" s="153"/>
      <c r="FPW165" s="153"/>
      <c r="FPX165" s="153"/>
      <c r="FPY165" s="153"/>
      <c r="FPZ165" s="153"/>
      <c r="FQA165" s="153"/>
      <c r="FQB165" s="153"/>
      <c r="FQC165" s="153"/>
      <c r="FQD165" s="153"/>
      <c r="FQE165" s="153"/>
      <c r="FQF165" s="153"/>
      <c r="FQG165" s="153"/>
      <c r="FQH165" s="153"/>
      <c r="FQI165" s="153"/>
      <c r="FQJ165" s="153"/>
      <c r="FQK165" s="153"/>
      <c r="FQL165" s="153"/>
      <c r="FQM165" s="153"/>
      <c r="FQN165" s="153"/>
      <c r="FQO165" s="153"/>
      <c r="FQP165" s="153"/>
      <c r="FQQ165" s="153"/>
      <c r="FQR165" s="153"/>
      <c r="FQS165" s="153"/>
      <c r="FQT165" s="153"/>
      <c r="FQU165" s="153"/>
      <c r="FQV165" s="153"/>
      <c r="FQW165" s="153"/>
      <c r="FQX165" s="153"/>
      <c r="FQY165" s="153"/>
      <c r="FQZ165" s="153"/>
      <c r="FRA165" s="153"/>
      <c r="FRB165" s="153"/>
      <c r="FRC165" s="153"/>
      <c r="FRD165" s="153"/>
      <c r="FRE165" s="153"/>
      <c r="FRF165" s="153"/>
      <c r="FRG165" s="153"/>
      <c r="FRH165" s="153"/>
      <c r="FRI165" s="153"/>
      <c r="FRJ165" s="153"/>
      <c r="FRK165" s="153"/>
      <c r="FRL165" s="153"/>
      <c r="FRM165" s="153"/>
      <c r="FRN165" s="153"/>
      <c r="FRO165" s="153"/>
      <c r="FRP165" s="153"/>
      <c r="FRQ165" s="153"/>
      <c r="FRR165" s="153"/>
      <c r="FRS165" s="153"/>
      <c r="FRT165" s="153"/>
      <c r="FRU165" s="153"/>
      <c r="FRV165" s="153"/>
      <c r="FRW165" s="153"/>
      <c r="FRX165" s="153"/>
      <c r="FRY165" s="153"/>
      <c r="FRZ165" s="153"/>
      <c r="FSA165" s="153"/>
      <c r="FSB165" s="153"/>
      <c r="FSC165" s="153"/>
      <c r="FSD165" s="153"/>
      <c r="FSE165" s="153"/>
      <c r="FSF165" s="153"/>
      <c r="FSG165" s="153"/>
      <c r="FSH165" s="153"/>
      <c r="FSI165" s="153"/>
      <c r="FSJ165" s="153"/>
      <c r="FSK165" s="153"/>
      <c r="FSL165" s="153"/>
      <c r="FSM165" s="153"/>
      <c r="FSN165" s="153"/>
      <c r="FSO165" s="153"/>
      <c r="FSP165" s="153"/>
      <c r="FSQ165" s="153"/>
      <c r="FSR165" s="153"/>
      <c r="FSS165" s="153"/>
      <c r="FST165" s="153"/>
      <c r="FSU165" s="153"/>
      <c r="FSV165" s="153"/>
      <c r="FSW165" s="153"/>
      <c r="FSX165" s="153"/>
      <c r="FSY165" s="153"/>
      <c r="FSZ165" s="153"/>
      <c r="FTA165" s="153"/>
      <c r="FTB165" s="153"/>
      <c r="FTC165" s="153"/>
      <c r="FTD165" s="153"/>
      <c r="FTE165" s="153"/>
      <c r="FTF165" s="153"/>
      <c r="FTG165" s="153"/>
      <c r="FTH165" s="153"/>
      <c r="FTI165" s="153"/>
      <c r="FTJ165" s="153"/>
      <c r="FTK165" s="153"/>
      <c r="FTL165" s="153"/>
      <c r="FTM165" s="153"/>
      <c r="FTN165" s="153"/>
      <c r="FTO165" s="153"/>
      <c r="FTP165" s="153"/>
      <c r="FTQ165" s="153"/>
      <c r="FTR165" s="153"/>
      <c r="FTS165" s="153"/>
      <c r="FTT165" s="153"/>
      <c r="FTU165" s="153"/>
      <c r="FTV165" s="153"/>
      <c r="FTW165" s="153"/>
      <c r="FTX165" s="153"/>
      <c r="FTY165" s="153"/>
      <c r="FTZ165" s="153"/>
      <c r="FUA165" s="153"/>
      <c r="FUB165" s="153"/>
      <c r="FUC165" s="153"/>
      <c r="FUD165" s="153"/>
      <c r="FUE165" s="153"/>
      <c r="FUF165" s="153"/>
      <c r="FUG165" s="153"/>
      <c r="FUH165" s="153"/>
      <c r="FUI165" s="153"/>
      <c r="FUJ165" s="153"/>
      <c r="FUK165" s="153"/>
      <c r="FUL165" s="153"/>
      <c r="FUM165" s="153"/>
      <c r="FUN165" s="153"/>
      <c r="FUO165" s="153"/>
      <c r="FUP165" s="153"/>
      <c r="FUQ165" s="153"/>
      <c r="FUR165" s="153"/>
      <c r="FUS165" s="153"/>
      <c r="FUT165" s="153"/>
      <c r="FUU165" s="153"/>
      <c r="FUV165" s="153"/>
      <c r="FUW165" s="153"/>
      <c r="FUX165" s="153"/>
      <c r="FUY165" s="153"/>
      <c r="FUZ165" s="153"/>
      <c r="FVA165" s="153"/>
      <c r="FVB165" s="153"/>
      <c r="FVC165" s="153"/>
      <c r="FVD165" s="153"/>
      <c r="FVE165" s="153"/>
      <c r="FVF165" s="153"/>
      <c r="FVG165" s="153"/>
      <c r="FVH165" s="153"/>
      <c r="FVI165" s="153"/>
      <c r="FVJ165" s="153"/>
      <c r="FVK165" s="153"/>
      <c r="FVL165" s="153"/>
      <c r="FVM165" s="153"/>
      <c r="FVN165" s="153"/>
      <c r="FVO165" s="153"/>
      <c r="FVP165" s="153"/>
      <c r="FVQ165" s="153"/>
      <c r="FVR165" s="153"/>
      <c r="FVS165" s="153"/>
      <c r="FVT165" s="153"/>
      <c r="FVU165" s="153"/>
      <c r="FVV165" s="153"/>
      <c r="FVW165" s="153"/>
      <c r="FVX165" s="153"/>
      <c r="FVY165" s="153"/>
      <c r="FVZ165" s="153"/>
      <c r="FWA165" s="153"/>
      <c r="FWB165" s="153"/>
      <c r="FWC165" s="153"/>
      <c r="FWD165" s="153"/>
      <c r="FWE165" s="153"/>
      <c r="FWF165" s="153"/>
      <c r="FWG165" s="153"/>
      <c r="FWH165" s="153"/>
      <c r="FWI165" s="153"/>
      <c r="FWJ165" s="153"/>
      <c r="FWK165" s="153"/>
      <c r="FWL165" s="153"/>
      <c r="FWM165" s="153"/>
      <c r="FWN165" s="153"/>
      <c r="FWO165" s="153"/>
      <c r="FWP165" s="153"/>
      <c r="FWQ165" s="153"/>
      <c r="FWR165" s="153"/>
      <c r="FWS165" s="153"/>
      <c r="FWT165" s="153"/>
      <c r="FWU165" s="153"/>
      <c r="FWV165" s="153"/>
      <c r="FWW165" s="153"/>
      <c r="FWX165" s="153"/>
      <c r="FWY165" s="153"/>
      <c r="FWZ165" s="153"/>
      <c r="FXA165" s="153"/>
      <c r="FXB165" s="153"/>
      <c r="FXC165" s="153"/>
      <c r="FXD165" s="153"/>
      <c r="FXE165" s="153"/>
      <c r="FXF165" s="153"/>
      <c r="FXG165" s="153"/>
      <c r="FXH165" s="153"/>
      <c r="FXI165" s="153"/>
      <c r="FXJ165" s="153"/>
      <c r="FXK165" s="153"/>
      <c r="FXL165" s="153"/>
      <c r="FXM165" s="153"/>
      <c r="FXN165" s="153"/>
      <c r="FXO165" s="153"/>
      <c r="FXP165" s="153"/>
      <c r="FXQ165" s="153"/>
      <c r="FXR165" s="153"/>
      <c r="FXS165" s="153"/>
      <c r="FXT165" s="153"/>
      <c r="FXU165" s="153"/>
      <c r="FXV165" s="153"/>
      <c r="FXW165" s="153"/>
      <c r="FXX165" s="153"/>
      <c r="FXY165" s="153"/>
      <c r="FXZ165" s="153"/>
      <c r="FYA165" s="153"/>
      <c r="FYB165" s="153"/>
      <c r="FYC165" s="153"/>
      <c r="FYD165" s="153"/>
      <c r="FYE165" s="153"/>
      <c r="FYF165" s="153"/>
      <c r="FYG165" s="153"/>
      <c r="FYH165" s="153"/>
      <c r="FYI165" s="153"/>
      <c r="FYJ165" s="153"/>
      <c r="FYK165" s="153"/>
      <c r="FYL165" s="153"/>
      <c r="FYM165" s="153"/>
      <c r="FYN165" s="153"/>
      <c r="FYO165" s="153"/>
      <c r="FYP165" s="153"/>
      <c r="FYQ165" s="153"/>
      <c r="FYR165" s="153"/>
      <c r="FYS165" s="153"/>
      <c r="FYT165" s="153"/>
      <c r="FYU165" s="153"/>
      <c r="FYV165" s="153"/>
      <c r="FYW165" s="153"/>
      <c r="FYX165" s="153"/>
      <c r="FYY165" s="153"/>
      <c r="FYZ165" s="153"/>
      <c r="FZA165" s="153"/>
      <c r="FZB165" s="153"/>
      <c r="FZC165" s="153"/>
      <c r="FZD165" s="153"/>
      <c r="FZE165" s="153"/>
      <c r="FZF165" s="153"/>
      <c r="FZG165" s="153"/>
      <c r="FZH165" s="153"/>
      <c r="FZI165" s="153"/>
      <c r="FZJ165" s="153"/>
      <c r="FZK165" s="153"/>
      <c r="FZL165" s="153"/>
      <c r="FZM165" s="153"/>
      <c r="FZN165" s="153"/>
      <c r="FZO165" s="153"/>
      <c r="FZP165" s="153"/>
      <c r="FZQ165" s="153"/>
      <c r="FZR165" s="153"/>
      <c r="FZS165" s="153"/>
      <c r="FZT165" s="153"/>
      <c r="FZU165" s="153"/>
      <c r="FZV165" s="153"/>
      <c r="FZW165" s="153"/>
      <c r="FZX165" s="153"/>
      <c r="FZY165" s="153"/>
      <c r="FZZ165" s="153"/>
      <c r="GAA165" s="153"/>
      <c r="GAB165" s="153"/>
      <c r="GAC165" s="153"/>
      <c r="GAD165" s="153"/>
      <c r="GAE165" s="153"/>
      <c r="GAF165" s="153"/>
      <c r="GAG165" s="153"/>
      <c r="GAH165" s="153"/>
      <c r="GAI165" s="153"/>
      <c r="GAJ165" s="153"/>
      <c r="GAK165" s="153"/>
      <c r="GAL165" s="153"/>
      <c r="GAM165" s="153"/>
      <c r="GAN165" s="153"/>
      <c r="GAO165" s="153"/>
      <c r="GAP165" s="153"/>
      <c r="GAQ165" s="153"/>
      <c r="GAR165" s="153"/>
      <c r="GAS165" s="153"/>
      <c r="GAT165" s="153"/>
      <c r="GAU165" s="153"/>
      <c r="GAV165" s="153"/>
      <c r="GAW165" s="153"/>
      <c r="GAX165" s="153"/>
      <c r="GAY165" s="153"/>
      <c r="GAZ165" s="153"/>
      <c r="GBA165" s="153"/>
      <c r="GBB165" s="153"/>
      <c r="GBC165" s="153"/>
      <c r="GBD165" s="153"/>
      <c r="GBE165" s="153"/>
      <c r="GBF165" s="153"/>
      <c r="GBG165" s="153"/>
      <c r="GBH165" s="153"/>
      <c r="GBI165" s="153"/>
      <c r="GBJ165" s="153"/>
      <c r="GBK165" s="153"/>
      <c r="GBL165" s="153"/>
      <c r="GBM165" s="153"/>
      <c r="GBN165" s="153"/>
      <c r="GBO165" s="153"/>
      <c r="GBP165" s="153"/>
      <c r="GBQ165" s="153"/>
      <c r="GBR165" s="153"/>
      <c r="GBS165" s="153"/>
      <c r="GBT165" s="153"/>
      <c r="GBU165" s="153"/>
      <c r="GBV165" s="153"/>
      <c r="GBW165" s="153"/>
      <c r="GBX165" s="153"/>
      <c r="GBY165" s="153"/>
      <c r="GBZ165" s="153"/>
      <c r="GCA165" s="153"/>
      <c r="GCB165" s="153"/>
      <c r="GCC165" s="153"/>
      <c r="GCD165" s="153"/>
      <c r="GCE165" s="153"/>
      <c r="GCF165" s="153"/>
      <c r="GCG165" s="153"/>
      <c r="GCH165" s="153"/>
      <c r="GCI165" s="153"/>
      <c r="GCJ165" s="153"/>
      <c r="GCK165" s="153"/>
      <c r="GCL165" s="153"/>
      <c r="GCM165" s="153"/>
      <c r="GCN165" s="153"/>
      <c r="GCO165" s="153"/>
      <c r="GCP165" s="153"/>
      <c r="GCQ165" s="153"/>
      <c r="GCR165" s="153"/>
      <c r="GCS165" s="153"/>
      <c r="GCT165" s="153"/>
      <c r="GCU165" s="153"/>
      <c r="GCV165" s="153"/>
      <c r="GCW165" s="153"/>
      <c r="GCX165" s="153"/>
      <c r="GCY165" s="153"/>
      <c r="GCZ165" s="153"/>
      <c r="GDA165" s="153"/>
      <c r="GDB165" s="153"/>
      <c r="GDC165" s="153"/>
      <c r="GDD165" s="153"/>
      <c r="GDE165" s="153"/>
      <c r="GDF165" s="153"/>
      <c r="GDG165" s="153"/>
      <c r="GDH165" s="153"/>
      <c r="GDI165" s="153"/>
      <c r="GDJ165" s="153"/>
      <c r="GDK165" s="153"/>
      <c r="GDL165" s="153"/>
      <c r="GDM165" s="153"/>
      <c r="GDN165" s="153"/>
      <c r="GDO165" s="153"/>
      <c r="GDP165" s="153"/>
      <c r="GDQ165" s="153"/>
      <c r="GDR165" s="153"/>
      <c r="GDS165" s="153"/>
      <c r="GDT165" s="153"/>
      <c r="GDU165" s="153"/>
      <c r="GDV165" s="153"/>
      <c r="GDW165" s="153"/>
      <c r="GDX165" s="153"/>
      <c r="GDY165" s="153"/>
      <c r="GDZ165" s="153"/>
      <c r="GEA165" s="153"/>
      <c r="GEB165" s="153"/>
      <c r="GEC165" s="153"/>
      <c r="GED165" s="153"/>
      <c r="GEE165" s="153"/>
      <c r="GEF165" s="153"/>
      <c r="GEG165" s="153"/>
      <c r="GEH165" s="153"/>
      <c r="GEI165" s="153"/>
      <c r="GEJ165" s="153"/>
      <c r="GEK165" s="153"/>
      <c r="GEL165" s="153"/>
      <c r="GEM165" s="153"/>
      <c r="GEN165" s="153"/>
      <c r="GEO165" s="153"/>
      <c r="GEP165" s="153"/>
      <c r="GEQ165" s="153"/>
      <c r="GER165" s="153"/>
      <c r="GES165" s="153"/>
      <c r="GET165" s="153"/>
      <c r="GEU165" s="153"/>
      <c r="GEV165" s="153"/>
      <c r="GEW165" s="153"/>
      <c r="GEX165" s="153"/>
      <c r="GEY165" s="153"/>
      <c r="GEZ165" s="153"/>
      <c r="GFA165" s="153"/>
      <c r="GFB165" s="153"/>
      <c r="GFC165" s="153"/>
      <c r="GFD165" s="153"/>
      <c r="GFE165" s="153"/>
      <c r="GFF165" s="153"/>
      <c r="GFG165" s="153"/>
      <c r="GFH165" s="153"/>
      <c r="GFI165" s="153"/>
      <c r="GFJ165" s="153"/>
      <c r="GFK165" s="153"/>
      <c r="GFL165" s="153"/>
      <c r="GFM165" s="153"/>
      <c r="GFN165" s="153"/>
      <c r="GFO165" s="153"/>
      <c r="GFP165" s="153"/>
      <c r="GFQ165" s="153"/>
      <c r="GFR165" s="153"/>
      <c r="GFS165" s="153"/>
      <c r="GFT165" s="153"/>
      <c r="GFU165" s="153"/>
      <c r="GFV165" s="153"/>
      <c r="GFW165" s="153"/>
      <c r="GFX165" s="153"/>
      <c r="GFY165" s="153"/>
      <c r="GFZ165" s="153"/>
      <c r="GGA165" s="153"/>
      <c r="GGB165" s="153"/>
      <c r="GGC165" s="153"/>
      <c r="GGD165" s="153"/>
      <c r="GGE165" s="153"/>
      <c r="GGF165" s="153"/>
      <c r="GGG165" s="153"/>
      <c r="GGH165" s="153"/>
      <c r="GGI165" s="153"/>
      <c r="GGJ165" s="153"/>
      <c r="GGK165" s="153"/>
      <c r="GGL165" s="153"/>
      <c r="GGM165" s="153"/>
      <c r="GGN165" s="153"/>
      <c r="GGO165" s="153"/>
      <c r="GGP165" s="153"/>
      <c r="GGQ165" s="153"/>
      <c r="GGR165" s="153"/>
      <c r="GGS165" s="153"/>
      <c r="GGT165" s="153"/>
      <c r="GGU165" s="153"/>
      <c r="GGV165" s="153"/>
      <c r="GGW165" s="153"/>
      <c r="GGX165" s="153"/>
      <c r="GGY165" s="153"/>
      <c r="GGZ165" s="153"/>
      <c r="GHA165" s="153"/>
      <c r="GHB165" s="153"/>
      <c r="GHC165" s="153"/>
      <c r="GHD165" s="153"/>
      <c r="GHE165" s="153"/>
      <c r="GHF165" s="153"/>
      <c r="GHG165" s="153"/>
      <c r="GHH165" s="153"/>
      <c r="GHI165" s="153"/>
      <c r="GHJ165" s="153"/>
      <c r="GHK165" s="153"/>
      <c r="GHL165" s="153"/>
      <c r="GHM165" s="153"/>
      <c r="GHN165" s="153"/>
      <c r="GHO165" s="153"/>
      <c r="GHP165" s="153"/>
      <c r="GHQ165" s="153"/>
      <c r="GHR165" s="153"/>
      <c r="GHS165" s="153"/>
      <c r="GHT165" s="153"/>
      <c r="GHU165" s="153"/>
      <c r="GHV165" s="153"/>
      <c r="GHW165" s="153"/>
      <c r="GHX165" s="153"/>
      <c r="GHY165" s="153"/>
      <c r="GHZ165" s="153"/>
      <c r="GIA165" s="153"/>
      <c r="GIB165" s="153"/>
      <c r="GIC165" s="153"/>
      <c r="GID165" s="153"/>
      <c r="GIE165" s="153"/>
      <c r="GIF165" s="153"/>
      <c r="GIG165" s="153"/>
      <c r="GIH165" s="153"/>
      <c r="GII165" s="153"/>
      <c r="GIJ165" s="153"/>
      <c r="GIK165" s="153"/>
      <c r="GIL165" s="153"/>
      <c r="GIM165" s="153"/>
      <c r="GIN165" s="153"/>
      <c r="GIO165" s="153"/>
      <c r="GIP165" s="153"/>
      <c r="GIQ165" s="153"/>
      <c r="GIR165" s="153"/>
      <c r="GIS165" s="153"/>
      <c r="GIT165" s="153"/>
      <c r="GIU165" s="153"/>
      <c r="GIV165" s="153"/>
      <c r="GIW165" s="153"/>
      <c r="GIX165" s="153"/>
      <c r="GIY165" s="153"/>
      <c r="GIZ165" s="153"/>
      <c r="GJA165" s="153"/>
      <c r="GJB165" s="153"/>
      <c r="GJC165" s="153"/>
      <c r="GJD165" s="153"/>
      <c r="GJE165" s="153"/>
      <c r="GJF165" s="153"/>
      <c r="GJG165" s="153"/>
      <c r="GJH165" s="153"/>
      <c r="GJI165" s="153"/>
      <c r="GJJ165" s="153"/>
      <c r="GJK165" s="153"/>
      <c r="GJL165" s="153"/>
      <c r="GJM165" s="153"/>
      <c r="GJN165" s="153"/>
      <c r="GJO165" s="153"/>
      <c r="GJP165" s="153"/>
      <c r="GJQ165" s="153"/>
      <c r="GJR165" s="153"/>
      <c r="GJS165" s="153"/>
      <c r="GJT165" s="153"/>
      <c r="GJU165" s="153"/>
      <c r="GJV165" s="153"/>
      <c r="GJW165" s="153"/>
      <c r="GJX165" s="153"/>
      <c r="GJY165" s="153"/>
      <c r="GJZ165" s="153"/>
      <c r="GKA165" s="153"/>
      <c r="GKB165" s="153"/>
      <c r="GKC165" s="153"/>
      <c r="GKD165" s="153"/>
      <c r="GKE165" s="153"/>
      <c r="GKF165" s="153"/>
      <c r="GKG165" s="153"/>
      <c r="GKH165" s="153"/>
      <c r="GKI165" s="153"/>
      <c r="GKJ165" s="153"/>
      <c r="GKK165" s="153"/>
      <c r="GKL165" s="153"/>
      <c r="GKM165" s="153"/>
      <c r="GKN165" s="153"/>
      <c r="GKO165" s="153"/>
      <c r="GKP165" s="153"/>
      <c r="GKQ165" s="153"/>
      <c r="GKR165" s="153"/>
      <c r="GKS165" s="153"/>
      <c r="GKT165" s="153"/>
      <c r="GKU165" s="153"/>
      <c r="GKV165" s="153"/>
      <c r="GKW165" s="153"/>
      <c r="GKX165" s="153"/>
      <c r="GKY165" s="153"/>
      <c r="GKZ165" s="153"/>
      <c r="GLA165" s="153"/>
      <c r="GLB165" s="153"/>
      <c r="GLC165" s="153"/>
      <c r="GLD165" s="153"/>
      <c r="GLE165" s="153"/>
      <c r="GLF165" s="153"/>
      <c r="GLG165" s="153"/>
      <c r="GLH165" s="153"/>
      <c r="GLI165" s="153"/>
      <c r="GLJ165" s="153"/>
      <c r="GLK165" s="153"/>
      <c r="GLL165" s="153"/>
      <c r="GLM165" s="153"/>
      <c r="GLN165" s="153"/>
      <c r="GLO165" s="153"/>
      <c r="GLP165" s="153"/>
      <c r="GLQ165" s="153"/>
      <c r="GLR165" s="153"/>
      <c r="GLS165" s="153"/>
      <c r="GLT165" s="153"/>
      <c r="GLU165" s="153"/>
      <c r="GLV165" s="153"/>
      <c r="GLW165" s="153"/>
      <c r="GLX165" s="153"/>
      <c r="GLY165" s="153"/>
      <c r="GLZ165" s="153"/>
      <c r="GMA165" s="153"/>
      <c r="GMB165" s="153"/>
      <c r="GMC165" s="153"/>
      <c r="GMD165" s="153"/>
      <c r="GME165" s="153"/>
      <c r="GMF165" s="153"/>
      <c r="GMG165" s="153"/>
      <c r="GMH165" s="153"/>
      <c r="GMI165" s="153"/>
      <c r="GMJ165" s="153"/>
      <c r="GMK165" s="153"/>
      <c r="GML165" s="153"/>
      <c r="GMM165" s="153"/>
      <c r="GMN165" s="153"/>
      <c r="GMO165" s="153"/>
      <c r="GMP165" s="153"/>
      <c r="GMQ165" s="153"/>
      <c r="GMR165" s="153"/>
      <c r="GMS165" s="153"/>
      <c r="GMT165" s="153"/>
      <c r="GMU165" s="153"/>
      <c r="GMV165" s="153"/>
      <c r="GMW165" s="153"/>
      <c r="GMX165" s="153"/>
      <c r="GMY165" s="153"/>
      <c r="GMZ165" s="153"/>
      <c r="GNA165" s="153"/>
      <c r="GNB165" s="153"/>
      <c r="GNC165" s="153"/>
      <c r="GND165" s="153"/>
      <c r="GNE165" s="153"/>
      <c r="GNF165" s="153"/>
      <c r="GNG165" s="153"/>
      <c r="GNH165" s="153"/>
      <c r="GNI165" s="153"/>
      <c r="GNJ165" s="153"/>
      <c r="GNK165" s="153"/>
      <c r="GNL165" s="153"/>
      <c r="GNM165" s="153"/>
      <c r="GNN165" s="153"/>
      <c r="GNO165" s="153"/>
      <c r="GNP165" s="153"/>
      <c r="GNQ165" s="153"/>
      <c r="GNR165" s="153"/>
      <c r="GNS165" s="153"/>
      <c r="GNT165" s="153"/>
      <c r="GNU165" s="153"/>
      <c r="GNV165" s="153"/>
      <c r="GNW165" s="153"/>
      <c r="GNX165" s="153"/>
      <c r="GNY165" s="153"/>
      <c r="GNZ165" s="153"/>
      <c r="GOA165" s="153"/>
      <c r="GOB165" s="153"/>
      <c r="GOC165" s="153"/>
      <c r="GOD165" s="153"/>
      <c r="GOE165" s="153"/>
      <c r="GOF165" s="153"/>
      <c r="GOG165" s="153"/>
      <c r="GOH165" s="153"/>
      <c r="GOI165" s="153"/>
      <c r="GOJ165" s="153"/>
      <c r="GOK165" s="153"/>
      <c r="GOL165" s="153"/>
      <c r="GOM165" s="153"/>
      <c r="GON165" s="153"/>
      <c r="GOO165" s="153"/>
      <c r="GOP165" s="153"/>
      <c r="GOQ165" s="153"/>
      <c r="GOR165" s="153"/>
      <c r="GOS165" s="153"/>
      <c r="GOT165" s="153"/>
      <c r="GOU165" s="153"/>
      <c r="GOV165" s="153"/>
      <c r="GOW165" s="153"/>
      <c r="GOX165" s="153"/>
      <c r="GOY165" s="153"/>
      <c r="GOZ165" s="153"/>
      <c r="GPA165" s="153"/>
      <c r="GPB165" s="153"/>
      <c r="GPC165" s="153"/>
      <c r="GPD165" s="153"/>
      <c r="GPE165" s="153"/>
      <c r="GPF165" s="153"/>
      <c r="GPG165" s="153"/>
      <c r="GPH165" s="153"/>
      <c r="GPI165" s="153"/>
      <c r="GPJ165" s="153"/>
      <c r="GPK165" s="153"/>
      <c r="GPL165" s="153"/>
      <c r="GPM165" s="153"/>
      <c r="GPN165" s="153"/>
      <c r="GPO165" s="153"/>
      <c r="GPP165" s="153"/>
      <c r="GPQ165" s="153"/>
      <c r="GPR165" s="153"/>
      <c r="GPS165" s="153"/>
      <c r="GPT165" s="153"/>
      <c r="GPU165" s="153"/>
      <c r="GPV165" s="153"/>
      <c r="GPW165" s="153"/>
      <c r="GPX165" s="153"/>
      <c r="GPY165" s="153"/>
      <c r="GPZ165" s="153"/>
      <c r="GQA165" s="153"/>
      <c r="GQB165" s="153"/>
      <c r="GQC165" s="153"/>
      <c r="GQD165" s="153"/>
      <c r="GQE165" s="153"/>
      <c r="GQF165" s="153"/>
      <c r="GQG165" s="153"/>
      <c r="GQH165" s="153"/>
      <c r="GQI165" s="153"/>
      <c r="GQJ165" s="153"/>
      <c r="GQK165" s="153"/>
      <c r="GQL165" s="153"/>
      <c r="GQM165" s="153"/>
      <c r="GQN165" s="153"/>
      <c r="GQO165" s="153"/>
      <c r="GQP165" s="153"/>
      <c r="GQQ165" s="153"/>
      <c r="GQR165" s="153"/>
      <c r="GQS165" s="153"/>
      <c r="GQT165" s="153"/>
      <c r="GQU165" s="153"/>
      <c r="GQV165" s="153"/>
      <c r="GQW165" s="153"/>
      <c r="GQX165" s="153"/>
      <c r="GQY165" s="153"/>
      <c r="GQZ165" s="153"/>
      <c r="GRA165" s="153"/>
      <c r="GRB165" s="153"/>
      <c r="GRC165" s="153"/>
      <c r="GRD165" s="153"/>
      <c r="GRE165" s="153"/>
      <c r="GRF165" s="153"/>
      <c r="GRG165" s="153"/>
      <c r="GRH165" s="153"/>
      <c r="GRI165" s="153"/>
      <c r="GRJ165" s="153"/>
      <c r="GRK165" s="153"/>
      <c r="GRL165" s="153"/>
      <c r="GRM165" s="153"/>
      <c r="GRN165" s="153"/>
      <c r="GRO165" s="153"/>
      <c r="GRP165" s="153"/>
      <c r="GRQ165" s="153"/>
      <c r="GRR165" s="153"/>
      <c r="GRS165" s="153"/>
      <c r="GRT165" s="153"/>
      <c r="GRU165" s="153"/>
      <c r="GRV165" s="153"/>
      <c r="GRW165" s="153"/>
      <c r="GRX165" s="153"/>
      <c r="GRY165" s="153"/>
      <c r="GRZ165" s="153"/>
      <c r="GSA165" s="153"/>
      <c r="GSB165" s="153"/>
      <c r="GSC165" s="153"/>
      <c r="GSD165" s="153"/>
      <c r="GSE165" s="153"/>
      <c r="GSF165" s="153"/>
      <c r="GSG165" s="153"/>
      <c r="GSH165" s="153"/>
      <c r="GSI165" s="153"/>
      <c r="GSJ165" s="153"/>
      <c r="GSK165" s="153"/>
      <c r="GSL165" s="153"/>
      <c r="GSM165" s="153"/>
      <c r="GSN165" s="153"/>
      <c r="GSO165" s="153"/>
      <c r="GSP165" s="153"/>
      <c r="GSQ165" s="153"/>
      <c r="GSR165" s="153"/>
      <c r="GSS165" s="153"/>
      <c r="GST165" s="153"/>
      <c r="GSU165" s="153"/>
      <c r="GSV165" s="153"/>
      <c r="GSW165" s="153"/>
      <c r="GSX165" s="153"/>
      <c r="GSY165" s="153"/>
      <c r="GSZ165" s="153"/>
      <c r="GTA165" s="153"/>
      <c r="GTB165" s="153"/>
      <c r="GTC165" s="153"/>
      <c r="GTD165" s="153"/>
      <c r="GTE165" s="153"/>
      <c r="GTF165" s="153"/>
      <c r="GTG165" s="153"/>
      <c r="GTH165" s="153"/>
      <c r="GTI165" s="153"/>
      <c r="GTJ165" s="153"/>
      <c r="GTK165" s="153"/>
      <c r="GTL165" s="153"/>
      <c r="GTM165" s="153"/>
      <c r="GTN165" s="153"/>
      <c r="GTO165" s="153"/>
      <c r="GTP165" s="153"/>
      <c r="GTQ165" s="153"/>
      <c r="GTR165" s="153"/>
      <c r="GTS165" s="153"/>
      <c r="GTT165" s="153"/>
      <c r="GTU165" s="153"/>
      <c r="GTV165" s="153"/>
      <c r="GTW165" s="153"/>
      <c r="GTX165" s="153"/>
      <c r="GTY165" s="153"/>
      <c r="GTZ165" s="153"/>
      <c r="GUA165" s="153"/>
      <c r="GUB165" s="153"/>
      <c r="GUC165" s="153"/>
      <c r="GUD165" s="153"/>
      <c r="GUE165" s="153"/>
      <c r="GUF165" s="153"/>
      <c r="GUG165" s="153"/>
      <c r="GUH165" s="153"/>
      <c r="GUI165" s="153"/>
      <c r="GUJ165" s="153"/>
      <c r="GUK165" s="153"/>
      <c r="GUL165" s="153"/>
      <c r="GUM165" s="153"/>
      <c r="GUN165" s="153"/>
      <c r="GUO165" s="153"/>
      <c r="GUP165" s="153"/>
      <c r="GUQ165" s="153"/>
      <c r="GUR165" s="153"/>
      <c r="GUS165" s="153"/>
      <c r="GUT165" s="153"/>
      <c r="GUU165" s="153"/>
      <c r="GUV165" s="153"/>
      <c r="GUW165" s="153"/>
      <c r="GUX165" s="153"/>
      <c r="GUY165" s="153"/>
      <c r="GUZ165" s="153"/>
      <c r="GVA165" s="153"/>
      <c r="GVB165" s="153"/>
      <c r="GVC165" s="153"/>
      <c r="GVD165" s="153"/>
      <c r="GVE165" s="153"/>
      <c r="GVF165" s="153"/>
      <c r="GVG165" s="153"/>
      <c r="GVH165" s="153"/>
      <c r="GVI165" s="153"/>
      <c r="GVJ165" s="153"/>
      <c r="GVK165" s="153"/>
      <c r="GVL165" s="153"/>
      <c r="GVM165" s="153"/>
      <c r="GVN165" s="153"/>
      <c r="GVO165" s="153"/>
      <c r="GVP165" s="153"/>
      <c r="GVQ165" s="153"/>
      <c r="GVR165" s="153"/>
      <c r="GVS165" s="153"/>
      <c r="GVT165" s="153"/>
      <c r="GVU165" s="153"/>
      <c r="GVV165" s="153"/>
      <c r="GVW165" s="153"/>
      <c r="GVX165" s="153"/>
      <c r="GVY165" s="153"/>
      <c r="GVZ165" s="153"/>
      <c r="GWA165" s="153"/>
      <c r="GWB165" s="153"/>
      <c r="GWC165" s="153"/>
      <c r="GWD165" s="153"/>
      <c r="GWE165" s="153"/>
      <c r="GWF165" s="153"/>
      <c r="GWG165" s="153"/>
      <c r="GWH165" s="153"/>
      <c r="GWI165" s="153"/>
      <c r="GWJ165" s="153"/>
      <c r="GWK165" s="153"/>
      <c r="GWL165" s="153"/>
      <c r="GWM165" s="153"/>
      <c r="GWN165" s="153"/>
      <c r="GWO165" s="153"/>
      <c r="GWP165" s="153"/>
      <c r="GWQ165" s="153"/>
      <c r="GWR165" s="153"/>
      <c r="GWS165" s="153"/>
      <c r="GWT165" s="153"/>
      <c r="GWU165" s="153"/>
      <c r="GWV165" s="153"/>
      <c r="GWW165" s="153"/>
      <c r="GWX165" s="153"/>
      <c r="GWY165" s="153"/>
      <c r="GWZ165" s="153"/>
      <c r="GXA165" s="153"/>
      <c r="GXB165" s="153"/>
      <c r="GXC165" s="153"/>
      <c r="GXD165" s="153"/>
      <c r="GXE165" s="153"/>
      <c r="GXF165" s="153"/>
      <c r="GXG165" s="153"/>
      <c r="GXH165" s="153"/>
      <c r="GXI165" s="153"/>
      <c r="GXJ165" s="153"/>
      <c r="GXK165" s="153"/>
      <c r="GXL165" s="153"/>
      <c r="GXM165" s="153"/>
      <c r="GXN165" s="153"/>
      <c r="GXO165" s="153"/>
      <c r="GXP165" s="153"/>
      <c r="GXQ165" s="153"/>
      <c r="GXR165" s="153"/>
      <c r="GXS165" s="153"/>
      <c r="GXT165" s="153"/>
      <c r="GXU165" s="153"/>
      <c r="GXV165" s="153"/>
      <c r="GXW165" s="153"/>
      <c r="GXX165" s="153"/>
      <c r="GXY165" s="153"/>
      <c r="GXZ165" s="153"/>
      <c r="GYA165" s="153"/>
      <c r="GYB165" s="153"/>
      <c r="GYC165" s="153"/>
      <c r="GYD165" s="153"/>
      <c r="GYE165" s="153"/>
      <c r="GYF165" s="153"/>
      <c r="GYG165" s="153"/>
      <c r="GYH165" s="153"/>
      <c r="GYI165" s="153"/>
      <c r="GYJ165" s="153"/>
      <c r="GYK165" s="153"/>
      <c r="GYL165" s="153"/>
      <c r="GYM165" s="153"/>
      <c r="GYN165" s="153"/>
      <c r="GYO165" s="153"/>
      <c r="GYP165" s="153"/>
      <c r="GYQ165" s="153"/>
      <c r="GYR165" s="153"/>
      <c r="GYS165" s="153"/>
      <c r="GYT165" s="153"/>
      <c r="GYU165" s="153"/>
      <c r="GYV165" s="153"/>
      <c r="GYW165" s="153"/>
      <c r="GYX165" s="153"/>
      <c r="GYY165" s="153"/>
      <c r="GYZ165" s="153"/>
      <c r="GZA165" s="153"/>
      <c r="GZB165" s="153"/>
      <c r="GZC165" s="153"/>
      <c r="GZD165" s="153"/>
      <c r="GZE165" s="153"/>
      <c r="GZF165" s="153"/>
      <c r="GZG165" s="153"/>
      <c r="GZH165" s="153"/>
      <c r="GZI165" s="153"/>
      <c r="GZJ165" s="153"/>
      <c r="GZK165" s="153"/>
      <c r="GZL165" s="153"/>
      <c r="GZM165" s="153"/>
      <c r="GZN165" s="153"/>
      <c r="GZO165" s="153"/>
      <c r="GZP165" s="153"/>
      <c r="GZQ165" s="153"/>
      <c r="GZR165" s="153"/>
      <c r="GZS165" s="153"/>
      <c r="GZT165" s="153"/>
      <c r="GZU165" s="153"/>
      <c r="GZV165" s="153"/>
      <c r="GZW165" s="153"/>
      <c r="GZX165" s="153"/>
      <c r="GZY165" s="153"/>
      <c r="GZZ165" s="153"/>
      <c r="HAA165" s="153"/>
      <c r="HAB165" s="153"/>
      <c r="HAC165" s="153"/>
      <c r="HAD165" s="153"/>
      <c r="HAE165" s="153"/>
      <c r="HAF165" s="153"/>
      <c r="HAG165" s="153"/>
      <c r="HAH165" s="153"/>
      <c r="HAI165" s="153"/>
      <c r="HAJ165" s="153"/>
      <c r="HAK165" s="153"/>
      <c r="HAL165" s="153"/>
      <c r="HAM165" s="153"/>
      <c r="HAN165" s="153"/>
      <c r="HAO165" s="153"/>
      <c r="HAP165" s="153"/>
      <c r="HAQ165" s="153"/>
      <c r="HAR165" s="153"/>
      <c r="HAS165" s="153"/>
      <c r="HAT165" s="153"/>
      <c r="HAU165" s="153"/>
      <c r="HAV165" s="153"/>
      <c r="HAW165" s="153"/>
      <c r="HAX165" s="153"/>
      <c r="HAY165" s="153"/>
      <c r="HAZ165" s="153"/>
      <c r="HBA165" s="153"/>
      <c r="HBB165" s="153"/>
      <c r="HBC165" s="153"/>
      <c r="HBD165" s="153"/>
      <c r="HBE165" s="153"/>
      <c r="HBF165" s="153"/>
      <c r="HBG165" s="153"/>
      <c r="HBH165" s="153"/>
      <c r="HBI165" s="153"/>
      <c r="HBJ165" s="153"/>
      <c r="HBK165" s="153"/>
      <c r="HBL165" s="153"/>
      <c r="HBM165" s="153"/>
      <c r="HBN165" s="153"/>
      <c r="HBO165" s="153"/>
      <c r="HBP165" s="153"/>
      <c r="HBQ165" s="153"/>
      <c r="HBR165" s="153"/>
      <c r="HBS165" s="153"/>
      <c r="HBT165" s="153"/>
      <c r="HBU165" s="153"/>
      <c r="HBV165" s="153"/>
      <c r="HBW165" s="153"/>
      <c r="HBX165" s="153"/>
      <c r="HBY165" s="153"/>
      <c r="HBZ165" s="153"/>
      <c r="HCA165" s="153"/>
      <c r="HCB165" s="153"/>
      <c r="HCC165" s="153"/>
      <c r="HCD165" s="153"/>
      <c r="HCE165" s="153"/>
      <c r="HCF165" s="153"/>
      <c r="HCG165" s="153"/>
      <c r="HCH165" s="153"/>
      <c r="HCI165" s="153"/>
      <c r="HCJ165" s="153"/>
      <c r="HCK165" s="153"/>
      <c r="HCL165" s="153"/>
      <c r="HCM165" s="153"/>
      <c r="HCN165" s="153"/>
      <c r="HCO165" s="153"/>
      <c r="HCP165" s="153"/>
      <c r="HCQ165" s="153"/>
      <c r="HCR165" s="153"/>
      <c r="HCS165" s="153"/>
      <c r="HCT165" s="153"/>
      <c r="HCU165" s="153"/>
      <c r="HCV165" s="153"/>
      <c r="HCW165" s="153"/>
      <c r="HCX165" s="153"/>
      <c r="HCY165" s="153"/>
      <c r="HCZ165" s="153"/>
      <c r="HDA165" s="153"/>
      <c r="HDB165" s="153"/>
      <c r="HDC165" s="153"/>
      <c r="HDD165" s="153"/>
      <c r="HDE165" s="153"/>
      <c r="HDF165" s="153"/>
      <c r="HDG165" s="153"/>
      <c r="HDH165" s="153"/>
      <c r="HDI165" s="153"/>
      <c r="HDJ165" s="153"/>
      <c r="HDK165" s="153"/>
      <c r="HDL165" s="153"/>
      <c r="HDM165" s="153"/>
      <c r="HDN165" s="153"/>
      <c r="HDO165" s="153"/>
      <c r="HDP165" s="153"/>
      <c r="HDQ165" s="153"/>
      <c r="HDR165" s="153"/>
      <c r="HDS165" s="153"/>
      <c r="HDT165" s="153"/>
      <c r="HDU165" s="153"/>
      <c r="HDV165" s="153"/>
      <c r="HDW165" s="153"/>
      <c r="HDX165" s="153"/>
      <c r="HDY165" s="153"/>
      <c r="HDZ165" s="153"/>
      <c r="HEA165" s="153"/>
      <c r="HEB165" s="153"/>
      <c r="HEC165" s="153"/>
      <c r="HED165" s="153"/>
      <c r="HEE165" s="153"/>
      <c r="HEF165" s="153"/>
      <c r="HEG165" s="153"/>
      <c r="HEH165" s="153"/>
      <c r="HEI165" s="153"/>
      <c r="HEJ165" s="153"/>
      <c r="HEK165" s="153"/>
      <c r="HEL165" s="153"/>
      <c r="HEM165" s="153"/>
      <c r="HEN165" s="153"/>
      <c r="HEO165" s="153"/>
      <c r="HEP165" s="153"/>
      <c r="HEQ165" s="153"/>
      <c r="HER165" s="153"/>
      <c r="HES165" s="153"/>
      <c r="HET165" s="153"/>
      <c r="HEU165" s="153"/>
      <c r="HEV165" s="153"/>
      <c r="HEW165" s="153"/>
      <c r="HEX165" s="153"/>
      <c r="HEY165" s="153"/>
      <c r="HEZ165" s="153"/>
      <c r="HFA165" s="153"/>
      <c r="HFB165" s="153"/>
      <c r="HFC165" s="153"/>
      <c r="HFD165" s="153"/>
      <c r="HFE165" s="153"/>
      <c r="HFF165" s="153"/>
      <c r="HFG165" s="153"/>
      <c r="HFH165" s="153"/>
      <c r="HFI165" s="153"/>
      <c r="HFJ165" s="153"/>
      <c r="HFK165" s="153"/>
      <c r="HFL165" s="153"/>
      <c r="HFM165" s="153"/>
      <c r="HFN165" s="153"/>
      <c r="HFO165" s="153"/>
      <c r="HFP165" s="153"/>
      <c r="HFQ165" s="153"/>
      <c r="HFR165" s="153"/>
      <c r="HFS165" s="153"/>
      <c r="HFT165" s="153"/>
      <c r="HFU165" s="153"/>
      <c r="HFV165" s="153"/>
      <c r="HFW165" s="153"/>
      <c r="HFX165" s="153"/>
      <c r="HFY165" s="153"/>
      <c r="HFZ165" s="153"/>
      <c r="HGA165" s="153"/>
      <c r="HGB165" s="153"/>
      <c r="HGC165" s="153"/>
      <c r="HGD165" s="153"/>
      <c r="HGE165" s="153"/>
      <c r="HGF165" s="153"/>
      <c r="HGG165" s="153"/>
      <c r="HGH165" s="153"/>
      <c r="HGI165" s="153"/>
      <c r="HGJ165" s="153"/>
      <c r="HGK165" s="153"/>
      <c r="HGL165" s="153"/>
      <c r="HGM165" s="153"/>
      <c r="HGN165" s="153"/>
      <c r="HGO165" s="153"/>
      <c r="HGP165" s="153"/>
      <c r="HGQ165" s="153"/>
      <c r="HGR165" s="153"/>
      <c r="HGS165" s="153"/>
      <c r="HGT165" s="153"/>
      <c r="HGU165" s="153"/>
      <c r="HGV165" s="153"/>
      <c r="HGW165" s="153"/>
      <c r="HGX165" s="153"/>
      <c r="HGY165" s="153"/>
      <c r="HGZ165" s="153"/>
      <c r="HHA165" s="153"/>
      <c r="HHB165" s="153"/>
      <c r="HHC165" s="153"/>
      <c r="HHD165" s="153"/>
      <c r="HHE165" s="153"/>
      <c r="HHF165" s="153"/>
      <c r="HHG165" s="153"/>
      <c r="HHH165" s="153"/>
      <c r="HHI165" s="153"/>
      <c r="HHJ165" s="153"/>
      <c r="HHK165" s="153"/>
      <c r="HHL165" s="153"/>
      <c r="HHM165" s="153"/>
      <c r="HHN165" s="153"/>
      <c r="HHO165" s="153"/>
      <c r="HHP165" s="153"/>
      <c r="HHQ165" s="153"/>
      <c r="HHR165" s="153"/>
      <c r="HHS165" s="153"/>
      <c r="HHT165" s="153"/>
      <c r="HHU165" s="153"/>
      <c r="HHV165" s="153"/>
      <c r="HHW165" s="153"/>
      <c r="HHX165" s="153"/>
      <c r="HHY165" s="153"/>
      <c r="HHZ165" s="153"/>
      <c r="HIA165" s="153"/>
      <c r="HIB165" s="153"/>
      <c r="HIC165" s="153"/>
      <c r="HID165" s="153"/>
      <c r="HIE165" s="153"/>
      <c r="HIF165" s="153"/>
      <c r="HIG165" s="153"/>
      <c r="HIH165" s="153"/>
      <c r="HII165" s="153"/>
      <c r="HIJ165" s="153"/>
      <c r="HIK165" s="153"/>
      <c r="HIL165" s="153"/>
      <c r="HIM165" s="153"/>
      <c r="HIN165" s="153"/>
      <c r="HIO165" s="153"/>
      <c r="HIP165" s="153"/>
      <c r="HIQ165" s="153"/>
      <c r="HIR165" s="153"/>
      <c r="HIS165" s="153"/>
      <c r="HIT165" s="153"/>
      <c r="HIU165" s="153"/>
      <c r="HIV165" s="153"/>
      <c r="HIW165" s="153"/>
      <c r="HIX165" s="153"/>
      <c r="HIY165" s="153"/>
      <c r="HIZ165" s="153"/>
      <c r="HJA165" s="153"/>
      <c r="HJB165" s="153"/>
      <c r="HJC165" s="153"/>
      <c r="HJD165" s="153"/>
      <c r="HJE165" s="153"/>
      <c r="HJF165" s="153"/>
      <c r="HJG165" s="153"/>
      <c r="HJH165" s="153"/>
      <c r="HJI165" s="153"/>
      <c r="HJJ165" s="153"/>
      <c r="HJK165" s="153"/>
      <c r="HJL165" s="153"/>
      <c r="HJM165" s="153"/>
      <c r="HJN165" s="153"/>
      <c r="HJO165" s="153"/>
      <c r="HJP165" s="153"/>
      <c r="HJQ165" s="153"/>
      <c r="HJR165" s="153"/>
      <c r="HJS165" s="153"/>
      <c r="HJT165" s="153"/>
      <c r="HJU165" s="153"/>
      <c r="HJV165" s="153"/>
      <c r="HJW165" s="153"/>
      <c r="HJX165" s="153"/>
      <c r="HJY165" s="153"/>
      <c r="HJZ165" s="153"/>
      <c r="HKA165" s="153"/>
      <c r="HKB165" s="153"/>
      <c r="HKC165" s="153"/>
      <c r="HKD165" s="153"/>
      <c r="HKE165" s="153"/>
      <c r="HKF165" s="153"/>
      <c r="HKG165" s="153"/>
      <c r="HKH165" s="153"/>
      <c r="HKI165" s="153"/>
      <c r="HKJ165" s="153"/>
      <c r="HKK165" s="153"/>
      <c r="HKL165" s="153"/>
      <c r="HKM165" s="153"/>
      <c r="HKN165" s="153"/>
      <c r="HKO165" s="153"/>
      <c r="HKP165" s="153"/>
      <c r="HKQ165" s="153"/>
      <c r="HKR165" s="153"/>
      <c r="HKS165" s="153"/>
      <c r="HKT165" s="153"/>
      <c r="HKU165" s="153"/>
      <c r="HKV165" s="153"/>
      <c r="HKW165" s="153"/>
      <c r="HKX165" s="153"/>
      <c r="HKY165" s="153"/>
      <c r="HKZ165" s="153"/>
      <c r="HLA165" s="153"/>
      <c r="HLB165" s="153"/>
      <c r="HLC165" s="153"/>
      <c r="HLD165" s="153"/>
      <c r="HLE165" s="153"/>
      <c r="HLF165" s="153"/>
      <c r="HLG165" s="153"/>
      <c r="HLH165" s="153"/>
      <c r="HLI165" s="153"/>
      <c r="HLJ165" s="153"/>
      <c r="HLK165" s="153"/>
      <c r="HLL165" s="153"/>
      <c r="HLM165" s="153"/>
      <c r="HLN165" s="153"/>
      <c r="HLO165" s="153"/>
      <c r="HLP165" s="153"/>
      <c r="HLQ165" s="153"/>
      <c r="HLR165" s="153"/>
      <c r="HLS165" s="153"/>
      <c r="HLT165" s="153"/>
      <c r="HLU165" s="153"/>
      <c r="HLV165" s="153"/>
      <c r="HLW165" s="153"/>
      <c r="HLX165" s="153"/>
      <c r="HLY165" s="153"/>
      <c r="HLZ165" s="153"/>
      <c r="HMA165" s="153"/>
      <c r="HMB165" s="153"/>
      <c r="HMC165" s="153"/>
      <c r="HMD165" s="153"/>
      <c r="HME165" s="153"/>
      <c r="HMF165" s="153"/>
      <c r="HMG165" s="153"/>
      <c r="HMH165" s="153"/>
      <c r="HMI165" s="153"/>
      <c r="HMJ165" s="153"/>
      <c r="HMK165" s="153"/>
      <c r="HML165" s="153"/>
      <c r="HMM165" s="153"/>
      <c r="HMN165" s="153"/>
      <c r="HMO165" s="153"/>
      <c r="HMP165" s="153"/>
      <c r="HMQ165" s="153"/>
      <c r="HMR165" s="153"/>
      <c r="HMS165" s="153"/>
      <c r="HMT165" s="153"/>
      <c r="HMU165" s="153"/>
      <c r="HMV165" s="153"/>
      <c r="HMW165" s="153"/>
      <c r="HMX165" s="153"/>
      <c r="HMY165" s="153"/>
      <c r="HMZ165" s="153"/>
      <c r="HNA165" s="153"/>
      <c r="HNB165" s="153"/>
      <c r="HNC165" s="153"/>
      <c r="HND165" s="153"/>
      <c r="HNE165" s="153"/>
      <c r="HNF165" s="153"/>
      <c r="HNG165" s="153"/>
      <c r="HNH165" s="153"/>
      <c r="HNI165" s="153"/>
      <c r="HNJ165" s="153"/>
      <c r="HNK165" s="153"/>
      <c r="HNL165" s="153"/>
      <c r="HNM165" s="153"/>
      <c r="HNN165" s="153"/>
      <c r="HNO165" s="153"/>
      <c r="HNP165" s="153"/>
      <c r="HNQ165" s="153"/>
      <c r="HNR165" s="153"/>
      <c r="HNS165" s="153"/>
      <c r="HNT165" s="153"/>
      <c r="HNU165" s="153"/>
      <c r="HNV165" s="153"/>
      <c r="HNW165" s="153"/>
      <c r="HNX165" s="153"/>
      <c r="HNY165" s="153"/>
      <c r="HNZ165" s="153"/>
      <c r="HOA165" s="153"/>
      <c r="HOB165" s="153"/>
      <c r="HOC165" s="153"/>
      <c r="HOD165" s="153"/>
      <c r="HOE165" s="153"/>
      <c r="HOF165" s="153"/>
      <c r="HOG165" s="153"/>
      <c r="HOH165" s="153"/>
      <c r="HOI165" s="153"/>
      <c r="HOJ165" s="153"/>
      <c r="HOK165" s="153"/>
      <c r="HOL165" s="153"/>
      <c r="HOM165" s="153"/>
      <c r="HON165" s="153"/>
      <c r="HOO165" s="153"/>
      <c r="HOP165" s="153"/>
      <c r="HOQ165" s="153"/>
      <c r="HOR165" s="153"/>
      <c r="HOS165" s="153"/>
      <c r="HOT165" s="153"/>
      <c r="HOU165" s="153"/>
      <c r="HOV165" s="153"/>
      <c r="HOW165" s="153"/>
      <c r="HOX165" s="153"/>
      <c r="HOY165" s="153"/>
      <c r="HOZ165" s="153"/>
      <c r="HPA165" s="153"/>
      <c r="HPB165" s="153"/>
      <c r="HPC165" s="153"/>
      <c r="HPD165" s="153"/>
      <c r="HPE165" s="153"/>
      <c r="HPF165" s="153"/>
      <c r="HPG165" s="153"/>
      <c r="HPH165" s="153"/>
      <c r="HPI165" s="153"/>
      <c r="HPJ165" s="153"/>
      <c r="HPK165" s="153"/>
      <c r="HPL165" s="153"/>
      <c r="HPM165" s="153"/>
      <c r="HPN165" s="153"/>
      <c r="HPO165" s="153"/>
      <c r="HPP165" s="153"/>
      <c r="HPQ165" s="153"/>
      <c r="HPR165" s="153"/>
      <c r="HPS165" s="153"/>
      <c r="HPT165" s="153"/>
      <c r="HPU165" s="153"/>
      <c r="HPV165" s="153"/>
      <c r="HPW165" s="153"/>
      <c r="HPX165" s="153"/>
      <c r="HPY165" s="153"/>
      <c r="HPZ165" s="153"/>
      <c r="HQA165" s="153"/>
      <c r="HQB165" s="153"/>
      <c r="HQC165" s="153"/>
      <c r="HQD165" s="153"/>
      <c r="HQE165" s="153"/>
      <c r="HQF165" s="153"/>
      <c r="HQG165" s="153"/>
      <c r="HQH165" s="153"/>
      <c r="HQI165" s="153"/>
      <c r="HQJ165" s="153"/>
      <c r="HQK165" s="153"/>
      <c r="HQL165" s="153"/>
      <c r="HQM165" s="153"/>
      <c r="HQN165" s="153"/>
      <c r="HQO165" s="153"/>
      <c r="HQP165" s="153"/>
      <c r="HQQ165" s="153"/>
      <c r="HQR165" s="153"/>
      <c r="HQS165" s="153"/>
      <c r="HQT165" s="153"/>
      <c r="HQU165" s="153"/>
      <c r="HQV165" s="153"/>
      <c r="HQW165" s="153"/>
      <c r="HQX165" s="153"/>
      <c r="HQY165" s="153"/>
      <c r="HQZ165" s="153"/>
      <c r="HRA165" s="153"/>
      <c r="HRB165" s="153"/>
      <c r="HRC165" s="153"/>
      <c r="HRD165" s="153"/>
      <c r="HRE165" s="153"/>
      <c r="HRF165" s="153"/>
      <c r="HRG165" s="153"/>
      <c r="HRH165" s="153"/>
      <c r="HRI165" s="153"/>
      <c r="HRJ165" s="153"/>
      <c r="HRK165" s="153"/>
      <c r="HRL165" s="153"/>
      <c r="HRM165" s="153"/>
      <c r="HRN165" s="153"/>
      <c r="HRO165" s="153"/>
      <c r="HRP165" s="153"/>
      <c r="HRQ165" s="153"/>
      <c r="HRR165" s="153"/>
      <c r="HRS165" s="153"/>
      <c r="HRT165" s="153"/>
      <c r="HRU165" s="153"/>
      <c r="HRV165" s="153"/>
      <c r="HRW165" s="153"/>
      <c r="HRX165" s="153"/>
      <c r="HRY165" s="153"/>
      <c r="HRZ165" s="153"/>
      <c r="HSA165" s="153"/>
      <c r="HSB165" s="153"/>
      <c r="HSC165" s="153"/>
      <c r="HSD165" s="153"/>
      <c r="HSE165" s="153"/>
      <c r="HSF165" s="153"/>
      <c r="HSG165" s="153"/>
      <c r="HSH165" s="153"/>
      <c r="HSI165" s="153"/>
      <c r="HSJ165" s="153"/>
      <c r="HSK165" s="153"/>
      <c r="HSL165" s="153"/>
      <c r="HSM165" s="153"/>
      <c r="HSN165" s="153"/>
      <c r="HSO165" s="153"/>
      <c r="HSP165" s="153"/>
      <c r="HSQ165" s="153"/>
      <c r="HSR165" s="153"/>
      <c r="HSS165" s="153"/>
      <c r="HST165" s="153"/>
      <c r="HSU165" s="153"/>
      <c r="HSV165" s="153"/>
      <c r="HSW165" s="153"/>
      <c r="HSX165" s="153"/>
      <c r="HSY165" s="153"/>
      <c r="HSZ165" s="153"/>
      <c r="HTA165" s="153"/>
      <c r="HTB165" s="153"/>
      <c r="HTC165" s="153"/>
      <c r="HTD165" s="153"/>
      <c r="HTE165" s="153"/>
      <c r="HTF165" s="153"/>
      <c r="HTG165" s="153"/>
      <c r="HTH165" s="153"/>
      <c r="HTI165" s="153"/>
      <c r="HTJ165" s="153"/>
      <c r="HTK165" s="153"/>
      <c r="HTL165" s="153"/>
      <c r="HTM165" s="153"/>
      <c r="HTN165" s="153"/>
      <c r="HTO165" s="153"/>
      <c r="HTP165" s="153"/>
      <c r="HTQ165" s="153"/>
      <c r="HTR165" s="153"/>
      <c r="HTS165" s="153"/>
      <c r="HTT165" s="153"/>
      <c r="HTU165" s="153"/>
      <c r="HTV165" s="153"/>
      <c r="HTW165" s="153"/>
      <c r="HTX165" s="153"/>
      <c r="HTY165" s="153"/>
      <c r="HTZ165" s="153"/>
      <c r="HUA165" s="153"/>
      <c r="HUB165" s="153"/>
      <c r="HUC165" s="153"/>
      <c r="HUD165" s="153"/>
      <c r="HUE165" s="153"/>
      <c r="HUF165" s="153"/>
      <c r="HUG165" s="153"/>
      <c r="HUH165" s="153"/>
      <c r="HUI165" s="153"/>
      <c r="HUJ165" s="153"/>
      <c r="HUK165" s="153"/>
      <c r="HUL165" s="153"/>
      <c r="HUM165" s="153"/>
      <c r="HUN165" s="153"/>
      <c r="HUO165" s="153"/>
      <c r="HUP165" s="153"/>
      <c r="HUQ165" s="153"/>
      <c r="HUR165" s="153"/>
      <c r="HUS165" s="153"/>
      <c r="HUT165" s="153"/>
      <c r="HUU165" s="153"/>
      <c r="HUV165" s="153"/>
      <c r="HUW165" s="153"/>
      <c r="HUX165" s="153"/>
      <c r="HUY165" s="153"/>
      <c r="HUZ165" s="153"/>
      <c r="HVA165" s="153"/>
      <c r="HVB165" s="153"/>
      <c r="HVC165" s="153"/>
      <c r="HVD165" s="153"/>
      <c r="HVE165" s="153"/>
      <c r="HVF165" s="153"/>
      <c r="HVG165" s="153"/>
      <c r="HVH165" s="153"/>
      <c r="HVI165" s="153"/>
      <c r="HVJ165" s="153"/>
      <c r="HVK165" s="153"/>
      <c r="HVL165" s="153"/>
      <c r="HVM165" s="153"/>
      <c r="HVN165" s="153"/>
      <c r="HVO165" s="153"/>
      <c r="HVP165" s="153"/>
      <c r="HVQ165" s="153"/>
      <c r="HVR165" s="153"/>
      <c r="HVS165" s="153"/>
      <c r="HVT165" s="153"/>
      <c r="HVU165" s="153"/>
      <c r="HVV165" s="153"/>
      <c r="HVW165" s="153"/>
      <c r="HVX165" s="153"/>
      <c r="HVY165" s="153"/>
      <c r="HVZ165" s="153"/>
      <c r="HWA165" s="153"/>
      <c r="HWB165" s="153"/>
      <c r="HWC165" s="153"/>
      <c r="HWD165" s="153"/>
      <c r="HWE165" s="153"/>
      <c r="HWF165" s="153"/>
      <c r="HWG165" s="153"/>
      <c r="HWH165" s="153"/>
      <c r="HWI165" s="153"/>
      <c r="HWJ165" s="153"/>
      <c r="HWK165" s="153"/>
      <c r="HWL165" s="153"/>
      <c r="HWM165" s="153"/>
      <c r="HWN165" s="153"/>
      <c r="HWO165" s="153"/>
      <c r="HWP165" s="153"/>
      <c r="HWQ165" s="153"/>
      <c r="HWR165" s="153"/>
      <c r="HWS165" s="153"/>
      <c r="HWT165" s="153"/>
      <c r="HWU165" s="153"/>
      <c r="HWV165" s="153"/>
      <c r="HWW165" s="153"/>
      <c r="HWX165" s="153"/>
      <c r="HWY165" s="153"/>
      <c r="HWZ165" s="153"/>
      <c r="HXA165" s="153"/>
      <c r="HXB165" s="153"/>
      <c r="HXC165" s="153"/>
      <c r="HXD165" s="153"/>
      <c r="HXE165" s="153"/>
      <c r="HXF165" s="153"/>
      <c r="HXG165" s="153"/>
      <c r="HXH165" s="153"/>
      <c r="HXI165" s="153"/>
      <c r="HXJ165" s="153"/>
      <c r="HXK165" s="153"/>
      <c r="HXL165" s="153"/>
      <c r="HXM165" s="153"/>
      <c r="HXN165" s="153"/>
      <c r="HXO165" s="153"/>
      <c r="HXP165" s="153"/>
      <c r="HXQ165" s="153"/>
      <c r="HXR165" s="153"/>
      <c r="HXS165" s="153"/>
      <c r="HXT165" s="153"/>
      <c r="HXU165" s="153"/>
      <c r="HXV165" s="153"/>
      <c r="HXW165" s="153"/>
      <c r="HXX165" s="153"/>
      <c r="HXY165" s="153"/>
      <c r="HXZ165" s="153"/>
      <c r="HYA165" s="153"/>
      <c r="HYB165" s="153"/>
      <c r="HYC165" s="153"/>
      <c r="HYD165" s="153"/>
      <c r="HYE165" s="153"/>
      <c r="HYF165" s="153"/>
      <c r="HYG165" s="153"/>
      <c r="HYH165" s="153"/>
      <c r="HYI165" s="153"/>
      <c r="HYJ165" s="153"/>
      <c r="HYK165" s="153"/>
      <c r="HYL165" s="153"/>
      <c r="HYM165" s="153"/>
      <c r="HYN165" s="153"/>
      <c r="HYO165" s="153"/>
      <c r="HYP165" s="153"/>
      <c r="HYQ165" s="153"/>
      <c r="HYR165" s="153"/>
      <c r="HYS165" s="153"/>
      <c r="HYT165" s="153"/>
      <c r="HYU165" s="153"/>
      <c r="HYV165" s="153"/>
      <c r="HYW165" s="153"/>
      <c r="HYX165" s="153"/>
      <c r="HYY165" s="153"/>
      <c r="HYZ165" s="153"/>
      <c r="HZA165" s="153"/>
      <c r="HZB165" s="153"/>
      <c r="HZC165" s="153"/>
      <c r="HZD165" s="153"/>
      <c r="HZE165" s="153"/>
      <c r="HZF165" s="153"/>
      <c r="HZG165" s="153"/>
      <c r="HZH165" s="153"/>
      <c r="HZI165" s="153"/>
      <c r="HZJ165" s="153"/>
      <c r="HZK165" s="153"/>
      <c r="HZL165" s="153"/>
      <c r="HZM165" s="153"/>
      <c r="HZN165" s="153"/>
      <c r="HZO165" s="153"/>
      <c r="HZP165" s="153"/>
      <c r="HZQ165" s="153"/>
      <c r="HZR165" s="153"/>
      <c r="HZS165" s="153"/>
      <c r="HZT165" s="153"/>
      <c r="HZU165" s="153"/>
      <c r="HZV165" s="153"/>
      <c r="HZW165" s="153"/>
      <c r="HZX165" s="153"/>
      <c r="HZY165" s="153"/>
      <c r="HZZ165" s="153"/>
      <c r="IAA165" s="153"/>
      <c r="IAB165" s="153"/>
      <c r="IAC165" s="153"/>
      <c r="IAD165" s="153"/>
      <c r="IAE165" s="153"/>
      <c r="IAF165" s="153"/>
      <c r="IAG165" s="153"/>
      <c r="IAH165" s="153"/>
      <c r="IAI165" s="153"/>
      <c r="IAJ165" s="153"/>
      <c r="IAK165" s="153"/>
      <c r="IAL165" s="153"/>
      <c r="IAM165" s="153"/>
      <c r="IAN165" s="153"/>
      <c r="IAO165" s="153"/>
      <c r="IAP165" s="153"/>
      <c r="IAQ165" s="153"/>
      <c r="IAR165" s="153"/>
      <c r="IAS165" s="153"/>
      <c r="IAT165" s="153"/>
      <c r="IAU165" s="153"/>
      <c r="IAV165" s="153"/>
      <c r="IAW165" s="153"/>
      <c r="IAX165" s="153"/>
      <c r="IAY165" s="153"/>
      <c r="IAZ165" s="153"/>
      <c r="IBA165" s="153"/>
      <c r="IBB165" s="153"/>
      <c r="IBC165" s="153"/>
      <c r="IBD165" s="153"/>
      <c r="IBE165" s="153"/>
      <c r="IBF165" s="153"/>
      <c r="IBG165" s="153"/>
      <c r="IBH165" s="153"/>
      <c r="IBI165" s="153"/>
      <c r="IBJ165" s="153"/>
      <c r="IBK165" s="153"/>
      <c r="IBL165" s="153"/>
      <c r="IBM165" s="153"/>
      <c r="IBN165" s="153"/>
      <c r="IBO165" s="153"/>
      <c r="IBP165" s="153"/>
      <c r="IBQ165" s="153"/>
      <c r="IBR165" s="153"/>
      <c r="IBS165" s="153"/>
      <c r="IBT165" s="153"/>
      <c r="IBU165" s="153"/>
      <c r="IBV165" s="153"/>
      <c r="IBW165" s="153"/>
      <c r="IBX165" s="153"/>
      <c r="IBY165" s="153"/>
      <c r="IBZ165" s="153"/>
      <c r="ICA165" s="153"/>
      <c r="ICB165" s="153"/>
      <c r="ICC165" s="153"/>
      <c r="ICD165" s="153"/>
      <c r="ICE165" s="153"/>
      <c r="ICF165" s="153"/>
      <c r="ICG165" s="153"/>
      <c r="ICH165" s="153"/>
      <c r="ICI165" s="153"/>
      <c r="ICJ165" s="153"/>
      <c r="ICK165" s="153"/>
      <c r="ICL165" s="153"/>
      <c r="ICM165" s="153"/>
      <c r="ICN165" s="153"/>
      <c r="ICO165" s="153"/>
      <c r="ICP165" s="153"/>
      <c r="ICQ165" s="153"/>
      <c r="ICR165" s="153"/>
      <c r="ICS165" s="153"/>
      <c r="ICT165" s="153"/>
      <c r="ICU165" s="153"/>
      <c r="ICV165" s="153"/>
      <c r="ICW165" s="153"/>
      <c r="ICX165" s="153"/>
      <c r="ICY165" s="153"/>
      <c r="ICZ165" s="153"/>
      <c r="IDA165" s="153"/>
      <c r="IDB165" s="153"/>
      <c r="IDC165" s="153"/>
      <c r="IDD165" s="153"/>
      <c r="IDE165" s="153"/>
      <c r="IDF165" s="153"/>
      <c r="IDG165" s="153"/>
      <c r="IDH165" s="153"/>
      <c r="IDI165" s="153"/>
      <c r="IDJ165" s="153"/>
      <c r="IDK165" s="153"/>
      <c r="IDL165" s="153"/>
      <c r="IDM165" s="153"/>
      <c r="IDN165" s="153"/>
      <c r="IDO165" s="153"/>
      <c r="IDP165" s="153"/>
      <c r="IDQ165" s="153"/>
      <c r="IDR165" s="153"/>
      <c r="IDS165" s="153"/>
      <c r="IDT165" s="153"/>
      <c r="IDU165" s="153"/>
      <c r="IDV165" s="153"/>
      <c r="IDW165" s="153"/>
      <c r="IDX165" s="153"/>
      <c r="IDY165" s="153"/>
      <c r="IDZ165" s="153"/>
      <c r="IEA165" s="153"/>
      <c r="IEB165" s="153"/>
      <c r="IEC165" s="153"/>
      <c r="IED165" s="153"/>
      <c r="IEE165" s="153"/>
      <c r="IEF165" s="153"/>
      <c r="IEG165" s="153"/>
      <c r="IEH165" s="153"/>
      <c r="IEI165" s="153"/>
      <c r="IEJ165" s="153"/>
      <c r="IEK165" s="153"/>
      <c r="IEL165" s="153"/>
      <c r="IEM165" s="153"/>
      <c r="IEN165" s="153"/>
      <c r="IEO165" s="153"/>
      <c r="IEP165" s="153"/>
      <c r="IEQ165" s="153"/>
      <c r="IER165" s="153"/>
      <c r="IES165" s="153"/>
      <c r="IET165" s="153"/>
      <c r="IEU165" s="153"/>
      <c r="IEV165" s="153"/>
      <c r="IEW165" s="153"/>
      <c r="IEX165" s="153"/>
      <c r="IEY165" s="153"/>
      <c r="IEZ165" s="153"/>
      <c r="IFA165" s="153"/>
      <c r="IFB165" s="153"/>
      <c r="IFC165" s="153"/>
      <c r="IFD165" s="153"/>
      <c r="IFE165" s="153"/>
      <c r="IFF165" s="153"/>
      <c r="IFG165" s="153"/>
      <c r="IFH165" s="153"/>
      <c r="IFI165" s="153"/>
      <c r="IFJ165" s="153"/>
      <c r="IFK165" s="153"/>
      <c r="IFL165" s="153"/>
      <c r="IFM165" s="153"/>
      <c r="IFN165" s="153"/>
      <c r="IFO165" s="153"/>
      <c r="IFP165" s="153"/>
      <c r="IFQ165" s="153"/>
      <c r="IFR165" s="153"/>
      <c r="IFS165" s="153"/>
      <c r="IFT165" s="153"/>
      <c r="IFU165" s="153"/>
      <c r="IFV165" s="153"/>
      <c r="IFW165" s="153"/>
      <c r="IFX165" s="153"/>
      <c r="IFY165" s="153"/>
      <c r="IFZ165" s="153"/>
      <c r="IGA165" s="153"/>
      <c r="IGB165" s="153"/>
      <c r="IGC165" s="153"/>
      <c r="IGD165" s="153"/>
      <c r="IGE165" s="153"/>
      <c r="IGF165" s="153"/>
      <c r="IGG165" s="153"/>
      <c r="IGH165" s="153"/>
      <c r="IGI165" s="153"/>
      <c r="IGJ165" s="153"/>
      <c r="IGK165" s="153"/>
      <c r="IGL165" s="153"/>
      <c r="IGM165" s="153"/>
      <c r="IGN165" s="153"/>
      <c r="IGO165" s="153"/>
      <c r="IGP165" s="153"/>
      <c r="IGQ165" s="153"/>
      <c r="IGR165" s="153"/>
      <c r="IGS165" s="153"/>
      <c r="IGT165" s="153"/>
      <c r="IGU165" s="153"/>
      <c r="IGV165" s="153"/>
      <c r="IGW165" s="153"/>
      <c r="IGX165" s="153"/>
      <c r="IGY165" s="153"/>
      <c r="IGZ165" s="153"/>
      <c r="IHA165" s="153"/>
      <c r="IHB165" s="153"/>
      <c r="IHC165" s="153"/>
      <c r="IHD165" s="153"/>
      <c r="IHE165" s="153"/>
      <c r="IHF165" s="153"/>
      <c r="IHG165" s="153"/>
      <c r="IHH165" s="153"/>
      <c r="IHI165" s="153"/>
      <c r="IHJ165" s="153"/>
      <c r="IHK165" s="153"/>
      <c r="IHL165" s="153"/>
      <c r="IHM165" s="153"/>
      <c r="IHN165" s="153"/>
      <c r="IHO165" s="153"/>
      <c r="IHP165" s="153"/>
      <c r="IHQ165" s="153"/>
      <c r="IHR165" s="153"/>
      <c r="IHS165" s="153"/>
      <c r="IHT165" s="153"/>
      <c r="IHU165" s="153"/>
      <c r="IHV165" s="153"/>
      <c r="IHW165" s="153"/>
      <c r="IHX165" s="153"/>
      <c r="IHY165" s="153"/>
      <c r="IHZ165" s="153"/>
      <c r="IIA165" s="153"/>
      <c r="IIB165" s="153"/>
      <c r="IIC165" s="153"/>
      <c r="IID165" s="153"/>
      <c r="IIE165" s="153"/>
      <c r="IIF165" s="153"/>
      <c r="IIG165" s="153"/>
      <c r="IIH165" s="153"/>
      <c r="III165" s="153"/>
      <c r="IIJ165" s="153"/>
      <c r="IIK165" s="153"/>
      <c r="IIL165" s="153"/>
      <c r="IIM165" s="153"/>
      <c r="IIN165" s="153"/>
      <c r="IIO165" s="153"/>
      <c r="IIP165" s="153"/>
      <c r="IIQ165" s="153"/>
      <c r="IIR165" s="153"/>
      <c r="IIS165" s="153"/>
      <c r="IIT165" s="153"/>
      <c r="IIU165" s="153"/>
      <c r="IIV165" s="153"/>
      <c r="IIW165" s="153"/>
      <c r="IIX165" s="153"/>
      <c r="IIY165" s="153"/>
      <c r="IIZ165" s="153"/>
      <c r="IJA165" s="153"/>
      <c r="IJB165" s="153"/>
      <c r="IJC165" s="153"/>
      <c r="IJD165" s="153"/>
      <c r="IJE165" s="153"/>
      <c r="IJF165" s="153"/>
      <c r="IJG165" s="153"/>
      <c r="IJH165" s="153"/>
      <c r="IJI165" s="153"/>
      <c r="IJJ165" s="153"/>
      <c r="IJK165" s="153"/>
      <c r="IJL165" s="153"/>
      <c r="IJM165" s="153"/>
      <c r="IJN165" s="153"/>
      <c r="IJO165" s="153"/>
      <c r="IJP165" s="153"/>
      <c r="IJQ165" s="153"/>
      <c r="IJR165" s="153"/>
      <c r="IJS165" s="153"/>
      <c r="IJT165" s="153"/>
      <c r="IJU165" s="153"/>
      <c r="IJV165" s="153"/>
      <c r="IJW165" s="153"/>
      <c r="IJX165" s="153"/>
      <c r="IJY165" s="153"/>
      <c r="IJZ165" s="153"/>
      <c r="IKA165" s="153"/>
      <c r="IKB165" s="153"/>
      <c r="IKC165" s="153"/>
      <c r="IKD165" s="153"/>
      <c r="IKE165" s="153"/>
      <c r="IKF165" s="153"/>
      <c r="IKG165" s="153"/>
      <c r="IKH165" s="153"/>
      <c r="IKI165" s="153"/>
      <c r="IKJ165" s="153"/>
      <c r="IKK165" s="153"/>
      <c r="IKL165" s="153"/>
      <c r="IKM165" s="153"/>
      <c r="IKN165" s="153"/>
      <c r="IKO165" s="153"/>
      <c r="IKP165" s="153"/>
      <c r="IKQ165" s="153"/>
      <c r="IKR165" s="153"/>
      <c r="IKS165" s="153"/>
      <c r="IKT165" s="153"/>
      <c r="IKU165" s="153"/>
      <c r="IKV165" s="153"/>
      <c r="IKW165" s="153"/>
      <c r="IKX165" s="153"/>
      <c r="IKY165" s="153"/>
      <c r="IKZ165" s="153"/>
      <c r="ILA165" s="153"/>
      <c r="ILB165" s="153"/>
      <c r="ILC165" s="153"/>
      <c r="ILD165" s="153"/>
      <c r="ILE165" s="153"/>
      <c r="ILF165" s="153"/>
      <c r="ILG165" s="153"/>
      <c r="ILH165" s="153"/>
      <c r="ILI165" s="153"/>
      <c r="ILJ165" s="153"/>
      <c r="ILK165" s="153"/>
      <c r="ILL165" s="153"/>
      <c r="ILM165" s="153"/>
      <c r="ILN165" s="153"/>
      <c r="ILO165" s="153"/>
      <c r="ILP165" s="153"/>
      <c r="ILQ165" s="153"/>
      <c r="ILR165" s="153"/>
      <c r="ILS165" s="153"/>
      <c r="ILT165" s="153"/>
      <c r="ILU165" s="153"/>
      <c r="ILV165" s="153"/>
      <c r="ILW165" s="153"/>
      <c r="ILX165" s="153"/>
      <c r="ILY165" s="153"/>
      <c r="ILZ165" s="153"/>
      <c r="IMA165" s="153"/>
      <c r="IMB165" s="153"/>
      <c r="IMC165" s="153"/>
      <c r="IMD165" s="153"/>
      <c r="IME165" s="153"/>
      <c r="IMF165" s="153"/>
      <c r="IMG165" s="153"/>
      <c r="IMH165" s="153"/>
      <c r="IMI165" s="153"/>
      <c r="IMJ165" s="153"/>
      <c r="IMK165" s="153"/>
      <c r="IML165" s="153"/>
      <c r="IMM165" s="153"/>
      <c r="IMN165" s="153"/>
      <c r="IMO165" s="153"/>
      <c r="IMP165" s="153"/>
      <c r="IMQ165" s="153"/>
      <c r="IMR165" s="153"/>
      <c r="IMS165" s="153"/>
      <c r="IMT165" s="153"/>
      <c r="IMU165" s="153"/>
      <c r="IMV165" s="153"/>
      <c r="IMW165" s="153"/>
      <c r="IMX165" s="153"/>
      <c r="IMY165" s="153"/>
      <c r="IMZ165" s="153"/>
      <c r="INA165" s="153"/>
      <c r="INB165" s="153"/>
      <c r="INC165" s="153"/>
      <c r="IND165" s="153"/>
      <c r="INE165" s="153"/>
      <c r="INF165" s="153"/>
      <c r="ING165" s="153"/>
      <c r="INH165" s="153"/>
      <c r="INI165" s="153"/>
      <c r="INJ165" s="153"/>
      <c r="INK165" s="153"/>
      <c r="INL165" s="153"/>
      <c r="INM165" s="153"/>
      <c r="INN165" s="153"/>
      <c r="INO165" s="153"/>
      <c r="INP165" s="153"/>
      <c r="INQ165" s="153"/>
      <c r="INR165" s="153"/>
      <c r="INS165" s="153"/>
      <c r="INT165" s="153"/>
      <c r="INU165" s="153"/>
      <c r="INV165" s="153"/>
      <c r="INW165" s="153"/>
      <c r="INX165" s="153"/>
      <c r="INY165" s="153"/>
      <c r="INZ165" s="153"/>
      <c r="IOA165" s="153"/>
      <c r="IOB165" s="153"/>
      <c r="IOC165" s="153"/>
      <c r="IOD165" s="153"/>
      <c r="IOE165" s="153"/>
      <c r="IOF165" s="153"/>
      <c r="IOG165" s="153"/>
      <c r="IOH165" s="153"/>
      <c r="IOI165" s="153"/>
      <c r="IOJ165" s="153"/>
      <c r="IOK165" s="153"/>
      <c r="IOL165" s="153"/>
      <c r="IOM165" s="153"/>
      <c r="ION165" s="153"/>
      <c r="IOO165" s="153"/>
      <c r="IOP165" s="153"/>
      <c r="IOQ165" s="153"/>
      <c r="IOR165" s="153"/>
      <c r="IOS165" s="153"/>
      <c r="IOT165" s="153"/>
      <c r="IOU165" s="153"/>
      <c r="IOV165" s="153"/>
      <c r="IOW165" s="153"/>
      <c r="IOX165" s="153"/>
      <c r="IOY165" s="153"/>
      <c r="IOZ165" s="153"/>
      <c r="IPA165" s="153"/>
      <c r="IPB165" s="153"/>
      <c r="IPC165" s="153"/>
      <c r="IPD165" s="153"/>
      <c r="IPE165" s="153"/>
      <c r="IPF165" s="153"/>
      <c r="IPG165" s="153"/>
      <c r="IPH165" s="153"/>
      <c r="IPI165" s="153"/>
      <c r="IPJ165" s="153"/>
      <c r="IPK165" s="153"/>
      <c r="IPL165" s="153"/>
      <c r="IPM165" s="153"/>
      <c r="IPN165" s="153"/>
      <c r="IPO165" s="153"/>
      <c r="IPP165" s="153"/>
      <c r="IPQ165" s="153"/>
      <c r="IPR165" s="153"/>
      <c r="IPS165" s="153"/>
      <c r="IPT165" s="153"/>
      <c r="IPU165" s="153"/>
      <c r="IPV165" s="153"/>
      <c r="IPW165" s="153"/>
      <c r="IPX165" s="153"/>
      <c r="IPY165" s="153"/>
      <c r="IPZ165" s="153"/>
      <c r="IQA165" s="153"/>
      <c r="IQB165" s="153"/>
      <c r="IQC165" s="153"/>
      <c r="IQD165" s="153"/>
      <c r="IQE165" s="153"/>
      <c r="IQF165" s="153"/>
      <c r="IQG165" s="153"/>
      <c r="IQH165" s="153"/>
      <c r="IQI165" s="153"/>
      <c r="IQJ165" s="153"/>
      <c r="IQK165" s="153"/>
      <c r="IQL165" s="153"/>
      <c r="IQM165" s="153"/>
      <c r="IQN165" s="153"/>
      <c r="IQO165" s="153"/>
      <c r="IQP165" s="153"/>
      <c r="IQQ165" s="153"/>
      <c r="IQR165" s="153"/>
      <c r="IQS165" s="153"/>
      <c r="IQT165" s="153"/>
      <c r="IQU165" s="153"/>
      <c r="IQV165" s="153"/>
      <c r="IQW165" s="153"/>
      <c r="IQX165" s="153"/>
      <c r="IQY165" s="153"/>
      <c r="IQZ165" s="153"/>
      <c r="IRA165" s="153"/>
      <c r="IRB165" s="153"/>
      <c r="IRC165" s="153"/>
      <c r="IRD165" s="153"/>
      <c r="IRE165" s="153"/>
      <c r="IRF165" s="153"/>
      <c r="IRG165" s="153"/>
      <c r="IRH165" s="153"/>
      <c r="IRI165" s="153"/>
      <c r="IRJ165" s="153"/>
      <c r="IRK165" s="153"/>
      <c r="IRL165" s="153"/>
      <c r="IRM165" s="153"/>
      <c r="IRN165" s="153"/>
      <c r="IRO165" s="153"/>
      <c r="IRP165" s="153"/>
      <c r="IRQ165" s="153"/>
      <c r="IRR165" s="153"/>
      <c r="IRS165" s="153"/>
      <c r="IRT165" s="153"/>
      <c r="IRU165" s="153"/>
      <c r="IRV165" s="153"/>
      <c r="IRW165" s="153"/>
      <c r="IRX165" s="153"/>
      <c r="IRY165" s="153"/>
      <c r="IRZ165" s="153"/>
      <c r="ISA165" s="153"/>
      <c r="ISB165" s="153"/>
      <c r="ISC165" s="153"/>
      <c r="ISD165" s="153"/>
      <c r="ISE165" s="153"/>
      <c r="ISF165" s="153"/>
      <c r="ISG165" s="153"/>
      <c r="ISH165" s="153"/>
      <c r="ISI165" s="153"/>
      <c r="ISJ165" s="153"/>
      <c r="ISK165" s="153"/>
      <c r="ISL165" s="153"/>
      <c r="ISM165" s="153"/>
      <c r="ISN165" s="153"/>
      <c r="ISO165" s="153"/>
      <c r="ISP165" s="153"/>
      <c r="ISQ165" s="153"/>
      <c r="ISR165" s="153"/>
      <c r="ISS165" s="153"/>
      <c r="IST165" s="153"/>
      <c r="ISU165" s="153"/>
      <c r="ISV165" s="153"/>
      <c r="ISW165" s="153"/>
      <c r="ISX165" s="153"/>
      <c r="ISY165" s="153"/>
      <c r="ISZ165" s="153"/>
      <c r="ITA165" s="153"/>
      <c r="ITB165" s="153"/>
      <c r="ITC165" s="153"/>
      <c r="ITD165" s="153"/>
      <c r="ITE165" s="153"/>
      <c r="ITF165" s="153"/>
      <c r="ITG165" s="153"/>
      <c r="ITH165" s="153"/>
      <c r="ITI165" s="153"/>
      <c r="ITJ165" s="153"/>
      <c r="ITK165" s="153"/>
      <c r="ITL165" s="153"/>
      <c r="ITM165" s="153"/>
      <c r="ITN165" s="153"/>
      <c r="ITO165" s="153"/>
      <c r="ITP165" s="153"/>
      <c r="ITQ165" s="153"/>
      <c r="ITR165" s="153"/>
      <c r="ITS165" s="153"/>
      <c r="ITT165" s="153"/>
      <c r="ITU165" s="153"/>
      <c r="ITV165" s="153"/>
      <c r="ITW165" s="153"/>
      <c r="ITX165" s="153"/>
      <c r="ITY165" s="153"/>
      <c r="ITZ165" s="153"/>
      <c r="IUA165" s="153"/>
      <c r="IUB165" s="153"/>
      <c r="IUC165" s="153"/>
      <c r="IUD165" s="153"/>
      <c r="IUE165" s="153"/>
      <c r="IUF165" s="153"/>
      <c r="IUG165" s="153"/>
      <c r="IUH165" s="153"/>
      <c r="IUI165" s="153"/>
      <c r="IUJ165" s="153"/>
      <c r="IUK165" s="153"/>
      <c r="IUL165" s="153"/>
      <c r="IUM165" s="153"/>
      <c r="IUN165" s="153"/>
      <c r="IUO165" s="153"/>
      <c r="IUP165" s="153"/>
      <c r="IUQ165" s="153"/>
      <c r="IUR165" s="153"/>
      <c r="IUS165" s="153"/>
      <c r="IUT165" s="153"/>
      <c r="IUU165" s="153"/>
      <c r="IUV165" s="153"/>
      <c r="IUW165" s="153"/>
      <c r="IUX165" s="153"/>
      <c r="IUY165" s="153"/>
      <c r="IUZ165" s="153"/>
      <c r="IVA165" s="153"/>
      <c r="IVB165" s="153"/>
      <c r="IVC165" s="153"/>
      <c r="IVD165" s="153"/>
      <c r="IVE165" s="153"/>
      <c r="IVF165" s="153"/>
      <c r="IVG165" s="153"/>
      <c r="IVH165" s="153"/>
      <c r="IVI165" s="153"/>
      <c r="IVJ165" s="153"/>
      <c r="IVK165" s="153"/>
      <c r="IVL165" s="153"/>
      <c r="IVM165" s="153"/>
      <c r="IVN165" s="153"/>
      <c r="IVO165" s="153"/>
      <c r="IVP165" s="153"/>
      <c r="IVQ165" s="153"/>
      <c r="IVR165" s="153"/>
      <c r="IVS165" s="153"/>
      <c r="IVT165" s="153"/>
      <c r="IVU165" s="153"/>
      <c r="IVV165" s="153"/>
      <c r="IVW165" s="153"/>
      <c r="IVX165" s="153"/>
      <c r="IVY165" s="153"/>
      <c r="IVZ165" s="153"/>
      <c r="IWA165" s="153"/>
      <c r="IWB165" s="153"/>
      <c r="IWC165" s="153"/>
      <c r="IWD165" s="153"/>
      <c r="IWE165" s="153"/>
      <c r="IWF165" s="153"/>
      <c r="IWG165" s="153"/>
      <c r="IWH165" s="153"/>
      <c r="IWI165" s="153"/>
      <c r="IWJ165" s="153"/>
      <c r="IWK165" s="153"/>
      <c r="IWL165" s="153"/>
      <c r="IWM165" s="153"/>
      <c r="IWN165" s="153"/>
      <c r="IWO165" s="153"/>
      <c r="IWP165" s="153"/>
      <c r="IWQ165" s="153"/>
      <c r="IWR165" s="153"/>
      <c r="IWS165" s="153"/>
      <c r="IWT165" s="153"/>
      <c r="IWU165" s="153"/>
      <c r="IWV165" s="153"/>
      <c r="IWW165" s="153"/>
      <c r="IWX165" s="153"/>
      <c r="IWY165" s="153"/>
      <c r="IWZ165" s="153"/>
      <c r="IXA165" s="153"/>
      <c r="IXB165" s="153"/>
      <c r="IXC165" s="153"/>
      <c r="IXD165" s="153"/>
      <c r="IXE165" s="153"/>
      <c r="IXF165" s="153"/>
      <c r="IXG165" s="153"/>
      <c r="IXH165" s="153"/>
      <c r="IXI165" s="153"/>
      <c r="IXJ165" s="153"/>
      <c r="IXK165" s="153"/>
      <c r="IXL165" s="153"/>
      <c r="IXM165" s="153"/>
      <c r="IXN165" s="153"/>
      <c r="IXO165" s="153"/>
      <c r="IXP165" s="153"/>
      <c r="IXQ165" s="153"/>
      <c r="IXR165" s="153"/>
      <c r="IXS165" s="153"/>
      <c r="IXT165" s="153"/>
      <c r="IXU165" s="153"/>
      <c r="IXV165" s="153"/>
      <c r="IXW165" s="153"/>
      <c r="IXX165" s="153"/>
      <c r="IXY165" s="153"/>
      <c r="IXZ165" s="153"/>
      <c r="IYA165" s="153"/>
      <c r="IYB165" s="153"/>
      <c r="IYC165" s="153"/>
      <c r="IYD165" s="153"/>
      <c r="IYE165" s="153"/>
      <c r="IYF165" s="153"/>
      <c r="IYG165" s="153"/>
      <c r="IYH165" s="153"/>
      <c r="IYI165" s="153"/>
      <c r="IYJ165" s="153"/>
      <c r="IYK165" s="153"/>
      <c r="IYL165" s="153"/>
      <c r="IYM165" s="153"/>
      <c r="IYN165" s="153"/>
      <c r="IYO165" s="153"/>
      <c r="IYP165" s="153"/>
      <c r="IYQ165" s="153"/>
      <c r="IYR165" s="153"/>
      <c r="IYS165" s="153"/>
      <c r="IYT165" s="153"/>
      <c r="IYU165" s="153"/>
      <c r="IYV165" s="153"/>
      <c r="IYW165" s="153"/>
      <c r="IYX165" s="153"/>
      <c r="IYY165" s="153"/>
      <c r="IYZ165" s="153"/>
      <c r="IZA165" s="153"/>
      <c r="IZB165" s="153"/>
      <c r="IZC165" s="153"/>
      <c r="IZD165" s="153"/>
      <c r="IZE165" s="153"/>
      <c r="IZF165" s="153"/>
      <c r="IZG165" s="153"/>
      <c r="IZH165" s="153"/>
      <c r="IZI165" s="153"/>
      <c r="IZJ165" s="153"/>
      <c r="IZK165" s="153"/>
      <c r="IZL165" s="153"/>
      <c r="IZM165" s="153"/>
      <c r="IZN165" s="153"/>
      <c r="IZO165" s="153"/>
      <c r="IZP165" s="153"/>
      <c r="IZQ165" s="153"/>
      <c r="IZR165" s="153"/>
      <c r="IZS165" s="153"/>
      <c r="IZT165" s="153"/>
      <c r="IZU165" s="153"/>
      <c r="IZV165" s="153"/>
      <c r="IZW165" s="153"/>
      <c r="IZX165" s="153"/>
      <c r="IZY165" s="153"/>
      <c r="IZZ165" s="153"/>
      <c r="JAA165" s="153"/>
      <c r="JAB165" s="153"/>
      <c r="JAC165" s="153"/>
      <c r="JAD165" s="153"/>
      <c r="JAE165" s="153"/>
      <c r="JAF165" s="153"/>
      <c r="JAG165" s="153"/>
      <c r="JAH165" s="153"/>
      <c r="JAI165" s="153"/>
      <c r="JAJ165" s="153"/>
      <c r="JAK165" s="153"/>
      <c r="JAL165" s="153"/>
      <c r="JAM165" s="153"/>
      <c r="JAN165" s="153"/>
      <c r="JAO165" s="153"/>
      <c r="JAP165" s="153"/>
      <c r="JAQ165" s="153"/>
      <c r="JAR165" s="153"/>
      <c r="JAS165" s="153"/>
      <c r="JAT165" s="153"/>
      <c r="JAU165" s="153"/>
      <c r="JAV165" s="153"/>
      <c r="JAW165" s="153"/>
      <c r="JAX165" s="153"/>
      <c r="JAY165" s="153"/>
      <c r="JAZ165" s="153"/>
      <c r="JBA165" s="153"/>
      <c r="JBB165" s="153"/>
      <c r="JBC165" s="153"/>
      <c r="JBD165" s="153"/>
      <c r="JBE165" s="153"/>
      <c r="JBF165" s="153"/>
      <c r="JBG165" s="153"/>
      <c r="JBH165" s="153"/>
      <c r="JBI165" s="153"/>
      <c r="JBJ165" s="153"/>
      <c r="JBK165" s="153"/>
      <c r="JBL165" s="153"/>
      <c r="JBM165" s="153"/>
      <c r="JBN165" s="153"/>
      <c r="JBO165" s="153"/>
      <c r="JBP165" s="153"/>
      <c r="JBQ165" s="153"/>
      <c r="JBR165" s="153"/>
      <c r="JBS165" s="153"/>
      <c r="JBT165" s="153"/>
      <c r="JBU165" s="153"/>
      <c r="JBV165" s="153"/>
      <c r="JBW165" s="153"/>
      <c r="JBX165" s="153"/>
      <c r="JBY165" s="153"/>
      <c r="JBZ165" s="153"/>
      <c r="JCA165" s="153"/>
      <c r="JCB165" s="153"/>
      <c r="JCC165" s="153"/>
      <c r="JCD165" s="153"/>
      <c r="JCE165" s="153"/>
      <c r="JCF165" s="153"/>
      <c r="JCG165" s="153"/>
      <c r="JCH165" s="153"/>
      <c r="JCI165" s="153"/>
      <c r="JCJ165" s="153"/>
      <c r="JCK165" s="153"/>
      <c r="JCL165" s="153"/>
      <c r="JCM165" s="153"/>
      <c r="JCN165" s="153"/>
      <c r="JCO165" s="153"/>
      <c r="JCP165" s="153"/>
      <c r="JCQ165" s="153"/>
      <c r="JCR165" s="153"/>
      <c r="JCS165" s="153"/>
      <c r="JCT165" s="153"/>
      <c r="JCU165" s="153"/>
      <c r="JCV165" s="153"/>
      <c r="JCW165" s="153"/>
      <c r="JCX165" s="153"/>
      <c r="JCY165" s="153"/>
      <c r="JCZ165" s="153"/>
      <c r="JDA165" s="153"/>
      <c r="JDB165" s="153"/>
      <c r="JDC165" s="153"/>
      <c r="JDD165" s="153"/>
      <c r="JDE165" s="153"/>
      <c r="JDF165" s="153"/>
      <c r="JDG165" s="153"/>
      <c r="JDH165" s="153"/>
      <c r="JDI165" s="153"/>
      <c r="JDJ165" s="153"/>
      <c r="JDK165" s="153"/>
      <c r="JDL165" s="153"/>
      <c r="JDM165" s="153"/>
      <c r="JDN165" s="153"/>
      <c r="JDO165" s="153"/>
      <c r="JDP165" s="153"/>
      <c r="JDQ165" s="153"/>
      <c r="JDR165" s="153"/>
      <c r="JDS165" s="153"/>
      <c r="JDT165" s="153"/>
      <c r="JDU165" s="153"/>
      <c r="JDV165" s="153"/>
      <c r="JDW165" s="153"/>
      <c r="JDX165" s="153"/>
      <c r="JDY165" s="153"/>
      <c r="JDZ165" s="153"/>
      <c r="JEA165" s="153"/>
      <c r="JEB165" s="153"/>
      <c r="JEC165" s="153"/>
      <c r="JED165" s="153"/>
      <c r="JEE165" s="153"/>
      <c r="JEF165" s="153"/>
      <c r="JEG165" s="153"/>
      <c r="JEH165" s="153"/>
      <c r="JEI165" s="153"/>
      <c r="JEJ165" s="153"/>
      <c r="JEK165" s="153"/>
      <c r="JEL165" s="153"/>
      <c r="JEM165" s="153"/>
      <c r="JEN165" s="153"/>
      <c r="JEO165" s="153"/>
      <c r="JEP165" s="153"/>
      <c r="JEQ165" s="153"/>
      <c r="JER165" s="153"/>
      <c r="JES165" s="153"/>
      <c r="JET165" s="153"/>
      <c r="JEU165" s="153"/>
      <c r="JEV165" s="153"/>
      <c r="JEW165" s="153"/>
      <c r="JEX165" s="153"/>
      <c r="JEY165" s="153"/>
      <c r="JEZ165" s="153"/>
      <c r="JFA165" s="153"/>
      <c r="JFB165" s="153"/>
      <c r="JFC165" s="153"/>
      <c r="JFD165" s="153"/>
      <c r="JFE165" s="153"/>
      <c r="JFF165" s="153"/>
      <c r="JFG165" s="153"/>
      <c r="JFH165" s="153"/>
      <c r="JFI165" s="153"/>
      <c r="JFJ165" s="153"/>
      <c r="JFK165" s="153"/>
      <c r="JFL165" s="153"/>
      <c r="JFM165" s="153"/>
      <c r="JFN165" s="153"/>
      <c r="JFO165" s="153"/>
      <c r="JFP165" s="153"/>
      <c r="JFQ165" s="153"/>
      <c r="JFR165" s="153"/>
      <c r="JFS165" s="153"/>
      <c r="JFT165" s="153"/>
      <c r="JFU165" s="153"/>
      <c r="JFV165" s="153"/>
      <c r="JFW165" s="153"/>
      <c r="JFX165" s="153"/>
      <c r="JFY165" s="153"/>
      <c r="JFZ165" s="153"/>
      <c r="JGA165" s="153"/>
      <c r="JGB165" s="153"/>
      <c r="JGC165" s="153"/>
      <c r="JGD165" s="153"/>
      <c r="JGE165" s="153"/>
      <c r="JGF165" s="153"/>
      <c r="JGG165" s="153"/>
      <c r="JGH165" s="153"/>
      <c r="JGI165" s="153"/>
      <c r="JGJ165" s="153"/>
      <c r="JGK165" s="153"/>
      <c r="JGL165" s="153"/>
      <c r="JGM165" s="153"/>
      <c r="JGN165" s="153"/>
      <c r="JGO165" s="153"/>
      <c r="JGP165" s="153"/>
      <c r="JGQ165" s="153"/>
      <c r="JGR165" s="153"/>
      <c r="JGS165" s="153"/>
      <c r="JGT165" s="153"/>
      <c r="JGU165" s="153"/>
      <c r="JGV165" s="153"/>
      <c r="JGW165" s="153"/>
      <c r="JGX165" s="153"/>
      <c r="JGY165" s="153"/>
      <c r="JGZ165" s="153"/>
      <c r="JHA165" s="153"/>
      <c r="JHB165" s="153"/>
      <c r="JHC165" s="153"/>
      <c r="JHD165" s="153"/>
      <c r="JHE165" s="153"/>
      <c r="JHF165" s="153"/>
      <c r="JHG165" s="153"/>
      <c r="JHH165" s="153"/>
      <c r="JHI165" s="153"/>
      <c r="JHJ165" s="153"/>
      <c r="JHK165" s="153"/>
      <c r="JHL165" s="153"/>
      <c r="JHM165" s="153"/>
      <c r="JHN165" s="153"/>
      <c r="JHO165" s="153"/>
      <c r="JHP165" s="153"/>
      <c r="JHQ165" s="153"/>
      <c r="JHR165" s="153"/>
      <c r="JHS165" s="153"/>
      <c r="JHT165" s="153"/>
      <c r="JHU165" s="153"/>
      <c r="JHV165" s="153"/>
      <c r="JHW165" s="153"/>
      <c r="JHX165" s="153"/>
      <c r="JHY165" s="153"/>
      <c r="JHZ165" s="153"/>
      <c r="JIA165" s="153"/>
      <c r="JIB165" s="153"/>
      <c r="JIC165" s="153"/>
      <c r="JID165" s="153"/>
      <c r="JIE165" s="153"/>
      <c r="JIF165" s="153"/>
      <c r="JIG165" s="153"/>
      <c r="JIH165" s="153"/>
      <c r="JII165" s="153"/>
      <c r="JIJ165" s="153"/>
      <c r="JIK165" s="153"/>
      <c r="JIL165" s="153"/>
      <c r="JIM165" s="153"/>
      <c r="JIN165" s="153"/>
      <c r="JIO165" s="153"/>
      <c r="JIP165" s="153"/>
      <c r="JIQ165" s="153"/>
      <c r="JIR165" s="153"/>
      <c r="JIS165" s="153"/>
      <c r="JIT165" s="153"/>
      <c r="JIU165" s="153"/>
      <c r="JIV165" s="153"/>
      <c r="JIW165" s="153"/>
      <c r="JIX165" s="153"/>
      <c r="JIY165" s="153"/>
      <c r="JIZ165" s="153"/>
      <c r="JJA165" s="153"/>
      <c r="JJB165" s="153"/>
      <c r="JJC165" s="153"/>
      <c r="JJD165" s="153"/>
      <c r="JJE165" s="153"/>
      <c r="JJF165" s="153"/>
      <c r="JJG165" s="153"/>
      <c r="JJH165" s="153"/>
      <c r="JJI165" s="153"/>
      <c r="JJJ165" s="153"/>
      <c r="JJK165" s="153"/>
      <c r="JJL165" s="153"/>
      <c r="JJM165" s="153"/>
      <c r="JJN165" s="153"/>
      <c r="JJO165" s="153"/>
      <c r="JJP165" s="153"/>
      <c r="JJQ165" s="153"/>
      <c r="JJR165" s="153"/>
      <c r="JJS165" s="153"/>
      <c r="JJT165" s="153"/>
      <c r="JJU165" s="153"/>
      <c r="JJV165" s="153"/>
      <c r="JJW165" s="153"/>
      <c r="JJX165" s="153"/>
      <c r="JJY165" s="153"/>
      <c r="JJZ165" s="153"/>
      <c r="JKA165" s="153"/>
      <c r="JKB165" s="153"/>
      <c r="JKC165" s="153"/>
      <c r="JKD165" s="153"/>
      <c r="JKE165" s="153"/>
      <c r="JKF165" s="153"/>
      <c r="JKG165" s="153"/>
      <c r="JKH165" s="153"/>
      <c r="JKI165" s="153"/>
      <c r="JKJ165" s="153"/>
      <c r="JKK165" s="153"/>
      <c r="JKL165" s="153"/>
      <c r="JKM165" s="153"/>
      <c r="JKN165" s="153"/>
      <c r="JKO165" s="153"/>
      <c r="JKP165" s="153"/>
      <c r="JKQ165" s="153"/>
      <c r="JKR165" s="153"/>
      <c r="JKS165" s="153"/>
      <c r="JKT165" s="153"/>
      <c r="JKU165" s="153"/>
      <c r="JKV165" s="153"/>
      <c r="JKW165" s="153"/>
      <c r="JKX165" s="153"/>
      <c r="JKY165" s="153"/>
      <c r="JKZ165" s="153"/>
      <c r="JLA165" s="153"/>
      <c r="JLB165" s="153"/>
      <c r="JLC165" s="153"/>
      <c r="JLD165" s="153"/>
      <c r="JLE165" s="153"/>
      <c r="JLF165" s="153"/>
      <c r="JLG165" s="153"/>
      <c r="JLH165" s="153"/>
      <c r="JLI165" s="153"/>
      <c r="JLJ165" s="153"/>
      <c r="JLK165" s="153"/>
      <c r="JLL165" s="153"/>
      <c r="JLM165" s="153"/>
      <c r="JLN165" s="153"/>
      <c r="JLO165" s="153"/>
      <c r="JLP165" s="153"/>
      <c r="JLQ165" s="153"/>
      <c r="JLR165" s="153"/>
      <c r="JLS165" s="153"/>
      <c r="JLT165" s="153"/>
      <c r="JLU165" s="153"/>
      <c r="JLV165" s="153"/>
      <c r="JLW165" s="153"/>
      <c r="JLX165" s="153"/>
      <c r="JLY165" s="153"/>
      <c r="JLZ165" s="153"/>
      <c r="JMA165" s="153"/>
      <c r="JMB165" s="153"/>
      <c r="JMC165" s="153"/>
      <c r="JMD165" s="153"/>
      <c r="JME165" s="153"/>
      <c r="JMF165" s="153"/>
      <c r="JMG165" s="153"/>
      <c r="JMH165" s="153"/>
      <c r="JMI165" s="153"/>
      <c r="JMJ165" s="153"/>
      <c r="JMK165" s="153"/>
      <c r="JML165" s="153"/>
      <c r="JMM165" s="153"/>
      <c r="JMN165" s="153"/>
      <c r="JMO165" s="153"/>
      <c r="JMP165" s="153"/>
      <c r="JMQ165" s="153"/>
      <c r="JMR165" s="153"/>
      <c r="JMS165" s="153"/>
      <c r="JMT165" s="153"/>
      <c r="JMU165" s="153"/>
      <c r="JMV165" s="153"/>
      <c r="JMW165" s="153"/>
      <c r="JMX165" s="153"/>
      <c r="JMY165" s="153"/>
      <c r="JMZ165" s="153"/>
      <c r="JNA165" s="153"/>
      <c r="JNB165" s="153"/>
      <c r="JNC165" s="153"/>
      <c r="JND165" s="153"/>
      <c r="JNE165" s="153"/>
      <c r="JNF165" s="153"/>
      <c r="JNG165" s="153"/>
      <c r="JNH165" s="153"/>
      <c r="JNI165" s="153"/>
      <c r="JNJ165" s="153"/>
      <c r="JNK165" s="153"/>
      <c r="JNL165" s="153"/>
      <c r="JNM165" s="153"/>
      <c r="JNN165" s="153"/>
      <c r="JNO165" s="153"/>
      <c r="JNP165" s="153"/>
      <c r="JNQ165" s="153"/>
      <c r="JNR165" s="153"/>
      <c r="JNS165" s="153"/>
      <c r="JNT165" s="153"/>
      <c r="JNU165" s="153"/>
      <c r="JNV165" s="153"/>
      <c r="JNW165" s="153"/>
      <c r="JNX165" s="153"/>
      <c r="JNY165" s="153"/>
      <c r="JNZ165" s="153"/>
      <c r="JOA165" s="153"/>
      <c r="JOB165" s="153"/>
      <c r="JOC165" s="153"/>
      <c r="JOD165" s="153"/>
      <c r="JOE165" s="153"/>
      <c r="JOF165" s="153"/>
      <c r="JOG165" s="153"/>
      <c r="JOH165" s="153"/>
      <c r="JOI165" s="153"/>
      <c r="JOJ165" s="153"/>
      <c r="JOK165" s="153"/>
      <c r="JOL165" s="153"/>
      <c r="JOM165" s="153"/>
      <c r="JON165" s="153"/>
      <c r="JOO165" s="153"/>
      <c r="JOP165" s="153"/>
      <c r="JOQ165" s="153"/>
      <c r="JOR165" s="153"/>
      <c r="JOS165" s="153"/>
      <c r="JOT165" s="153"/>
      <c r="JOU165" s="153"/>
      <c r="JOV165" s="153"/>
      <c r="JOW165" s="153"/>
      <c r="JOX165" s="153"/>
      <c r="JOY165" s="153"/>
      <c r="JOZ165" s="153"/>
      <c r="JPA165" s="153"/>
      <c r="JPB165" s="153"/>
      <c r="JPC165" s="153"/>
      <c r="JPD165" s="153"/>
      <c r="JPE165" s="153"/>
      <c r="JPF165" s="153"/>
      <c r="JPG165" s="153"/>
      <c r="JPH165" s="153"/>
      <c r="JPI165" s="153"/>
      <c r="JPJ165" s="153"/>
      <c r="JPK165" s="153"/>
      <c r="JPL165" s="153"/>
      <c r="JPM165" s="153"/>
      <c r="JPN165" s="153"/>
      <c r="JPO165" s="153"/>
      <c r="JPP165" s="153"/>
      <c r="JPQ165" s="153"/>
      <c r="JPR165" s="153"/>
      <c r="JPS165" s="153"/>
      <c r="JPT165" s="153"/>
      <c r="JPU165" s="153"/>
      <c r="JPV165" s="153"/>
      <c r="JPW165" s="153"/>
      <c r="JPX165" s="153"/>
      <c r="JPY165" s="153"/>
      <c r="JPZ165" s="153"/>
      <c r="JQA165" s="153"/>
      <c r="JQB165" s="153"/>
      <c r="JQC165" s="153"/>
      <c r="JQD165" s="153"/>
      <c r="JQE165" s="153"/>
      <c r="JQF165" s="153"/>
      <c r="JQG165" s="153"/>
      <c r="JQH165" s="153"/>
      <c r="JQI165" s="153"/>
      <c r="JQJ165" s="153"/>
      <c r="JQK165" s="153"/>
      <c r="JQL165" s="153"/>
      <c r="JQM165" s="153"/>
      <c r="JQN165" s="153"/>
      <c r="JQO165" s="153"/>
      <c r="JQP165" s="153"/>
      <c r="JQQ165" s="153"/>
      <c r="JQR165" s="153"/>
      <c r="JQS165" s="153"/>
      <c r="JQT165" s="153"/>
      <c r="JQU165" s="153"/>
      <c r="JQV165" s="153"/>
      <c r="JQW165" s="153"/>
      <c r="JQX165" s="153"/>
      <c r="JQY165" s="153"/>
      <c r="JQZ165" s="153"/>
      <c r="JRA165" s="153"/>
      <c r="JRB165" s="153"/>
      <c r="JRC165" s="153"/>
      <c r="JRD165" s="153"/>
      <c r="JRE165" s="153"/>
      <c r="JRF165" s="153"/>
      <c r="JRG165" s="153"/>
      <c r="JRH165" s="153"/>
      <c r="JRI165" s="153"/>
      <c r="JRJ165" s="153"/>
      <c r="JRK165" s="153"/>
      <c r="JRL165" s="153"/>
      <c r="JRM165" s="153"/>
      <c r="JRN165" s="153"/>
      <c r="JRO165" s="153"/>
      <c r="JRP165" s="153"/>
      <c r="JRQ165" s="153"/>
      <c r="JRR165" s="153"/>
      <c r="JRS165" s="153"/>
      <c r="JRT165" s="153"/>
      <c r="JRU165" s="153"/>
      <c r="JRV165" s="153"/>
      <c r="JRW165" s="153"/>
      <c r="JRX165" s="153"/>
      <c r="JRY165" s="153"/>
      <c r="JRZ165" s="153"/>
      <c r="JSA165" s="153"/>
      <c r="JSB165" s="153"/>
      <c r="JSC165" s="153"/>
      <c r="JSD165" s="153"/>
      <c r="JSE165" s="153"/>
      <c r="JSF165" s="153"/>
      <c r="JSG165" s="153"/>
      <c r="JSH165" s="153"/>
      <c r="JSI165" s="153"/>
      <c r="JSJ165" s="153"/>
      <c r="JSK165" s="153"/>
      <c r="JSL165" s="153"/>
      <c r="JSM165" s="153"/>
      <c r="JSN165" s="153"/>
      <c r="JSO165" s="153"/>
      <c r="JSP165" s="153"/>
      <c r="JSQ165" s="153"/>
      <c r="JSR165" s="153"/>
      <c r="JSS165" s="153"/>
      <c r="JST165" s="153"/>
      <c r="JSU165" s="153"/>
      <c r="JSV165" s="153"/>
      <c r="JSW165" s="153"/>
      <c r="JSX165" s="153"/>
      <c r="JSY165" s="153"/>
      <c r="JSZ165" s="153"/>
      <c r="JTA165" s="153"/>
      <c r="JTB165" s="153"/>
      <c r="JTC165" s="153"/>
      <c r="JTD165" s="153"/>
      <c r="JTE165" s="153"/>
      <c r="JTF165" s="153"/>
      <c r="JTG165" s="153"/>
      <c r="JTH165" s="153"/>
      <c r="JTI165" s="153"/>
      <c r="JTJ165" s="153"/>
      <c r="JTK165" s="153"/>
      <c r="JTL165" s="153"/>
      <c r="JTM165" s="153"/>
      <c r="JTN165" s="153"/>
      <c r="JTO165" s="153"/>
      <c r="JTP165" s="153"/>
      <c r="JTQ165" s="153"/>
      <c r="JTR165" s="153"/>
      <c r="JTS165" s="153"/>
      <c r="JTT165" s="153"/>
      <c r="JTU165" s="153"/>
      <c r="JTV165" s="153"/>
      <c r="JTW165" s="153"/>
      <c r="JTX165" s="153"/>
      <c r="JTY165" s="153"/>
      <c r="JTZ165" s="153"/>
      <c r="JUA165" s="153"/>
      <c r="JUB165" s="153"/>
      <c r="JUC165" s="153"/>
      <c r="JUD165" s="153"/>
      <c r="JUE165" s="153"/>
      <c r="JUF165" s="153"/>
      <c r="JUG165" s="153"/>
      <c r="JUH165" s="153"/>
      <c r="JUI165" s="153"/>
      <c r="JUJ165" s="153"/>
      <c r="JUK165" s="153"/>
      <c r="JUL165" s="153"/>
      <c r="JUM165" s="153"/>
      <c r="JUN165" s="153"/>
      <c r="JUO165" s="153"/>
      <c r="JUP165" s="153"/>
      <c r="JUQ165" s="153"/>
      <c r="JUR165" s="153"/>
      <c r="JUS165" s="153"/>
      <c r="JUT165" s="153"/>
      <c r="JUU165" s="153"/>
      <c r="JUV165" s="153"/>
      <c r="JUW165" s="153"/>
      <c r="JUX165" s="153"/>
      <c r="JUY165" s="153"/>
      <c r="JUZ165" s="153"/>
      <c r="JVA165" s="153"/>
      <c r="JVB165" s="153"/>
      <c r="JVC165" s="153"/>
      <c r="JVD165" s="153"/>
      <c r="JVE165" s="153"/>
      <c r="JVF165" s="153"/>
      <c r="JVG165" s="153"/>
      <c r="JVH165" s="153"/>
      <c r="JVI165" s="153"/>
      <c r="JVJ165" s="153"/>
      <c r="JVK165" s="153"/>
      <c r="JVL165" s="153"/>
      <c r="JVM165" s="153"/>
      <c r="JVN165" s="153"/>
      <c r="JVO165" s="153"/>
      <c r="JVP165" s="153"/>
      <c r="JVQ165" s="153"/>
      <c r="JVR165" s="153"/>
      <c r="JVS165" s="153"/>
      <c r="JVT165" s="153"/>
      <c r="JVU165" s="153"/>
      <c r="JVV165" s="153"/>
      <c r="JVW165" s="153"/>
      <c r="JVX165" s="153"/>
      <c r="JVY165" s="153"/>
      <c r="JVZ165" s="153"/>
      <c r="JWA165" s="153"/>
      <c r="JWB165" s="153"/>
      <c r="JWC165" s="153"/>
      <c r="JWD165" s="153"/>
      <c r="JWE165" s="153"/>
      <c r="JWF165" s="153"/>
      <c r="JWG165" s="153"/>
      <c r="JWH165" s="153"/>
      <c r="JWI165" s="153"/>
      <c r="JWJ165" s="153"/>
      <c r="JWK165" s="153"/>
      <c r="JWL165" s="153"/>
      <c r="JWM165" s="153"/>
      <c r="JWN165" s="153"/>
      <c r="JWO165" s="153"/>
      <c r="JWP165" s="153"/>
      <c r="JWQ165" s="153"/>
      <c r="JWR165" s="153"/>
      <c r="JWS165" s="153"/>
      <c r="JWT165" s="153"/>
      <c r="JWU165" s="153"/>
      <c r="JWV165" s="153"/>
      <c r="JWW165" s="153"/>
      <c r="JWX165" s="153"/>
      <c r="JWY165" s="153"/>
      <c r="JWZ165" s="153"/>
      <c r="JXA165" s="153"/>
      <c r="JXB165" s="153"/>
      <c r="JXC165" s="153"/>
      <c r="JXD165" s="153"/>
      <c r="JXE165" s="153"/>
      <c r="JXF165" s="153"/>
      <c r="JXG165" s="153"/>
      <c r="JXH165" s="153"/>
      <c r="JXI165" s="153"/>
      <c r="JXJ165" s="153"/>
      <c r="JXK165" s="153"/>
      <c r="JXL165" s="153"/>
      <c r="JXM165" s="153"/>
      <c r="JXN165" s="153"/>
      <c r="JXO165" s="153"/>
      <c r="JXP165" s="153"/>
      <c r="JXQ165" s="153"/>
      <c r="JXR165" s="153"/>
      <c r="JXS165" s="153"/>
      <c r="JXT165" s="153"/>
      <c r="JXU165" s="153"/>
      <c r="JXV165" s="153"/>
      <c r="JXW165" s="153"/>
      <c r="JXX165" s="153"/>
      <c r="JXY165" s="153"/>
      <c r="JXZ165" s="153"/>
      <c r="JYA165" s="153"/>
      <c r="JYB165" s="153"/>
      <c r="JYC165" s="153"/>
      <c r="JYD165" s="153"/>
      <c r="JYE165" s="153"/>
      <c r="JYF165" s="153"/>
      <c r="JYG165" s="153"/>
      <c r="JYH165" s="153"/>
      <c r="JYI165" s="153"/>
      <c r="JYJ165" s="153"/>
      <c r="JYK165" s="153"/>
      <c r="JYL165" s="153"/>
      <c r="JYM165" s="153"/>
      <c r="JYN165" s="153"/>
      <c r="JYO165" s="153"/>
      <c r="JYP165" s="153"/>
      <c r="JYQ165" s="153"/>
      <c r="JYR165" s="153"/>
      <c r="JYS165" s="153"/>
      <c r="JYT165" s="153"/>
      <c r="JYU165" s="153"/>
      <c r="JYV165" s="153"/>
      <c r="JYW165" s="153"/>
      <c r="JYX165" s="153"/>
      <c r="JYY165" s="153"/>
      <c r="JYZ165" s="153"/>
      <c r="JZA165" s="153"/>
      <c r="JZB165" s="153"/>
      <c r="JZC165" s="153"/>
      <c r="JZD165" s="153"/>
      <c r="JZE165" s="153"/>
      <c r="JZF165" s="153"/>
      <c r="JZG165" s="153"/>
      <c r="JZH165" s="153"/>
      <c r="JZI165" s="153"/>
      <c r="JZJ165" s="153"/>
      <c r="JZK165" s="153"/>
      <c r="JZL165" s="153"/>
      <c r="JZM165" s="153"/>
      <c r="JZN165" s="153"/>
      <c r="JZO165" s="153"/>
      <c r="JZP165" s="153"/>
      <c r="JZQ165" s="153"/>
      <c r="JZR165" s="153"/>
      <c r="JZS165" s="153"/>
      <c r="JZT165" s="153"/>
      <c r="JZU165" s="153"/>
      <c r="JZV165" s="153"/>
      <c r="JZW165" s="153"/>
      <c r="JZX165" s="153"/>
      <c r="JZY165" s="153"/>
      <c r="JZZ165" s="153"/>
      <c r="KAA165" s="153"/>
      <c r="KAB165" s="153"/>
      <c r="KAC165" s="153"/>
      <c r="KAD165" s="153"/>
      <c r="KAE165" s="153"/>
      <c r="KAF165" s="153"/>
      <c r="KAG165" s="153"/>
      <c r="KAH165" s="153"/>
      <c r="KAI165" s="153"/>
      <c r="KAJ165" s="153"/>
      <c r="KAK165" s="153"/>
      <c r="KAL165" s="153"/>
      <c r="KAM165" s="153"/>
      <c r="KAN165" s="153"/>
      <c r="KAO165" s="153"/>
      <c r="KAP165" s="153"/>
      <c r="KAQ165" s="153"/>
      <c r="KAR165" s="153"/>
      <c r="KAS165" s="153"/>
      <c r="KAT165" s="153"/>
      <c r="KAU165" s="153"/>
      <c r="KAV165" s="153"/>
      <c r="KAW165" s="153"/>
      <c r="KAX165" s="153"/>
      <c r="KAY165" s="153"/>
      <c r="KAZ165" s="153"/>
      <c r="KBA165" s="153"/>
      <c r="KBB165" s="153"/>
      <c r="KBC165" s="153"/>
      <c r="KBD165" s="153"/>
      <c r="KBE165" s="153"/>
      <c r="KBF165" s="153"/>
      <c r="KBG165" s="153"/>
      <c r="KBH165" s="153"/>
      <c r="KBI165" s="153"/>
      <c r="KBJ165" s="153"/>
      <c r="KBK165" s="153"/>
      <c r="KBL165" s="153"/>
      <c r="KBM165" s="153"/>
      <c r="KBN165" s="153"/>
      <c r="KBO165" s="153"/>
      <c r="KBP165" s="153"/>
      <c r="KBQ165" s="153"/>
      <c r="KBR165" s="153"/>
      <c r="KBS165" s="153"/>
      <c r="KBT165" s="153"/>
      <c r="KBU165" s="153"/>
      <c r="KBV165" s="153"/>
      <c r="KBW165" s="153"/>
      <c r="KBX165" s="153"/>
      <c r="KBY165" s="153"/>
      <c r="KBZ165" s="153"/>
      <c r="KCA165" s="153"/>
      <c r="KCB165" s="153"/>
      <c r="KCC165" s="153"/>
      <c r="KCD165" s="153"/>
      <c r="KCE165" s="153"/>
      <c r="KCF165" s="153"/>
      <c r="KCG165" s="153"/>
      <c r="KCH165" s="153"/>
      <c r="KCI165" s="153"/>
      <c r="KCJ165" s="153"/>
      <c r="KCK165" s="153"/>
      <c r="KCL165" s="153"/>
      <c r="KCM165" s="153"/>
      <c r="KCN165" s="153"/>
      <c r="KCO165" s="153"/>
      <c r="KCP165" s="153"/>
      <c r="KCQ165" s="153"/>
      <c r="KCR165" s="153"/>
      <c r="KCS165" s="153"/>
      <c r="KCT165" s="153"/>
      <c r="KCU165" s="153"/>
      <c r="KCV165" s="153"/>
      <c r="KCW165" s="153"/>
      <c r="KCX165" s="153"/>
      <c r="KCY165" s="153"/>
      <c r="KCZ165" s="153"/>
      <c r="KDA165" s="153"/>
      <c r="KDB165" s="153"/>
      <c r="KDC165" s="153"/>
      <c r="KDD165" s="153"/>
      <c r="KDE165" s="153"/>
      <c r="KDF165" s="153"/>
      <c r="KDG165" s="153"/>
      <c r="KDH165" s="153"/>
      <c r="KDI165" s="153"/>
      <c r="KDJ165" s="153"/>
      <c r="KDK165" s="153"/>
      <c r="KDL165" s="153"/>
      <c r="KDM165" s="153"/>
      <c r="KDN165" s="153"/>
      <c r="KDO165" s="153"/>
      <c r="KDP165" s="153"/>
      <c r="KDQ165" s="153"/>
      <c r="KDR165" s="153"/>
      <c r="KDS165" s="153"/>
      <c r="KDT165" s="153"/>
      <c r="KDU165" s="153"/>
      <c r="KDV165" s="153"/>
      <c r="KDW165" s="153"/>
      <c r="KDX165" s="153"/>
      <c r="KDY165" s="153"/>
      <c r="KDZ165" s="153"/>
      <c r="KEA165" s="153"/>
      <c r="KEB165" s="153"/>
      <c r="KEC165" s="153"/>
      <c r="KED165" s="153"/>
      <c r="KEE165" s="153"/>
      <c r="KEF165" s="153"/>
      <c r="KEG165" s="153"/>
      <c r="KEH165" s="153"/>
      <c r="KEI165" s="153"/>
      <c r="KEJ165" s="153"/>
      <c r="KEK165" s="153"/>
      <c r="KEL165" s="153"/>
      <c r="KEM165" s="153"/>
      <c r="KEN165" s="153"/>
      <c r="KEO165" s="153"/>
      <c r="KEP165" s="153"/>
      <c r="KEQ165" s="153"/>
      <c r="KER165" s="153"/>
      <c r="KES165" s="153"/>
      <c r="KET165" s="153"/>
      <c r="KEU165" s="153"/>
      <c r="KEV165" s="153"/>
      <c r="KEW165" s="153"/>
      <c r="KEX165" s="153"/>
      <c r="KEY165" s="153"/>
      <c r="KEZ165" s="153"/>
      <c r="KFA165" s="153"/>
      <c r="KFB165" s="153"/>
      <c r="KFC165" s="153"/>
      <c r="KFD165" s="153"/>
      <c r="KFE165" s="153"/>
      <c r="KFF165" s="153"/>
      <c r="KFG165" s="153"/>
      <c r="KFH165" s="153"/>
      <c r="KFI165" s="153"/>
      <c r="KFJ165" s="153"/>
      <c r="KFK165" s="153"/>
      <c r="KFL165" s="153"/>
      <c r="KFM165" s="153"/>
      <c r="KFN165" s="153"/>
      <c r="KFO165" s="153"/>
      <c r="KFP165" s="153"/>
      <c r="KFQ165" s="153"/>
      <c r="KFR165" s="153"/>
      <c r="KFS165" s="153"/>
      <c r="KFT165" s="153"/>
      <c r="KFU165" s="153"/>
      <c r="KFV165" s="153"/>
      <c r="KFW165" s="153"/>
      <c r="KFX165" s="153"/>
      <c r="KFY165" s="153"/>
      <c r="KFZ165" s="153"/>
      <c r="KGA165" s="153"/>
      <c r="KGB165" s="153"/>
      <c r="KGC165" s="153"/>
      <c r="KGD165" s="153"/>
      <c r="KGE165" s="153"/>
      <c r="KGF165" s="153"/>
      <c r="KGG165" s="153"/>
      <c r="KGH165" s="153"/>
      <c r="KGI165" s="153"/>
      <c r="KGJ165" s="153"/>
      <c r="KGK165" s="153"/>
      <c r="KGL165" s="153"/>
      <c r="KGM165" s="153"/>
      <c r="KGN165" s="153"/>
      <c r="KGO165" s="153"/>
      <c r="KGP165" s="153"/>
      <c r="KGQ165" s="153"/>
      <c r="KGR165" s="153"/>
      <c r="KGS165" s="153"/>
      <c r="KGT165" s="153"/>
      <c r="KGU165" s="153"/>
      <c r="KGV165" s="153"/>
      <c r="KGW165" s="153"/>
      <c r="KGX165" s="153"/>
      <c r="KGY165" s="153"/>
      <c r="KGZ165" s="153"/>
      <c r="KHA165" s="153"/>
      <c r="KHB165" s="153"/>
      <c r="KHC165" s="153"/>
      <c r="KHD165" s="153"/>
      <c r="KHE165" s="153"/>
      <c r="KHF165" s="153"/>
      <c r="KHG165" s="153"/>
      <c r="KHH165" s="153"/>
      <c r="KHI165" s="153"/>
      <c r="KHJ165" s="153"/>
      <c r="KHK165" s="153"/>
      <c r="KHL165" s="153"/>
      <c r="KHM165" s="153"/>
      <c r="KHN165" s="153"/>
      <c r="KHO165" s="153"/>
      <c r="KHP165" s="153"/>
      <c r="KHQ165" s="153"/>
      <c r="KHR165" s="153"/>
      <c r="KHS165" s="153"/>
      <c r="KHT165" s="153"/>
      <c r="KHU165" s="153"/>
      <c r="KHV165" s="153"/>
      <c r="KHW165" s="153"/>
      <c r="KHX165" s="153"/>
      <c r="KHY165" s="153"/>
      <c r="KHZ165" s="153"/>
      <c r="KIA165" s="153"/>
      <c r="KIB165" s="153"/>
      <c r="KIC165" s="153"/>
      <c r="KID165" s="153"/>
      <c r="KIE165" s="153"/>
      <c r="KIF165" s="153"/>
      <c r="KIG165" s="153"/>
      <c r="KIH165" s="153"/>
      <c r="KII165" s="153"/>
      <c r="KIJ165" s="153"/>
      <c r="KIK165" s="153"/>
      <c r="KIL165" s="153"/>
      <c r="KIM165" s="153"/>
      <c r="KIN165" s="153"/>
      <c r="KIO165" s="153"/>
      <c r="KIP165" s="153"/>
      <c r="KIQ165" s="153"/>
      <c r="KIR165" s="153"/>
      <c r="KIS165" s="153"/>
      <c r="KIT165" s="153"/>
      <c r="KIU165" s="153"/>
      <c r="KIV165" s="153"/>
      <c r="KIW165" s="153"/>
      <c r="KIX165" s="153"/>
      <c r="KIY165" s="153"/>
      <c r="KIZ165" s="153"/>
      <c r="KJA165" s="153"/>
      <c r="KJB165" s="153"/>
      <c r="KJC165" s="153"/>
      <c r="KJD165" s="153"/>
      <c r="KJE165" s="153"/>
      <c r="KJF165" s="153"/>
      <c r="KJG165" s="153"/>
      <c r="KJH165" s="153"/>
      <c r="KJI165" s="153"/>
      <c r="KJJ165" s="153"/>
      <c r="KJK165" s="153"/>
      <c r="KJL165" s="153"/>
      <c r="KJM165" s="153"/>
      <c r="KJN165" s="153"/>
      <c r="KJO165" s="153"/>
      <c r="KJP165" s="153"/>
      <c r="KJQ165" s="153"/>
      <c r="KJR165" s="153"/>
      <c r="KJS165" s="153"/>
      <c r="KJT165" s="153"/>
      <c r="KJU165" s="153"/>
      <c r="KJV165" s="153"/>
      <c r="KJW165" s="153"/>
      <c r="KJX165" s="153"/>
      <c r="KJY165" s="153"/>
      <c r="KJZ165" s="153"/>
      <c r="KKA165" s="153"/>
      <c r="KKB165" s="153"/>
      <c r="KKC165" s="153"/>
      <c r="KKD165" s="153"/>
      <c r="KKE165" s="153"/>
      <c r="KKF165" s="153"/>
      <c r="KKG165" s="153"/>
      <c r="KKH165" s="153"/>
      <c r="KKI165" s="153"/>
      <c r="KKJ165" s="153"/>
      <c r="KKK165" s="153"/>
      <c r="KKL165" s="153"/>
      <c r="KKM165" s="153"/>
      <c r="KKN165" s="153"/>
      <c r="KKO165" s="153"/>
      <c r="KKP165" s="153"/>
      <c r="KKQ165" s="153"/>
      <c r="KKR165" s="153"/>
      <c r="KKS165" s="153"/>
      <c r="KKT165" s="153"/>
      <c r="KKU165" s="153"/>
      <c r="KKV165" s="153"/>
      <c r="KKW165" s="153"/>
      <c r="KKX165" s="153"/>
      <c r="KKY165" s="153"/>
      <c r="KKZ165" s="153"/>
      <c r="KLA165" s="153"/>
      <c r="KLB165" s="153"/>
      <c r="KLC165" s="153"/>
      <c r="KLD165" s="153"/>
      <c r="KLE165" s="153"/>
      <c r="KLF165" s="153"/>
      <c r="KLG165" s="153"/>
      <c r="KLH165" s="153"/>
      <c r="KLI165" s="153"/>
      <c r="KLJ165" s="153"/>
      <c r="KLK165" s="153"/>
      <c r="KLL165" s="153"/>
      <c r="KLM165" s="153"/>
      <c r="KLN165" s="153"/>
      <c r="KLO165" s="153"/>
      <c r="KLP165" s="153"/>
      <c r="KLQ165" s="153"/>
      <c r="KLR165" s="153"/>
      <c r="KLS165" s="153"/>
      <c r="KLT165" s="153"/>
      <c r="KLU165" s="153"/>
      <c r="KLV165" s="153"/>
      <c r="KLW165" s="153"/>
      <c r="KLX165" s="153"/>
      <c r="KLY165" s="153"/>
      <c r="KLZ165" s="153"/>
      <c r="KMA165" s="153"/>
      <c r="KMB165" s="153"/>
      <c r="KMC165" s="153"/>
      <c r="KMD165" s="153"/>
      <c r="KME165" s="153"/>
      <c r="KMF165" s="153"/>
      <c r="KMG165" s="153"/>
      <c r="KMH165" s="153"/>
      <c r="KMI165" s="153"/>
      <c r="KMJ165" s="153"/>
      <c r="KMK165" s="153"/>
      <c r="KML165" s="153"/>
      <c r="KMM165" s="153"/>
      <c r="KMN165" s="153"/>
      <c r="KMO165" s="153"/>
      <c r="KMP165" s="153"/>
      <c r="KMQ165" s="153"/>
      <c r="KMR165" s="153"/>
      <c r="KMS165" s="153"/>
      <c r="KMT165" s="153"/>
      <c r="KMU165" s="153"/>
      <c r="KMV165" s="153"/>
      <c r="KMW165" s="153"/>
      <c r="KMX165" s="153"/>
      <c r="KMY165" s="153"/>
      <c r="KMZ165" s="153"/>
      <c r="KNA165" s="153"/>
      <c r="KNB165" s="153"/>
      <c r="KNC165" s="153"/>
      <c r="KND165" s="153"/>
      <c r="KNE165" s="153"/>
      <c r="KNF165" s="153"/>
      <c r="KNG165" s="153"/>
      <c r="KNH165" s="153"/>
      <c r="KNI165" s="153"/>
      <c r="KNJ165" s="153"/>
      <c r="KNK165" s="153"/>
      <c r="KNL165" s="153"/>
      <c r="KNM165" s="153"/>
      <c r="KNN165" s="153"/>
      <c r="KNO165" s="153"/>
      <c r="KNP165" s="153"/>
      <c r="KNQ165" s="153"/>
      <c r="KNR165" s="153"/>
      <c r="KNS165" s="153"/>
      <c r="KNT165" s="153"/>
      <c r="KNU165" s="153"/>
      <c r="KNV165" s="153"/>
      <c r="KNW165" s="153"/>
      <c r="KNX165" s="153"/>
      <c r="KNY165" s="153"/>
      <c r="KNZ165" s="153"/>
      <c r="KOA165" s="153"/>
      <c r="KOB165" s="153"/>
      <c r="KOC165" s="153"/>
      <c r="KOD165" s="153"/>
      <c r="KOE165" s="153"/>
      <c r="KOF165" s="153"/>
      <c r="KOG165" s="153"/>
      <c r="KOH165" s="153"/>
      <c r="KOI165" s="153"/>
      <c r="KOJ165" s="153"/>
      <c r="KOK165" s="153"/>
      <c r="KOL165" s="153"/>
      <c r="KOM165" s="153"/>
      <c r="KON165" s="153"/>
      <c r="KOO165" s="153"/>
      <c r="KOP165" s="153"/>
      <c r="KOQ165" s="153"/>
      <c r="KOR165" s="153"/>
      <c r="KOS165" s="153"/>
      <c r="KOT165" s="153"/>
      <c r="KOU165" s="153"/>
      <c r="KOV165" s="153"/>
      <c r="KOW165" s="153"/>
      <c r="KOX165" s="153"/>
      <c r="KOY165" s="153"/>
      <c r="KOZ165" s="153"/>
      <c r="KPA165" s="153"/>
      <c r="KPB165" s="153"/>
      <c r="KPC165" s="153"/>
      <c r="KPD165" s="153"/>
      <c r="KPE165" s="153"/>
      <c r="KPF165" s="153"/>
      <c r="KPG165" s="153"/>
      <c r="KPH165" s="153"/>
      <c r="KPI165" s="153"/>
      <c r="KPJ165" s="153"/>
      <c r="KPK165" s="153"/>
      <c r="KPL165" s="153"/>
      <c r="KPM165" s="153"/>
      <c r="KPN165" s="153"/>
      <c r="KPO165" s="153"/>
      <c r="KPP165" s="153"/>
      <c r="KPQ165" s="153"/>
      <c r="KPR165" s="153"/>
      <c r="KPS165" s="153"/>
      <c r="KPT165" s="153"/>
      <c r="KPU165" s="153"/>
      <c r="KPV165" s="153"/>
      <c r="KPW165" s="153"/>
      <c r="KPX165" s="153"/>
      <c r="KPY165" s="153"/>
      <c r="KPZ165" s="153"/>
      <c r="KQA165" s="153"/>
      <c r="KQB165" s="153"/>
      <c r="KQC165" s="153"/>
      <c r="KQD165" s="153"/>
      <c r="KQE165" s="153"/>
      <c r="KQF165" s="153"/>
      <c r="KQG165" s="153"/>
      <c r="KQH165" s="153"/>
      <c r="KQI165" s="153"/>
      <c r="KQJ165" s="153"/>
      <c r="KQK165" s="153"/>
      <c r="KQL165" s="153"/>
      <c r="KQM165" s="153"/>
      <c r="KQN165" s="153"/>
      <c r="KQO165" s="153"/>
      <c r="KQP165" s="153"/>
      <c r="KQQ165" s="153"/>
      <c r="KQR165" s="153"/>
      <c r="KQS165" s="153"/>
      <c r="KQT165" s="153"/>
      <c r="KQU165" s="153"/>
      <c r="KQV165" s="153"/>
      <c r="KQW165" s="153"/>
      <c r="KQX165" s="153"/>
      <c r="KQY165" s="153"/>
      <c r="KQZ165" s="153"/>
      <c r="KRA165" s="153"/>
      <c r="KRB165" s="153"/>
      <c r="KRC165" s="153"/>
      <c r="KRD165" s="153"/>
      <c r="KRE165" s="153"/>
      <c r="KRF165" s="153"/>
      <c r="KRG165" s="153"/>
      <c r="KRH165" s="153"/>
      <c r="KRI165" s="153"/>
      <c r="KRJ165" s="153"/>
      <c r="KRK165" s="153"/>
      <c r="KRL165" s="153"/>
      <c r="KRM165" s="153"/>
      <c r="KRN165" s="153"/>
      <c r="KRO165" s="153"/>
      <c r="KRP165" s="153"/>
      <c r="KRQ165" s="153"/>
      <c r="KRR165" s="153"/>
      <c r="KRS165" s="153"/>
      <c r="KRT165" s="153"/>
      <c r="KRU165" s="153"/>
      <c r="KRV165" s="153"/>
      <c r="KRW165" s="153"/>
      <c r="KRX165" s="153"/>
      <c r="KRY165" s="153"/>
      <c r="KRZ165" s="153"/>
      <c r="KSA165" s="153"/>
      <c r="KSB165" s="153"/>
      <c r="KSC165" s="153"/>
      <c r="KSD165" s="153"/>
      <c r="KSE165" s="153"/>
      <c r="KSF165" s="153"/>
      <c r="KSG165" s="153"/>
      <c r="KSH165" s="153"/>
      <c r="KSI165" s="153"/>
      <c r="KSJ165" s="153"/>
      <c r="KSK165" s="153"/>
      <c r="KSL165" s="153"/>
      <c r="KSM165" s="153"/>
      <c r="KSN165" s="153"/>
      <c r="KSO165" s="153"/>
      <c r="KSP165" s="153"/>
      <c r="KSQ165" s="153"/>
      <c r="KSR165" s="153"/>
      <c r="KSS165" s="153"/>
      <c r="KST165" s="153"/>
      <c r="KSU165" s="153"/>
      <c r="KSV165" s="153"/>
      <c r="KSW165" s="153"/>
      <c r="KSX165" s="153"/>
      <c r="KSY165" s="153"/>
      <c r="KSZ165" s="153"/>
      <c r="KTA165" s="153"/>
      <c r="KTB165" s="153"/>
      <c r="KTC165" s="153"/>
      <c r="KTD165" s="153"/>
      <c r="KTE165" s="153"/>
      <c r="KTF165" s="153"/>
      <c r="KTG165" s="153"/>
      <c r="KTH165" s="153"/>
      <c r="KTI165" s="153"/>
      <c r="KTJ165" s="153"/>
      <c r="KTK165" s="153"/>
      <c r="KTL165" s="153"/>
      <c r="KTM165" s="153"/>
      <c r="KTN165" s="153"/>
      <c r="KTO165" s="153"/>
      <c r="KTP165" s="153"/>
      <c r="KTQ165" s="153"/>
      <c r="KTR165" s="153"/>
      <c r="KTS165" s="153"/>
      <c r="KTT165" s="153"/>
      <c r="KTU165" s="153"/>
      <c r="KTV165" s="153"/>
      <c r="KTW165" s="153"/>
      <c r="KTX165" s="153"/>
      <c r="KTY165" s="153"/>
      <c r="KTZ165" s="153"/>
      <c r="KUA165" s="153"/>
      <c r="KUB165" s="153"/>
      <c r="KUC165" s="153"/>
      <c r="KUD165" s="153"/>
      <c r="KUE165" s="153"/>
      <c r="KUF165" s="153"/>
      <c r="KUG165" s="153"/>
      <c r="KUH165" s="153"/>
      <c r="KUI165" s="153"/>
      <c r="KUJ165" s="153"/>
      <c r="KUK165" s="153"/>
      <c r="KUL165" s="153"/>
      <c r="KUM165" s="153"/>
      <c r="KUN165" s="153"/>
      <c r="KUO165" s="153"/>
      <c r="KUP165" s="153"/>
      <c r="KUQ165" s="153"/>
      <c r="KUR165" s="153"/>
      <c r="KUS165" s="153"/>
      <c r="KUT165" s="153"/>
      <c r="KUU165" s="153"/>
      <c r="KUV165" s="153"/>
      <c r="KUW165" s="153"/>
      <c r="KUX165" s="153"/>
      <c r="KUY165" s="153"/>
      <c r="KUZ165" s="153"/>
      <c r="KVA165" s="153"/>
      <c r="KVB165" s="153"/>
      <c r="KVC165" s="153"/>
      <c r="KVD165" s="153"/>
      <c r="KVE165" s="153"/>
      <c r="KVF165" s="153"/>
      <c r="KVG165" s="153"/>
      <c r="KVH165" s="153"/>
      <c r="KVI165" s="153"/>
      <c r="KVJ165" s="153"/>
      <c r="KVK165" s="153"/>
      <c r="KVL165" s="153"/>
      <c r="KVM165" s="153"/>
      <c r="KVN165" s="153"/>
      <c r="KVO165" s="153"/>
      <c r="KVP165" s="153"/>
      <c r="KVQ165" s="153"/>
      <c r="KVR165" s="153"/>
      <c r="KVS165" s="153"/>
      <c r="KVT165" s="153"/>
      <c r="KVU165" s="153"/>
      <c r="KVV165" s="153"/>
      <c r="KVW165" s="153"/>
      <c r="KVX165" s="153"/>
      <c r="KVY165" s="153"/>
      <c r="KVZ165" s="153"/>
      <c r="KWA165" s="153"/>
      <c r="KWB165" s="153"/>
      <c r="KWC165" s="153"/>
      <c r="KWD165" s="153"/>
      <c r="KWE165" s="153"/>
      <c r="KWF165" s="153"/>
      <c r="KWG165" s="153"/>
      <c r="KWH165" s="153"/>
      <c r="KWI165" s="153"/>
      <c r="KWJ165" s="153"/>
      <c r="KWK165" s="153"/>
      <c r="KWL165" s="153"/>
      <c r="KWM165" s="153"/>
      <c r="KWN165" s="153"/>
      <c r="KWO165" s="153"/>
      <c r="KWP165" s="153"/>
      <c r="KWQ165" s="153"/>
      <c r="KWR165" s="153"/>
      <c r="KWS165" s="153"/>
      <c r="KWT165" s="153"/>
      <c r="KWU165" s="153"/>
      <c r="KWV165" s="153"/>
      <c r="KWW165" s="153"/>
      <c r="KWX165" s="153"/>
      <c r="KWY165" s="153"/>
      <c r="KWZ165" s="153"/>
      <c r="KXA165" s="153"/>
      <c r="KXB165" s="153"/>
      <c r="KXC165" s="153"/>
      <c r="KXD165" s="153"/>
      <c r="KXE165" s="153"/>
      <c r="KXF165" s="153"/>
      <c r="KXG165" s="153"/>
      <c r="KXH165" s="153"/>
      <c r="KXI165" s="153"/>
      <c r="KXJ165" s="153"/>
      <c r="KXK165" s="153"/>
      <c r="KXL165" s="153"/>
      <c r="KXM165" s="153"/>
      <c r="KXN165" s="153"/>
      <c r="KXO165" s="153"/>
      <c r="KXP165" s="153"/>
      <c r="KXQ165" s="153"/>
      <c r="KXR165" s="153"/>
      <c r="KXS165" s="153"/>
      <c r="KXT165" s="153"/>
      <c r="KXU165" s="153"/>
      <c r="KXV165" s="153"/>
      <c r="KXW165" s="153"/>
      <c r="KXX165" s="153"/>
      <c r="KXY165" s="153"/>
      <c r="KXZ165" s="153"/>
      <c r="KYA165" s="153"/>
      <c r="KYB165" s="153"/>
      <c r="KYC165" s="153"/>
      <c r="KYD165" s="153"/>
      <c r="KYE165" s="153"/>
      <c r="KYF165" s="153"/>
      <c r="KYG165" s="153"/>
      <c r="KYH165" s="153"/>
      <c r="KYI165" s="153"/>
      <c r="KYJ165" s="153"/>
      <c r="KYK165" s="153"/>
      <c r="KYL165" s="153"/>
      <c r="KYM165" s="153"/>
      <c r="KYN165" s="153"/>
      <c r="KYO165" s="153"/>
      <c r="KYP165" s="153"/>
      <c r="KYQ165" s="153"/>
      <c r="KYR165" s="153"/>
      <c r="KYS165" s="153"/>
      <c r="KYT165" s="153"/>
      <c r="KYU165" s="153"/>
      <c r="KYV165" s="153"/>
      <c r="KYW165" s="153"/>
      <c r="KYX165" s="153"/>
      <c r="KYY165" s="153"/>
      <c r="KYZ165" s="153"/>
      <c r="KZA165" s="153"/>
      <c r="KZB165" s="153"/>
      <c r="KZC165" s="153"/>
      <c r="KZD165" s="153"/>
      <c r="KZE165" s="153"/>
      <c r="KZF165" s="153"/>
      <c r="KZG165" s="153"/>
      <c r="KZH165" s="153"/>
      <c r="KZI165" s="153"/>
      <c r="KZJ165" s="153"/>
      <c r="KZK165" s="153"/>
      <c r="KZL165" s="153"/>
      <c r="KZM165" s="153"/>
      <c r="KZN165" s="153"/>
      <c r="KZO165" s="153"/>
      <c r="KZP165" s="153"/>
      <c r="KZQ165" s="153"/>
      <c r="KZR165" s="153"/>
      <c r="KZS165" s="153"/>
      <c r="KZT165" s="153"/>
      <c r="KZU165" s="153"/>
      <c r="KZV165" s="153"/>
      <c r="KZW165" s="153"/>
      <c r="KZX165" s="153"/>
      <c r="KZY165" s="153"/>
      <c r="KZZ165" s="153"/>
      <c r="LAA165" s="153"/>
      <c r="LAB165" s="153"/>
      <c r="LAC165" s="153"/>
      <c r="LAD165" s="153"/>
      <c r="LAE165" s="153"/>
      <c r="LAF165" s="153"/>
      <c r="LAG165" s="153"/>
      <c r="LAH165" s="153"/>
      <c r="LAI165" s="153"/>
      <c r="LAJ165" s="153"/>
      <c r="LAK165" s="153"/>
      <c r="LAL165" s="153"/>
      <c r="LAM165" s="153"/>
      <c r="LAN165" s="153"/>
      <c r="LAO165" s="153"/>
      <c r="LAP165" s="153"/>
      <c r="LAQ165" s="153"/>
      <c r="LAR165" s="153"/>
      <c r="LAS165" s="153"/>
      <c r="LAT165" s="153"/>
      <c r="LAU165" s="153"/>
      <c r="LAV165" s="153"/>
      <c r="LAW165" s="153"/>
      <c r="LAX165" s="153"/>
      <c r="LAY165" s="153"/>
      <c r="LAZ165" s="153"/>
      <c r="LBA165" s="153"/>
      <c r="LBB165" s="153"/>
      <c r="LBC165" s="153"/>
      <c r="LBD165" s="153"/>
      <c r="LBE165" s="153"/>
      <c r="LBF165" s="153"/>
      <c r="LBG165" s="153"/>
      <c r="LBH165" s="153"/>
      <c r="LBI165" s="153"/>
      <c r="LBJ165" s="153"/>
      <c r="LBK165" s="153"/>
      <c r="LBL165" s="153"/>
      <c r="LBM165" s="153"/>
      <c r="LBN165" s="153"/>
      <c r="LBO165" s="153"/>
      <c r="LBP165" s="153"/>
      <c r="LBQ165" s="153"/>
      <c r="LBR165" s="153"/>
      <c r="LBS165" s="153"/>
      <c r="LBT165" s="153"/>
      <c r="LBU165" s="153"/>
      <c r="LBV165" s="153"/>
      <c r="LBW165" s="153"/>
      <c r="LBX165" s="153"/>
      <c r="LBY165" s="153"/>
      <c r="LBZ165" s="153"/>
      <c r="LCA165" s="153"/>
      <c r="LCB165" s="153"/>
      <c r="LCC165" s="153"/>
      <c r="LCD165" s="153"/>
      <c r="LCE165" s="153"/>
      <c r="LCF165" s="153"/>
      <c r="LCG165" s="153"/>
      <c r="LCH165" s="153"/>
      <c r="LCI165" s="153"/>
      <c r="LCJ165" s="153"/>
      <c r="LCK165" s="153"/>
      <c r="LCL165" s="153"/>
      <c r="LCM165" s="153"/>
      <c r="LCN165" s="153"/>
      <c r="LCO165" s="153"/>
      <c r="LCP165" s="153"/>
      <c r="LCQ165" s="153"/>
      <c r="LCR165" s="153"/>
      <c r="LCS165" s="153"/>
      <c r="LCT165" s="153"/>
      <c r="LCU165" s="153"/>
      <c r="LCV165" s="153"/>
      <c r="LCW165" s="153"/>
      <c r="LCX165" s="153"/>
      <c r="LCY165" s="153"/>
      <c r="LCZ165" s="153"/>
      <c r="LDA165" s="153"/>
      <c r="LDB165" s="153"/>
      <c r="LDC165" s="153"/>
      <c r="LDD165" s="153"/>
      <c r="LDE165" s="153"/>
      <c r="LDF165" s="153"/>
      <c r="LDG165" s="153"/>
      <c r="LDH165" s="153"/>
      <c r="LDI165" s="153"/>
      <c r="LDJ165" s="153"/>
      <c r="LDK165" s="153"/>
      <c r="LDL165" s="153"/>
      <c r="LDM165" s="153"/>
      <c r="LDN165" s="153"/>
      <c r="LDO165" s="153"/>
      <c r="LDP165" s="153"/>
      <c r="LDQ165" s="153"/>
      <c r="LDR165" s="153"/>
      <c r="LDS165" s="153"/>
      <c r="LDT165" s="153"/>
      <c r="LDU165" s="153"/>
      <c r="LDV165" s="153"/>
      <c r="LDW165" s="153"/>
      <c r="LDX165" s="153"/>
      <c r="LDY165" s="153"/>
      <c r="LDZ165" s="153"/>
      <c r="LEA165" s="153"/>
      <c r="LEB165" s="153"/>
      <c r="LEC165" s="153"/>
      <c r="LED165" s="153"/>
      <c r="LEE165" s="153"/>
      <c r="LEF165" s="153"/>
      <c r="LEG165" s="153"/>
      <c r="LEH165" s="153"/>
      <c r="LEI165" s="153"/>
      <c r="LEJ165" s="153"/>
      <c r="LEK165" s="153"/>
      <c r="LEL165" s="153"/>
      <c r="LEM165" s="153"/>
      <c r="LEN165" s="153"/>
      <c r="LEO165" s="153"/>
      <c r="LEP165" s="153"/>
      <c r="LEQ165" s="153"/>
      <c r="LER165" s="153"/>
      <c r="LES165" s="153"/>
      <c r="LET165" s="153"/>
      <c r="LEU165" s="153"/>
      <c r="LEV165" s="153"/>
      <c r="LEW165" s="153"/>
      <c r="LEX165" s="153"/>
      <c r="LEY165" s="153"/>
      <c r="LEZ165" s="153"/>
      <c r="LFA165" s="153"/>
      <c r="LFB165" s="153"/>
      <c r="LFC165" s="153"/>
      <c r="LFD165" s="153"/>
      <c r="LFE165" s="153"/>
      <c r="LFF165" s="153"/>
      <c r="LFG165" s="153"/>
      <c r="LFH165" s="153"/>
      <c r="LFI165" s="153"/>
      <c r="LFJ165" s="153"/>
      <c r="LFK165" s="153"/>
      <c r="LFL165" s="153"/>
      <c r="LFM165" s="153"/>
      <c r="LFN165" s="153"/>
      <c r="LFO165" s="153"/>
      <c r="LFP165" s="153"/>
      <c r="LFQ165" s="153"/>
      <c r="LFR165" s="153"/>
      <c r="LFS165" s="153"/>
      <c r="LFT165" s="153"/>
      <c r="LFU165" s="153"/>
      <c r="LFV165" s="153"/>
      <c r="LFW165" s="153"/>
      <c r="LFX165" s="153"/>
      <c r="LFY165" s="153"/>
      <c r="LFZ165" s="153"/>
      <c r="LGA165" s="153"/>
      <c r="LGB165" s="153"/>
      <c r="LGC165" s="153"/>
      <c r="LGD165" s="153"/>
      <c r="LGE165" s="153"/>
      <c r="LGF165" s="153"/>
      <c r="LGG165" s="153"/>
      <c r="LGH165" s="153"/>
      <c r="LGI165" s="153"/>
      <c r="LGJ165" s="153"/>
      <c r="LGK165" s="153"/>
      <c r="LGL165" s="153"/>
      <c r="LGM165" s="153"/>
      <c r="LGN165" s="153"/>
      <c r="LGO165" s="153"/>
      <c r="LGP165" s="153"/>
      <c r="LGQ165" s="153"/>
      <c r="LGR165" s="153"/>
      <c r="LGS165" s="153"/>
      <c r="LGT165" s="153"/>
      <c r="LGU165" s="153"/>
      <c r="LGV165" s="153"/>
      <c r="LGW165" s="153"/>
      <c r="LGX165" s="153"/>
      <c r="LGY165" s="153"/>
      <c r="LGZ165" s="153"/>
      <c r="LHA165" s="153"/>
      <c r="LHB165" s="153"/>
      <c r="LHC165" s="153"/>
      <c r="LHD165" s="153"/>
      <c r="LHE165" s="153"/>
      <c r="LHF165" s="153"/>
      <c r="LHG165" s="153"/>
      <c r="LHH165" s="153"/>
      <c r="LHI165" s="153"/>
      <c r="LHJ165" s="153"/>
      <c r="LHK165" s="153"/>
      <c r="LHL165" s="153"/>
      <c r="LHM165" s="153"/>
      <c r="LHN165" s="153"/>
      <c r="LHO165" s="153"/>
      <c r="LHP165" s="153"/>
      <c r="LHQ165" s="153"/>
      <c r="LHR165" s="153"/>
      <c r="LHS165" s="153"/>
      <c r="LHT165" s="153"/>
      <c r="LHU165" s="153"/>
      <c r="LHV165" s="153"/>
      <c r="LHW165" s="153"/>
      <c r="LHX165" s="153"/>
      <c r="LHY165" s="153"/>
      <c r="LHZ165" s="153"/>
      <c r="LIA165" s="153"/>
      <c r="LIB165" s="153"/>
      <c r="LIC165" s="153"/>
      <c r="LID165" s="153"/>
      <c r="LIE165" s="153"/>
      <c r="LIF165" s="153"/>
      <c r="LIG165" s="153"/>
      <c r="LIH165" s="153"/>
      <c r="LII165" s="153"/>
      <c r="LIJ165" s="153"/>
      <c r="LIK165" s="153"/>
      <c r="LIL165" s="153"/>
      <c r="LIM165" s="153"/>
      <c r="LIN165" s="153"/>
      <c r="LIO165" s="153"/>
      <c r="LIP165" s="153"/>
      <c r="LIQ165" s="153"/>
      <c r="LIR165" s="153"/>
      <c r="LIS165" s="153"/>
      <c r="LIT165" s="153"/>
      <c r="LIU165" s="153"/>
      <c r="LIV165" s="153"/>
      <c r="LIW165" s="153"/>
      <c r="LIX165" s="153"/>
      <c r="LIY165" s="153"/>
      <c r="LIZ165" s="153"/>
      <c r="LJA165" s="153"/>
      <c r="LJB165" s="153"/>
      <c r="LJC165" s="153"/>
      <c r="LJD165" s="153"/>
      <c r="LJE165" s="153"/>
      <c r="LJF165" s="153"/>
      <c r="LJG165" s="153"/>
      <c r="LJH165" s="153"/>
      <c r="LJI165" s="153"/>
      <c r="LJJ165" s="153"/>
      <c r="LJK165" s="153"/>
      <c r="LJL165" s="153"/>
      <c r="LJM165" s="153"/>
      <c r="LJN165" s="153"/>
      <c r="LJO165" s="153"/>
      <c r="LJP165" s="153"/>
      <c r="LJQ165" s="153"/>
      <c r="LJR165" s="153"/>
      <c r="LJS165" s="153"/>
      <c r="LJT165" s="153"/>
      <c r="LJU165" s="153"/>
      <c r="LJV165" s="153"/>
      <c r="LJW165" s="153"/>
      <c r="LJX165" s="153"/>
      <c r="LJY165" s="153"/>
      <c r="LJZ165" s="153"/>
      <c r="LKA165" s="153"/>
      <c r="LKB165" s="153"/>
      <c r="LKC165" s="153"/>
      <c r="LKD165" s="153"/>
      <c r="LKE165" s="153"/>
      <c r="LKF165" s="153"/>
      <c r="LKG165" s="153"/>
      <c r="LKH165" s="153"/>
      <c r="LKI165" s="153"/>
      <c r="LKJ165" s="153"/>
      <c r="LKK165" s="153"/>
      <c r="LKL165" s="153"/>
      <c r="LKM165" s="153"/>
      <c r="LKN165" s="153"/>
      <c r="LKO165" s="153"/>
      <c r="LKP165" s="153"/>
      <c r="LKQ165" s="153"/>
      <c r="LKR165" s="153"/>
      <c r="LKS165" s="153"/>
      <c r="LKT165" s="153"/>
      <c r="LKU165" s="153"/>
      <c r="LKV165" s="153"/>
      <c r="LKW165" s="153"/>
      <c r="LKX165" s="153"/>
      <c r="LKY165" s="153"/>
      <c r="LKZ165" s="153"/>
      <c r="LLA165" s="153"/>
      <c r="LLB165" s="153"/>
      <c r="LLC165" s="153"/>
      <c r="LLD165" s="153"/>
      <c r="LLE165" s="153"/>
      <c r="LLF165" s="153"/>
      <c r="LLG165" s="153"/>
      <c r="LLH165" s="153"/>
      <c r="LLI165" s="153"/>
      <c r="LLJ165" s="153"/>
      <c r="LLK165" s="153"/>
      <c r="LLL165" s="153"/>
      <c r="LLM165" s="153"/>
      <c r="LLN165" s="153"/>
      <c r="LLO165" s="153"/>
      <c r="LLP165" s="153"/>
      <c r="LLQ165" s="153"/>
      <c r="LLR165" s="153"/>
      <c r="LLS165" s="153"/>
      <c r="LLT165" s="153"/>
      <c r="LLU165" s="153"/>
      <c r="LLV165" s="153"/>
      <c r="LLW165" s="153"/>
      <c r="LLX165" s="153"/>
      <c r="LLY165" s="153"/>
      <c r="LLZ165" s="153"/>
      <c r="LMA165" s="153"/>
      <c r="LMB165" s="153"/>
      <c r="LMC165" s="153"/>
      <c r="LMD165" s="153"/>
      <c r="LME165" s="153"/>
      <c r="LMF165" s="153"/>
      <c r="LMG165" s="153"/>
      <c r="LMH165" s="153"/>
      <c r="LMI165" s="153"/>
      <c r="LMJ165" s="153"/>
      <c r="LMK165" s="153"/>
      <c r="LML165" s="153"/>
      <c r="LMM165" s="153"/>
      <c r="LMN165" s="153"/>
      <c r="LMO165" s="153"/>
      <c r="LMP165" s="153"/>
      <c r="LMQ165" s="153"/>
      <c r="LMR165" s="153"/>
      <c r="LMS165" s="153"/>
      <c r="LMT165" s="153"/>
      <c r="LMU165" s="153"/>
      <c r="LMV165" s="153"/>
      <c r="LMW165" s="153"/>
      <c r="LMX165" s="153"/>
      <c r="LMY165" s="153"/>
      <c r="LMZ165" s="153"/>
      <c r="LNA165" s="153"/>
      <c r="LNB165" s="153"/>
      <c r="LNC165" s="153"/>
      <c r="LND165" s="153"/>
      <c r="LNE165" s="153"/>
      <c r="LNF165" s="153"/>
      <c r="LNG165" s="153"/>
      <c r="LNH165" s="153"/>
      <c r="LNI165" s="153"/>
      <c r="LNJ165" s="153"/>
      <c r="LNK165" s="153"/>
      <c r="LNL165" s="153"/>
      <c r="LNM165" s="153"/>
      <c r="LNN165" s="153"/>
      <c r="LNO165" s="153"/>
      <c r="LNP165" s="153"/>
      <c r="LNQ165" s="153"/>
      <c r="LNR165" s="153"/>
      <c r="LNS165" s="153"/>
      <c r="LNT165" s="153"/>
      <c r="LNU165" s="153"/>
      <c r="LNV165" s="153"/>
      <c r="LNW165" s="153"/>
      <c r="LNX165" s="153"/>
      <c r="LNY165" s="153"/>
      <c r="LNZ165" s="153"/>
      <c r="LOA165" s="153"/>
      <c r="LOB165" s="153"/>
      <c r="LOC165" s="153"/>
      <c r="LOD165" s="153"/>
      <c r="LOE165" s="153"/>
      <c r="LOF165" s="153"/>
      <c r="LOG165" s="153"/>
      <c r="LOH165" s="153"/>
      <c r="LOI165" s="153"/>
      <c r="LOJ165" s="153"/>
      <c r="LOK165" s="153"/>
      <c r="LOL165" s="153"/>
      <c r="LOM165" s="153"/>
      <c r="LON165" s="153"/>
      <c r="LOO165" s="153"/>
      <c r="LOP165" s="153"/>
      <c r="LOQ165" s="153"/>
      <c r="LOR165" s="153"/>
      <c r="LOS165" s="153"/>
      <c r="LOT165" s="153"/>
      <c r="LOU165" s="153"/>
      <c r="LOV165" s="153"/>
      <c r="LOW165" s="153"/>
      <c r="LOX165" s="153"/>
      <c r="LOY165" s="153"/>
      <c r="LOZ165" s="153"/>
      <c r="LPA165" s="153"/>
      <c r="LPB165" s="153"/>
      <c r="LPC165" s="153"/>
      <c r="LPD165" s="153"/>
      <c r="LPE165" s="153"/>
      <c r="LPF165" s="153"/>
      <c r="LPG165" s="153"/>
      <c r="LPH165" s="153"/>
      <c r="LPI165" s="153"/>
      <c r="LPJ165" s="153"/>
      <c r="LPK165" s="153"/>
      <c r="LPL165" s="153"/>
      <c r="LPM165" s="153"/>
      <c r="LPN165" s="153"/>
      <c r="LPO165" s="153"/>
      <c r="LPP165" s="153"/>
      <c r="LPQ165" s="153"/>
      <c r="LPR165" s="153"/>
      <c r="LPS165" s="153"/>
      <c r="LPT165" s="153"/>
      <c r="LPU165" s="153"/>
      <c r="LPV165" s="153"/>
      <c r="LPW165" s="153"/>
      <c r="LPX165" s="153"/>
      <c r="LPY165" s="153"/>
      <c r="LPZ165" s="153"/>
      <c r="LQA165" s="153"/>
      <c r="LQB165" s="153"/>
      <c r="LQC165" s="153"/>
      <c r="LQD165" s="153"/>
      <c r="LQE165" s="153"/>
      <c r="LQF165" s="153"/>
      <c r="LQG165" s="153"/>
      <c r="LQH165" s="153"/>
      <c r="LQI165" s="153"/>
      <c r="LQJ165" s="153"/>
      <c r="LQK165" s="153"/>
      <c r="LQL165" s="153"/>
      <c r="LQM165" s="153"/>
      <c r="LQN165" s="153"/>
      <c r="LQO165" s="153"/>
      <c r="LQP165" s="153"/>
      <c r="LQQ165" s="153"/>
      <c r="LQR165" s="153"/>
      <c r="LQS165" s="153"/>
      <c r="LQT165" s="153"/>
      <c r="LQU165" s="153"/>
      <c r="LQV165" s="153"/>
      <c r="LQW165" s="153"/>
      <c r="LQX165" s="153"/>
      <c r="LQY165" s="153"/>
      <c r="LQZ165" s="153"/>
      <c r="LRA165" s="153"/>
      <c r="LRB165" s="153"/>
      <c r="LRC165" s="153"/>
      <c r="LRD165" s="153"/>
      <c r="LRE165" s="153"/>
      <c r="LRF165" s="153"/>
      <c r="LRG165" s="153"/>
      <c r="LRH165" s="153"/>
      <c r="LRI165" s="153"/>
      <c r="LRJ165" s="153"/>
      <c r="LRK165" s="153"/>
      <c r="LRL165" s="153"/>
      <c r="LRM165" s="153"/>
      <c r="LRN165" s="153"/>
      <c r="LRO165" s="153"/>
      <c r="LRP165" s="153"/>
      <c r="LRQ165" s="153"/>
      <c r="LRR165" s="153"/>
      <c r="LRS165" s="153"/>
      <c r="LRT165" s="153"/>
      <c r="LRU165" s="153"/>
      <c r="LRV165" s="153"/>
      <c r="LRW165" s="153"/>
      <c r="LRX165" s="153"/>
      <c r="LRY165" s="153"/>
      <c r="LRZ165" s="153"/>
      <c r="LSA165" s="153"/>
      <c r="LSB165" s="153"/>
      <c r="LSC165" s="153"/>
      <c r="LSD165" s="153"/>
      <c r="LSE165" s="153"/>
      <c r="LSF165" s="153"/>
      <c r="LSG165" s="153"/>
      <c r="LSH165" s="153"/>
      <c r="LSI165" s="153"/>
      <c r="LSJ165" s="153"/>
      <c r="LSK165" s="153"/>
      <c r="LSL165" s="153"/>
      <c r="LSM165" s="153"/>
      <c r="LSN165" s="153"/>
      <c r="LSO165" s="153"/>
      <c r="LSP165" s="153"/>
      <c r="LSQ165" s="153"/>
      <c r="LSR165" s="153"/>
      <c r="LSS165" s="153"/>
      <c r="LST165" s="153"/>
      <c r="LSU165" s="153"/>
      <c r="LSV165" s="153"/>
      <c r="LSW165" s="153"/>
      <c r="LSX165" s="153"/>
      <c r="LSY165" s="153"/>
      <c r="LSZ165" s="153"/>
      <c r="LTA165" s="153"/>
      <c r="LTB165" s="153"/>
      <c r="LTC165" s="153"/>
      <c r="LTD165" s="153"/>
      <c r="LTE165" s="153"/>
      <c r="LTF165" s="153"/>
      <c r="LTG165" s="153"/>
      <c r="LTH165" s="153"/>
      <c r="LTI165" s="153"/>
      <c r="LTJ165" s="153"/>
      <c r="LTK165" s="153"/>
      <c r="LTL165" s="153"/>
      <c r="LTM165" s="153"/>
      <c r="LTN165" s="153"/>
      <c r="LTO165" s="153"/>
      <c r="LTP165" s="153"/>
      <c r="LTQ165" s="153"/>
      <c r="LTR165" s="153"/>
      <c r="LTS165" s="153"/>
      <c r="LTT165" s="153"/>
      <c r="LTU165" s="153"/>
      <c r="LTV165" s="153"/>
      <c r="LTW165" s="153"/>
      <c r="LTX165" s="153"/>
      <c r="LTY165" s="153"/>
      <c r="LTZ165" s="153"/>
      <c r="LUA165" s="153"/>
      <c r="LUB165" s="153"/>
      <c r="LUC165" s="153"/>
      <c r="LUD165" s="153"/>
      <c r="LUE165" s="153"/>
      <c r="LUF165" s="153"/>
      <c r="LUG165" s="153"/>
      <c r="LUH165" s="153"/>
      <c r="LUI165" s="153"/>
      <c r="LUJ165" s="153"/>
      <c r="LUK165" s="153"/>
      <c r="LUL165" s="153"/>
      <c r="LUM165" s="153"/>
      <c r="LUN165" s="153"/>
      <c r="LUO165" s="153"/>
      <c r="LUP165" s="153"/>
      <c r="LUQ165" s="153"/>
      <c r="LUR165" s="153"/>
      <c r="LUS165" s="153"/>
      <c r="LUT165" s="153"/>
      <c r="LUU165" s="153"/>
      <c r="LUV165" s="153"/>
      <c r="LUW165" s="153"/>
      <c r="LUX165" s="153"/>
      <c r="LUY165" s="153"/>
      <c r="LUZ165" s="153"/>
      <c r="LVA165" s="153"/>
      <c r="LVB165" s="153"/>
      <c r="LVC165" s="153"/>
      <c r="LVD165" s="153"/>
      <c r="LVE165" s="153"/>
      <c r="LVF165" s="153"/>
      <c r="LVG165" s="153"/>
      <c r="LVH165" s="153"/>
      <c r="LVI165" s="153"/>
      <c r="LVJ165" s="153"/>
      <c r="LVK165" s="153"/>
      <c r="LVL165" s="153"/>
      <c r="LVM165" s="153"/>
      <c r="LVN165" s="153"/>
      <c r="LVO165" s="153"/>
      <c r="LVP165" s="153"/>
      <c r="LVQ165" s="153"/>
      <c r="LVR165" s="153"/>
      <c r="LVS165" s="153"/>
      <c r="LVT165" s="153"/>
      <c r="LVU165" s="153"/>
      <c r="LVV165" s="153"/>
      <c r="LVW165" s="153"/>
      <c r="LVX165" s="153"/>
      <c r="LVY165" s="153"/>
      <c r="LVZ165" s="153"/>
      <c r="LWA165" s="153"/>
      <c r="LWB165" s="153"/>
      <c r="LWC165" s="153"/>
      <c r="LWD165" s="153"/>
      <c r="LWE165" s="153"/>
      <c r="LWF165" s="153"/>
      <c r="LWG165" s="153"/>
      <c r="LWH165" s="153"/>
      <c r="LWI165" s="153"/>
      <c r="LWJ165" s="153"/>
      <c r="LWK165" s="153"/>
      <c r="LWL165" s="153"/>
      <c r="LWM165" s="153"/>
      <c r="LWN165" s="153"/>
      <c r="LWO165" s="153"/>
      <c r="LWP165" s="153"/>
      <c r="LWQ165" s="153"/>
      <c r="LWR165" s="153"/>
      <c r="LWS165" s="153"/>
      <c r="LWT165" s="153"/>
      <c r="LWU165" s="153"/>
      <c r="LWV165" s="153"/>
      <c r="LWW165" s="153"/>
      <c r="LWX165" s="153"/>
      <c r="LWY165" s="153"/>
      <c r="LWZ165" s="153"/>
      <c r="LXA165" s="153"/>
      <c r="LXB165" s="153"/>
      <c r="LXC165" s="153"/>
      <c r="LXD165" s="153"/>
      <c r="LXE165" s="153"/>
      <c r="LXF165" s="153"/>
      <c r="LXG165" s="153"/>
      <c r="LXH165" s="153"/>
      <c r="LXI165" s="153"/>
      <c r="LXJ165" s="153"/>
      <c r="LXK165" s="153"/>
      <c r="LXL165" s="153"/>
      <c r="LXM165" s="153"/>
      <c r="LXN165" s="153"/>
      <c r="LXO165" s="153"/>
      <c r="LXP165" s="153"/>
      <c r="LXQ165" s="153"/>
      <c r="LXR165" s="153"/>
      <c r="LXS165" s="153"/>
      <c r="LXT165" s="153"/>
      <c r="LXU165" s="153"/>
      <c r="LXV165" s="153"/>
      <c r="LXW165" s="153"/>
      <c r="LXX165" s="153"/>
      <c r="LXY165" s="153"/>
      <c r="LXZ165" s="153"/>
      <c r="LYA165" s="153"/>
      <c r="LYB165" s="153"/>
      <c r="LYC165" s="153"/>
      <c r="LYD165" s="153"/>
      <c r="LYE165" s="153"/>
      <c r="LYF165" s="153"/>
      <c r="LYG165" s="153"/>
      <c r="LYH165" s="153"/>
      <c r="LYI165" s="153"/>
      <c r="LYJ165" s="153"/>
      <c r="LYK165" s="153"/>
      <c r="LYL165" s="153"/>
      <c r="LYM165" s="153"/>
      <c r="LYN165" s="153"/>
      <c r="LYO165" s="153"/>
      <c r="LYP165" s="153"/>
      <c r="LYQ165" s="153"/>
      <c r="LYR165" s="153"/>
      <c r="LYS165" s="153"/>
      <c r="LYT165" s="153"/>
      <c r="LYU165" s="153"/>
      <c r="LYV165" s="153"/>
      <c r="LYW165" s="153"/>
      <c r="LYX165" s="153"/>
      <c r="LYY165" s="153"/>
      <c r="LYZ165" s="153"/>
      <c r="LZA165" s="153"/>
      <c r="LZB165" s="153"/>
      <c r="LZC165" s="153"/>
      <c r="LZD165" s="153"/>
      <c r="LZE165" s="153"/>
      <c r="LZF165" s="153"/>
      <c r="LZG165" s="153"/>
      <c r="LZH165" s="153"/>
      <c r="LZI165" s="153"/>
      <c r="LZJ165" s="153"/>
      <c r="LZK165" s="153"/>
      <c r="LZL165" s="153"/>
      <c r="LZM165" s="153"/>
      <c r="LZN165" s="153"/>
      <c r="LZO165" s="153"/>
      <c r="LZP165" s="153"/>
      <c r="LZQ165" s="153"/>
      <c r="LZR165" s="153"/>
      <c r="LZS165" s="153"/>
      <c r="LZT165" s="153"/>
      <c r="LZU165" s="153"/>
      <c r="LZV165" s="153"/>
      <c r="LZW165" s="153"/>
      <c r="LZX165" s="153"/>
      <c r="LZY165" s="153"/>
      <c r="LZZ165" s="153"/>
      <c r="MAA165" s="153"/>
      <c r="MAB165" s="153"/>
      <c r="MAC165" s="153"/>
      <c r="MAD165" s="153"/>
      <c r="MAE165" s="153"/>
      <c r="MAF165" s="153"/>
      <c r="MAG165" s="153"/>
      <c r="MAH165" s="153"/>
      <c r="MAI165" s="153"/>
      <c r="MAJ165" s="153"/>
      <c r="MAK165" s="153"/>
      <c r="MAL165" s="153"/>
      <c r="MAM165" s="153"/>
      <c r="MAN165" s="153"/>
      <c r="MAO165" s="153"/>
      <c r="MAP165" s="153"/>
      <c r="MAQ165" s="153"/>
      <c r="MAR165" s="153"/>
      <c r="MAS165" s="153"/>
      <c r="MAT165" s="153"/>
      <c r="MAU165" s="153"/>
      <c r="MAV165" s="153"/>
      <c r="MAW165" s="153"/>
      <c r="MAX165" s="153"/>
      <c r="MAY165" s="153"/>
      <c r="MAZ165" s="153"/>
      <c r="MBA165" s="153"/>
      <c r="MBB165" s="153"/>
      <c r="MBC165" s="153"/>
      <c r="MBD165" s="153"/>
      <c r="MBE165" s="153"/>
      <c r="MBF165" s="153"/>
      <c r="MBG165" s="153"/>
      <c r="MBH165" s="153"/>
      <c r="MBI165" s="153"/>
      <c r="MBJ165" s="153"/>
      <c r="MBK165" s="153"/>
      <c r="MBL165" s="153"/>
      <c r="MBM165" s="153"/>
      <c r="MBN165" s="153"/>
      <c r="MBO165" s="153"/>
      <c r="MBP165" s="153"/>
      <c r="MBQ165" s="153"/>
      <c r="MBR165" s="153"/>
      <c r="MBS165" s="153"/>
      <c r="MBT165" s="153"/>
      <c r="MBU165" s="153"/>
      <c r="MBV165" s="153"/>
      <c r="MBW165" s="153"/>
      <c r="MBX165" s="153"/>
      <c r="MBY165" s="153"/>
      <c r="MBZ165" s="153"/>
      <c r="MCA165" s="153"/>
      <c r="MCB165" s="153"/>
      <c r="MCC165" s="153"/>
      <c r="MCD165" s="153"/>
      <c r="MCE165" s="153"/>
      <c r="MCF165" s="153"/>
      <c r="MCG165" s="153"/>
      <c r="MCH165" s="153"/>
      <c r="MCI165" s="153"/>
      <c r="MCJ165" s="153"/>
      <c r="MCK165" s="153"/>
      <c r="MCL165" s="153"/>
      <c r="MCM165" s="153"/>
      <c r="MCN165" s="153"/>
      <c r="MCO165" s="153"/>
      <c r="MCP165" s="153"/>
      <c r="MCQ165" s="153"/>
      <c r="MCR165" s="153"/>
      <c r="MCS165" s="153"/>
      <c r="MCT165" s="153"/>
      <c r="MCU165" s="153"/>
      <c r="MCV165" s="153"/>
      <c r="MCW165" s="153"/>
      <c r="MCX165" s="153"/>
      <c r="MCY165" s="153"/>
      <c r="MCZ165" s="153"/>
      <c r="MDA165" s="153"/>
      <c r="MDB165" s="153"/>
      <c r="MDC165" s="153"/>
      <c r="MDD165" s="153"/>
      <c r="MDE165" s="153"/>
      <c r="MDF165" s="153"/>
      <c r="MDG165" s="153"/>
      <c r="MDH165" s="153"/>
      <c r="MDI165" s="153"/>
      <c r="MDJ165" s="153"/>
      <c r="MDK165" s="153"/>
      <c r="MDL165" s="153"/>
      <c r="MDM165" s="153"/>
      <c r="MDN165" s="153"/>
      <c r="MDO165" s="153"/>
      <c r="MDP165" s="153"/>
      <c r="MDQ165" s="153"/>
      <c r="MDR165" s="153"/>
      <c r="MDS165" s="153"/>
      <c r="MDT165" s="153"/>
      <c r="MDU165" s="153"/>
      <c r="MDV165" s="153"/>
      <c r="MDW165" s="153"/>
      <c r="MDX165" s="153"/>
      <c r="MDY165" s="153"/>
      <c r="MDZ165" s="153"/>
      <c r="MEA165" s="153"/>
      <c r="MEB165" s="153"/>
      <c r="MEC165" s="153"/>
      <c r="MED165" s="153"/>
      <c r="MEE165" s="153"/>
      <c r="MEF165" s="153"/>
      <c r="MEG165" s="153"/>
      <c r="MEH165" s="153"/>
      <c r="MEI165" s="153"/>
      <c r="MEJ165" s="153"/>
      <c r="MEK165" s="153"/>
      <c r="MEL165" s="153"/>
      <c r="MEM165" s="153"/>
      <c r="MEN165" s="153"/>
      <c r="MEO165" s="153"/>
      <c r="MEP165" s="153"/>
      <c r="MEQ165" s="153"/>
      <c r="MER165" s="153"/>
      <c r="MES165" s="153"/>
      <c r="MET165" s="153"/>
      <c r="MEU165" s="153"/>
      <c r="MEV165" s="153"/>
      <c r="MEW165" s="153"/>
      <c r="MEX165" s="153"/>
      <c r="MEY165" s="153"/>
      <c r="MEZ165" s="153"/>
      <c r="MFA165" s="153"/>
      <c r="MFB165" s="153"/>
      <c r="MFC165" s="153"/>
      <c r="MFD165" s="153"/>
      <c r="MFE165" s="153"/>
      <c r="MFF165" s="153"/>
      <c r="MFG165" s="153"/>
      <c r="MFH165" s="153"/>
      <c r="MFI165" s="153"/>
      <c r="MFJ165" s="153"/>
      <c r="MFK165" s="153"/>
      <c r="MFL165" s="153"/>
      <c r="MFM165" s="153"/>
      <c r="MFN165" s="153"/>
      <c r="MFO165" s="153"/>
      <c r="MFP165" s="153"/>
      <c r="MFQ165" s="153"/>
      <c r="MFR165" s="153"/>
      <c r="MFS165" s="153"/>
      <c r="MFT165" s="153"/>
      <c r="MFU165" s="153"/>
      <c r="MFV165" s="153"/>
      <c r="MFW165" s="153"/>
      <c r="MFX165" s="153"/>
      <c r="MFY165" s="153"/>
      <c r="MFZ165" s="153"/>
      <c r="MGA165" s="153"/>
      <c r="MGB165" s="153"/>
      <c r="MGC165" s="153"/>
      <c r="MGD165" s="153"/>
      <c r="MGE165" s="153"/>
      <c r="MGF165" s="153"/>
      <c r="MGG165" s="153"/>
      <c r="MGH165" s="153"/>
      <c r="MGI165" s="153"/>
      <c r="MGJ165" s="153"/>
      <c r="MGK165" s="153"/>
      <c r="MGL165" s="153"/>
      <c r="MGM165" s="153"/>
      <c r="MGN165" s="153"/>
      <c r="MGO165" s="153"/>
      <c r="MGP165" s="153"/>
      <c r="MGQ165" s="153"/>
      <c r="MGR165" s="153"/>
      <c r="MGS165" s="153"/>
      <c r="MGT165" s="153"/>
      <c r="MGU165" s="153"/>
      <c r="MGV165" s="153"/>
      <c r="MGW165" s="153"/>
      <c r="MGX165" s="153"/>
      <c r="MGY165" s="153"/>
      <c r="MGZ165" s="153"/>
      <c r="MHA165" s="153"/>
      <c r="MHB165" s="153"/>
      <c r="MHC165" s="153"/>
      <c r="MHD165" s="153"/>
      <c r="MHE165" s="153"/>
      <c r="MHF165" s="153"/>
      <c r="MHG165" s="153"/>
      <c r="MHH165" s="153"/>
      <c r="MHI165" s="153"/>
      <c r="MHJ165" s="153"/>
      <c r="MHK165" s="153"/>
      <c r="MHL165" s="153"/>
      <c r="MHM165" s="153"/>
      <c r="MHN165" s="153"/>
      <c r="MHO165" s="153"/>
      <c r="MHP165" s="153"/>
      <c r="MHQ165" s="153"/>
      <c r="MHR165" s="153"/>
      <c r="MHS165" s="153"/>
      <c r="MHT165" s="153"/>
      <c r="MHU165" s="153"/>
      <c r="MHV165" s="153"/>
      <c r="MHW165" s="153"/>
      <c r="MHX165" s="153"/>
      <c r="MHY165" s="153"/>
      <c r="MHZ165" s="153"/>
      <c r="MIA165" s="153"/>
      <c r="MIB165" s="153"/>
      <c r="MIC165" s="153"/>
      <c r="MID165" s="153"/>
      <c r="MIE165" s="153"/>
      <c r="MIF165" s="153"/>
      <c r="MIG165" s="153"/>
      <c r="MIH165" s="153"/>
      <c r="MII165" s="153"/>
      <c r="MIJ165" s="153"/>
      <c r="MIK165" s="153"/>
      <c r="MIL165" s="153"/>
      <c r="MIM165" s="153"/>
      <c r="MIN165" s="153"/>
      <c r="MIO165" s="153"/>
      <c r="MIP165" s="153"/>
      <c r="MIQ165" s="153"/>
      <c r="MIR165" s="153"/>
      <c r="MIS165" s="153"/>
      <c r="MIT165" s="153"/>
      <c r="MIU165" s="153"/>
      <c r="MIV165" s="153"/>
      <c r="MIW165" s="153"/>
      <c r="MIX165" s="153"/>
      <c r="MIY165" s="153"/>
      <c r="MIZ165" s="153"/>
      <c r="MJA165" s="153"/>
      <c r="MJB165" s="153"/>
      <c r="MJC165" s="153"/>
      <c r="MJD165" s="153"/>
      <c r="MJE165" s="153"/>
      <c r="MJF165" s="153"/>
      <c r="MJG165" s="153"/>
      <c r="MJH165" s="153"/>
      <c r="MJI165" s="153"/>
      <c r="MJJ165" s="153"/>
      <c r="MJK165" s="153"/>
      <c r="MJL165" s="153"/>
      <c r="MJM165" s="153"/>
      <c r="MJN165" s="153"/>
      <c r="MJO165" s="153"/>
      <c r="MJP165" s="153"/>
      <c r="MJQ165" s="153"/>
      <c r="MJR165" s="153"/>
      <c r="MJS165" s="153"/>
      <c r="MJT165" s="153"/>
      <c r="MJU165" s="153"/>
      <c r="MJV165" s="153"/>
      <c r="MJW165" s="153"/>
      <c r="MJX165" s="153"/>
      <c r="MJY165" s="153"/>
      <c r="MJZ165" s="153"/>
      <c r="MKA165" s="153"/>
      <c r="MKB165" s="153"/>
      <c r="MKC165" s="153"/>
      <c r="MKD165" s="153"/>
      <c r="MKE165" s="153"/>
      <c r="MKF165" s="153"/>
      <c r="MKG165" s="153"/>
      <c r="MKH165" s="153"/>
      <c r="MKI165" s="153"/>
      <c r="MKJ165" s="153"/>
      <c r="MKK165" s="153"/>
      <c r="MKL165" s="153"/>
      <c r="MKM165" s="153"/>
      <c r="MKN165" s="153"/>
      <c r="MKO165" s="153"/>
      <c r="MKP165" s="153"/>
      <c r="MKQ165" s="153"/>
      <c r="MKR165" s="153"/>
      <c r="MKS165" s="153"/>
      <c r="MKT165" s="153"/>
      <c r="MKU165" s="153"/>
      <c r="MKV165" s="153"/>
      <c r="MKW165" s="153"/>
      <c r="MKX165" s="153"/>
      <c r="MKY165" s="153"/>
      <c r="MKZ165" s="153"/>
      <c r="MLA165" s="153"/>
      <c r="MLB165" s="153"/>
      <c r="MLC165" s="153"/>
      <c r="MLD165" s="153"/>
      <c r="MLE165" s="153"/>
      <c r="MLF165" s="153"/>
      <c r="MLG165" s="153"/>
      <c r="MLH165" s="153"/>
      <c r="MLI165" s="153"/>
      <c r="MLJ165" s="153"/>
      <c r="MLK165" s="153"/>
      <c r="MLL165" s="153"/>
      <c r="MLM165" s="153"/>
      <c r="MLN165" s="153"/>
      <c r="MLO165" s="153"/>
      <c r="MLP165" s="153"/>
      <c r="MLQ165" s="153"/>
      <c r="MLR165" s="153"/>
      <c r="MLS165" s="153"/>
      <c r="MLT165" s="153"/>
      <c r="MLU165" s="153"/>
      <c r="MLV165" s="153"/>
      <c r="MLW165" s="153"/>
      <c r="MLX165" s="153"/>
      <c r="MLY165" s="153"/>
      <c r="MLZ165" s="153"/>
      <c r="MMA165" s="153"/>
      <c r="MMB165" s="153"/>
      <c r="MMC165" s="153"/>
      <c r="MMD165" s="153"/>
      <c r="MME165" s="153"/>
      <c r="MMF165" s="153"/>
      <c r="MMG165" s="153"/>
      <c r="MMH165" s="153"/>
      <c r="MMI165" s="153"/>
      <c r="MMJ165" s="153"/>
      <c r="MMK165" s="153"/>
      <c r="MML165" s="153"/>
      <c r="MMM165" s="153"/>
      <c r="MMN165" s="153"/>
      <c r="MMO165" s="153"/>
      <c r="MMP165" s="153"/>
      <c r="MMQ165" s="153"/>
      <c r="MMR165" s="153"/>
      <c r="MMS165" s="153"/>
      <c r="MMT165" s="153"/>
      <c r="MMU165" s="153"/>
      <c r="MMV165" s="153"/>
      <c r="MMW165" s="153"/>
      <c r="MMX165" s="153"/>
      <c r="MMY165" s="153"/>
      <c r="MMZ165" s="153"/>
      <c r="MNA165" s="153"/>
      <c r="MNB165" s="153"/>
      <c r="MNC165" s="153"/>
      <c r="MND165" s="153"/>
      <c r="MNE165" s="153"/>
      <c r="MNF165" s="153"/>
      <c r="MNG165" s="153"/>
      <c r="MNH165" s="153"/>
      <c r="MNI165" s="153"/>
      <c r="MNJ165" s="153"/>
      <c r="MNK165" s="153"/>
      <c r="MNL165" s="153"/>
      <c r="MNM165" s="153"/>
      <c r="MNN165" s="153"/>
      <c r="MNO165" s="153"/>
      <c r="MNP165" s="153"/>
      <c r="MNQ165" s="153"/>
      <c r="MNR165" s="153"/>
      <c r="MNS165" s="153"/>
      <c r="MNT165" s="153"/>
      <c r="MNU165" s="153"/>
      <c r="MNV165" s="153"/>
      <c r="MNW165" s="153"/>
      <c r="MNX165" s="153"/>
      <c r="MNY165" s="153"/>
      <c r="MNZ165" s="153"/>
      <c r="MOA165" s="153"/>
      <c r="MOB165" s="153"/>
      <c r="MOC165" s="153"/>
      <c r="MOD165" s="153"/>
      <c r="MOE165" s="153"/>
      <c r="MOF165" s="153"/>
      <c r="MOG165" s="153"/>
      <c r="MOH165" s="153"/>
      <c r="MOI165" s="153"/>
      <c r="MOJ165" s="153"/>
      <c r="MOK165" s="153"/>
      <c r="MOL165" s="153"/>
      <c r="MOM165" s="153"/>
      <c r="MON165" s="153"/>
      <c r="MOO165" s="153"/>
      <c r="MOP165" s="153"/>
      <c r="MOQ165" s="153"/>
      <c r="MOR165" s="153"/>
      <c r="MOS165" s="153"/>
      <c r="MOT165" s="153"/>
      <c r="MOU165" s="153"/>
      <c r="MOV165" s="153"/>
      <c r="MOW165" s="153"/>
      <c r="MOX165" s="153"/>
      <c r="MOY165" s="153"/>
      <c r="MOZ165" s="153"/>
      <c r="MPA165" s="153"/>
      <c r="MPB165" s="153"/>
      <c r="MPC165" s="153"/>
      <c r="MPD165" s="153"/>
      <c r="MPE165" s="153"/>
      <c r="MPF165" s="153"/>
      <c r="MPG165" s="153"/>
      <c r="MPH165" s="153"/>
      <c r="MPI165" s="153"/>
      <c r="MPJ165" s="153"/>
      <c r="MPK165" s="153"/>
      <c r="MPL165" s="153"/>
      <c r="MPM165" s="153"/>
      <c r="MPN165" s="153"/>
      <c r="MPO165" s="153"/>
      <c r="MPP165" s="153"/>
      <c r="MPQ165" s="153"/>
      <c r="MPR165" s="153"/>
      <c r="MPS165" s="153"/>
      <c r="MPT165" s="153"/>
      <c r="MPU165" s="153"/>
      <c r="MPV165" s="153"/>
      <c r="MPW165" s="153"/>
      <c r="MPX165" s="153"/>
      <c r="MPY165" s="153"/>
      <c r="MPZ165" s="153"/>
      <c r="MQA165" s="153"/>
      <c r="MQB165" s="153"/>
      <c r="MQC165" s="153"/>
      <c r="MQD165" s="153"/>
      <c r="MQE165" s="153"/>
      <c r="MQF165" s="153"/>
      <c r="MQG165" s="153"/>
      <c r="MQH165" s="153"/>
      <c r="MQI165" s="153"/>
      <c r="MQJ165" s="153"/>
      <c r="MQK165" s="153"/>
      <c r="MQL165" s="153"/>
      <c r="MQM165" s="153"/>
      <c r="MQN165" s="153"/>
      <c r="MQO165" s="153"/>
      <c r="MQP165" s="153"/>
      <c r="MQQ165" s="153"/>
      <c r="MQR165" s="153"/>
      <c r="MQS165" s="153"/>
      <c r="MQT165" s="153"/>
      <c r="MQU165" s="153"/>
      <c r="MQV165" s="153"/>
      <c r="MQW165" s="153"/>
      <c r="MQX165" s="153"/>
      <c r="MQY165" s="153"/>
      <c r="MQZ165" s="153"/>
      <c r="MRA165" s="153"/>
      <c r="MRB165" s="153"/>
      <c r="MRC165" s="153"/>
      <c r="MRD165" s="153"/>
      <c r="MRE165" s="153"/>
      <c r="MRF165" s="153"/>
      <c r="MRG165" s="153"/>
      <c r="MRH165" s="153"/>
      <c r="MRI165" s="153"/>
      <c r="MRJ165" s="153"/>
      <c r="MRK165" s="153"/>
      <c r="MRL165" s="153"/>
      <c r="MRM165" s="153"/>
      <c r="MRN165" s="153"/>
      <c r="MRO165" s="153"/>
      <c r="MRP165" s="153"/>
      <c r="MRQ165" s="153"/>
      <c r="MRR165" s="153"/>
      <c r="MRS165" s="153"/>
      <c r="MRT165" s="153"/>
      <c r="MRU165" s="153"/>
      <c r="MRV165" s="153"/>
      <c r="MRW165" s="153"/>
      <c r="MRX165" s="153"/>
      <c r="MRY165" s="153"/>
      <c r="MRZ165" s="153"/>
      <c r="MSA165" s="153"/>
      <c r="MSB165" s="153"/>
      <c r="MSC165" s="153"/>
      <c r="MSD165" s="153"/>
      <c r="MSE165" s="153"/>
      <c r="MSF165" s="153"/>
      <c r="MSG165" s="153"/>
      <c r="MSH165" s="153"/>
      <c r="MSI165" s="153"/>
      <c r="MSJ165" s="153"/>
      <c r="MSK165" s="153"/>
      <c r="MSL165" s="153"/>
      <c r="MSM165" s="153"/>
      <c r="MSN165" s="153"/>
      <c r="MSO165" s="153"/>
      <c r="MSP165" s="153"/>
      <c r="MSQ165" s="153"/>
      <c r="MSR165" s="153"/>
      <c r="MSS165" s="153"/>
      <c r="MST165" s="153"/>
      <c r="MSU165" s="153"/>
      <c r="MSV165" s="153"/>
      <c r="MSW165" s="153"/>
      <c r="MSX165" s="153"/>
      <c r="MSY165" s="153"/>
      <c r="MSZ165" s="153"/>
      <c r="MTA165" s="153"/>
      <c r="MTB165" s="153"/>
      <c r="MTC165" s="153"/>
      <c r="MTD165" s="153"/>
      <c r="MTE165" s="153"/>
      <c r="MTF165" s="153"/>
      <c r="MTG165" s="153"/>
      <c r="MTH165" s="153"/>
      <c r="MTI165" s="153"/>
      <c r="MTJ165" s="153"/>
      <c r="MTK165" s="153"/>
      <c r="MTL165" s="153"/>
      <c r="MTM165" s="153"/>
      <c r="MTN165" s="153"/>
      <c r="MTO165" s="153"/>
      <c r="MTP165" s="153"/>
      <c r="MTQ165" s="153"/>
      <c r="MTR165" s="153"/>
      <c r="MTS165" s="153"/>
      <c r="MTT165" s="153"/>
      <c r="MTU165" s="153"/>
      <c r="MTV165" s="153"/>
      <c r="MTW165" s="153"/>
      <c r="MTX165" s="153"/>
      <c r="MTY165" s="153"/>
      <c r="MTZ165" s="153"/>
      <c r="MUA165" s="153"/>
      <c r="MUB165" s="153"/>
      <c r="MUC165" s="153"/>
      <c r="MUD165" s="153"/>
      <c r="MUE165" s="153"/>
      <c r="MUF165" s="153"/>
      <c r="MUG165" s="153"/>
      <c r="MUH165" s="153"/>
      <c r="MUI165" s="153"/>
      <c r="MUJ165" s="153"/>
      <c r="MUK165" s="153"/>
      <c r="MUL165" s="153"/>
      <c r="MUM165" s="153"/>
      <c r="MUN165" s="153"/>
      <c r="MUO165" s="153"/>
      <c r="MUP165" s="153"/>
      <c r="MUQ165" s="153"/>
      <c r="MUR165" s="153"/>
      <c r="MUS165" s="153"/>
      <c r="MUT165" s="153"/>
      <c r="MUU165" s="153"/>
      <c r="MUV165" s="153"/>
      <c r="MUW165" s="153"/>
      <c r="MUX165" s="153"/>
      <c r="MUY165" s="153"/>
      <c r="MUZ165" s="153"/>
      <c r="MVA165" s="153"/>
      <c r="MVB165" s="153"/>
      <c r="MVC165" s="153"/>
      <c r="MVD165" s="153"/>
      <c r="MVE165" s="153"/>
      <c r="MVF165" s="153"/>
      <c r="MVG165" s="153"/>
      <c r="MVH165" s="153"/>
      <c r="MVI165" s="153"/>
      <c r="MVJ165" s="153"/>
      <c r="MVK165" s="153"/>
      <c r="MVL165" s="153"/>
      <c r="MVM165" s="153"/>
      <c r="MVN165" s="153"/>
      <c r="MVO165" s="153"/>
      <c r="MVP165" s="153"/>
      <c r="MVQ165" s="153"/>
      <c r="MVR165" s="153"/>
      <c r="MVS165" s="153"/>
      <c r="MVT165" s="153"/>
      <c r="MVU165" s="153"/>
      <c r="MVV165" s="153"/>
      <c r="MVW165" s="153"/>
      <c r="MVX165" s="153"/>
      <c r="MVY165" s="153"/>
      <c r="MVZ165" s="153"/>
      <c r="MWA165" s="153"/>
      <c r="MWB165" s="153"/>
      <c r="MWC165" s="153"/>
      <c r="MWD165" s="153"/>
      <c r="MWE165" s="153"/>
      <c r="MWF165" s="153"/>
      <c r="MWG165" s="153"/>
      <c r="MWH165" s="153"/>
      <c r="MWI165" s="153"/>
      <c r="MWJ165" s="153"/>
      <c r="MWK165" s="153"/>
      <c r="MWL165" s="153"/>
      <c r="MWM165" s="153"/>
      <c r="MWN165" s="153"/>
      <c r="MWO165" s="153"/>
      <c r="MWP165" s="153"/>
      <c r="MWQ165" s="153"/>
      <c r="MWR165" s="153"/>
      <c r="MWS165" s="153"/>
      <c r="MWT165" s="153"/>
      <c r="MWU165" s="153"/>
      <c r="MWV165" s="153"/>
      <c r="MWW165" s="153"/>
      <c r="MWX165" s="153"/>
      <c r="MWY165" s="153"/>
      <c r="MWZ165" s="153"/>
      <c r="MXA165" s="153"/>
      <c r="MXB165" s="153"/>
      <c r="MXC165" s="153"/>
      <c r="MXD165" s="153"/>
      <c r="MXE165" s="153"/>
      <c r="MXF165" s="153"/>
      <c r="MXG165" s="153"/>
      <c r="MXH165" s="153"/>
      <c r="MXI165" s="153"/>
      <c r="MXJ165" s="153"/>
      <c r="MXK165" s="153"/>
      <c r="MXL165" s="153"/>
      <c r="MXM165" s="153"/>
      <c r="MXN165" s="153"/>
      <c r="MXO165" s="153"/>
      <c r="MXP165" s="153"/>
      <c r="MXQ165" s="153"/>
      <c r="MXR165" s="153"/>
      <c r="MXS165" s="153"/>
      <c r="MXT165" s="153"/>
      <c r="MXU165" s="153"/>
      <c r="MXV165" s="153"/>
      <c r="MXW165" s="153"/>
      <c r="MXX165" s="153"/>
      <c r="MXY165" s="153"/>
      <c r="MXZ165" s="153"/>
      <c r="MYA165" s="153"/>
      <c r="MYB165" s="153"/>
      <c r="MYC165" s="153"/>
      <c r="MYD165" s="153"/>
      <c r="MYE165" s="153"/>
      <c r="MYF165" s="153"/>
      <c r="MYG165" s="153"/>
      <c r="MYH165" s="153"/>
      <c r="MYI165" s="153"/>
      <c r="MYJ165" s="153"/>
      <c r="MYK165" s="153"/>
      <c r="MYL165" s="153"/>
      <c r="MYM165" s="153"/>
      <c r="MYN165" s="153"/>
      <c r="MYO165" s="153"/>
      <c r="MYP165" s="153"/>
      <c r="MYQ165" s="153"/>
      <c r="MYR165" s="153"/>
      <c r="MYS165" s="153"/>
      <c r="MYT165" s="153"/>
      <c r="MYU165" s="153"/>
      <c r="MYV165" s="153"/>
      <c r="MYW165" s="153"/>
      <c r="MYX165" s="153"/>
      <c r="MYY165" s="153"/>
      <c r="MYZ165" s="153"/>
      <c r="MZA165" s="153"/>
      <c r="MZB165" s="153"/>
      <c r="MZC165" s="153"/>
      <c r="MZD165" s="153"/>
      <c r="MZE165" s="153"/>
      <c r="MZF165" s="153"/>
      <c r="MZG165" s="153"/>
      <c r="MZH165" s="153"/>
      <c r="MZI165" s="153"/>
      <c r="MZJ165" s="153"/>
      <c r="MZK165" s="153"/>
      <c r="MZL165" s="153"/>
      <c r="MZM165" s="153"/>
      <c r="MZN165" s="153"/>
      <c r="MZO165" s="153"/>
      <c r="MZP165" s="153"/>
      <c r="MZQ165" s="153"/>
      <c r="MZR165" s="153"/>
      <c r="MZS165" s="153"/>
      <c r="MZT165" s="153"/>
      <c r="MZU165" s="153"/>
      <c r="MZV165" s="153"/>
      <c r="MZW165" s="153"/>
      <c r="MZX165" s="153"/>
      <c r="MZY165" s="153"/>
      <c r="MZZ165" s="153"/>
      <c r="NAA165" s="153"/>
      <c r="NAB165" s="153"/>
      <c r="NAC165" s="153"/>
      <c r="NAD165" s="153"/>
      <c r="NAE165" s="153"/>
      <c r="NAF165" s="153"/>
      <c r="NAG165" s="153"/>
      <c r="NAH165" s="153"/>
      <c r="NAI165" s="153"/>
      <c r="NAJ165" s="153"/>
      <c r="NAK165" s="153"/>
      <c r="NAL165" s="153"/>
      <c r="NAM165" s="153"/>
      <c r="NAN165" s="153"/>
      <c r="NAO165" s="153"/>
      <c r="NAP165" s="153"/>
      <c r="NAQ165" s="153"/>
      <c r="NAR165" s="153"/>
      <c r="NAS165" s="153"/>
      <c r="NAT165" s="153"/>
      <c r="NAU165" s="153"/>
      <c r="NAV165" s="153"/>
      <c r="NAW165" s="153"/>
      <c r="NAX165" s="153"/>
      <c r="NAY165" s="153"/>
      <c r="NAZ165" s="153"/>
      <c r="NBA165" s="153"/>
      <c r="NBB165" s="153"/>
      <c r="NBC165" s="153"/>
      <c r="NBD165" s="153"/>
      <c r="NBE165" s="153"/>
      <c r="NBF165" s="153"/>
      <c r="NBG165" s="153"/>
      <c r="NBH165" s="153"/>
      <c r="NBI165" s="153"/>
      <c r="NBJ165" s="153"/>
      <c r="NBK165" s="153"/>
      <c r="NBL165" s="153"/>
      <c r="NBM165" s="153"/>
      <c r="NBN165" s="153"/>
      <c r="NBO165" s="153"/>
      <c r="NBP165" s="153"/>
      <c r="NBQ165" s="153"/>
      <c r="NBR165" s="153"/>
      <c r="NBS165" s="153"/>
      <c r="NBT165" s="153"/>
      <c r="NBU165" s="153"/>
      <c r="NBV165" s="153"/>
      <c r="NBW165" s="153"/>
      <c r="NBX165" s="153"/>
      <c r="NBY165" s="153"/>
      <c r="NBZ165" s="153"/>
      <c r="NCA165" s="153"/>
      <c r="NCB165" s="153"/>
      <c r="NCC165" s="153"/>
      <c r="NCD165" s="153"/>
      <c r="NCE165" s="153"/>
      <c r="NCF165" s="153"/>
      <c r="NCG165" s="153"/>
      <c r="NCH165" s="153"/>
      <c r="NCI165" s="153"/>
      <c r="NCJ165" s="153"/>
      <c r="NCK165" s="153"/>
      <c r="NCL165" s="153"/>
      <c r="NCM165" s="153"/>
      <c r="NCN165" s="153"/>
      <c r="NCO165" s="153"/>
      <c r="NCP165" s="153"/>
      <c r="NCQ165" s="153"/>
      <c r="NCR165" s="153"/>
      <c r="NCS165" s="153"/>
      <c r="NCT165" s="153"/>
      <c r="NCU165" s="153"/>
      <c r="NCV165" s="153"/>
      <c r="NCW165" s="153"/>
      <c r="NCX165" s="153"/>
      <c r="NCY165" s="153"/>
      <c r="NCZ165" s="153"/>
      <c r="NDA165" s="153"/>
      <c r="NDB165" s="153"/>
      <c r="NDC165" s="153"/>
      <c r="NDD165" s="153"/>
      <c r="NDE165" s="153"/>
      <c r="NDF165" s="153"/>
      <c r="NDG165" s="153"/>
      <c r="NDH165" s="153"/>
      <c r="NDI165" s="153"/>
      <c r="NDJ165" s="153"/>
      <c r="NDK165" s="153"/>
      <c r="NDL165" s="153"/>
      <c r="NDM165" s="153"/>
      <c r="NDN165" s="153"/>
      <c r="NDO165" s="153"/>
      <c r="NDP165" s="153"/>
      <c r="NDQ165" s="153"/>
      <c r="NDR165" s="153"/>
      <c r="NDS165" s="153"/>
      <c r="NDT165" s="153"/>
      <c r="NDU165" s="153"/>
      <c r="NDV165" s="153"/>
      <c r="NDW165" s="153"/>
      <c r="NDX165" s="153"/>
      <c r="NDY165" s="153"/>
      <c r="NDZ165" s="153"/>
      <c r="NEA165" s="153"/>
      <c r="NEB165" s="153"/>
      <c r="NEC165" s="153"/>
      <c r="NED165" s="153"/>
      <c r="NEE165" s="153"/>
      <c r="NEF165" s="153"/>
      <c r="NEG165" s="153"/>
      <c r="NEH165" s="153"/>
      <c r="NEI165" s="153"/>
      <c r="NEJ165" s="153"/>
      <c r="NEK165" s="153"/>
      <c r="NEL165" s="153"/>
      <c r="NEM165" s="153"/>
      <c r="NEN165" s="153"/>
      <c r="NEO165" s="153"/>
      <c r="NEP165" s="153"/>
      <c r="NEQ165" s="153"/>
      <c r="NER165" s="153"/>
      <c r="NES165" s="153"/>
      <c r="NET165" s="153"/>
      <c r="NEU165" s="153"/>
      <c r="NEV165" s="153"/>
      <c r="NEW165" s="153"/>
      <c r="NEX165" s="153"/>
      <c r="NEY165" s="153"/>
      <c r="NEZ165" s="153"/>
      <c r="NFA165" s="153"/>
      <c r="NFB165" s="153"/>
      <c r="NFC165" s="153"/>
      <c r="NFD165" s="153"/>
      <c r="NFE165" s="153"/>
      <c r="NFF165" s="153"/>
      <c r="NFG165" s="153"/>
      <c r="NFH165" s="153"/>
      <c r="NFI165" s="153"/>
      <c r="NFJ165" s="153"/>
      <c r="NFK165" s="153"/>
      <c r="NFL165" s="153"/>
      <c r="NFM165" s="153"/>
      <c r="NFN165" s="153"/>
      <c r="NFO165" s="153"/>
      <c r="NFP165" s="153"/>
      <c r="NFQ165" s="153"/>
      <c r="NFR165" s="153"/>
      <c r="NFS165" s="153"/>
      <c r="NFT165" s="153"/>
      <c r="NFU165" s="153"/>
      <c r="NFV165" s="153"/>
      <c r="NFW165" s="153"/>
      <c r="NFX165" s="153"/>
      <c r="NFY165" s="153"/>
      <c r="NFZ165" s="153"/>
      <c r="NGA165" s="153"/>
      <c r="NGB165" s="153"/>
      <c r="NGC165" s="153"/>
      <c r="NGD165" s="153"/>
      <c r="NGE165" s="153"/>
      <c r="NGF165" s="153"/>
      <c r="NGG165" s="153"/>
      <c r="NGH165" s="153"/>
      <c r="NGI165" s="153"/>
      <c r="NGJ165" s="153"/>
      <c r="NGK165" s="153"/>
      <c r="NGL165" s="153"/>
      <c r="NGM165" s="153"/>
      <c r="NGN165" s="153"/>
      <c r="NGO165" s="153"/>
      <c r="NGP165" s="153"/>
      <c r="NGQ165" s="153"/>
      <c r="NGR165" s="153"/>
      <c r="NGS165" s="153"/>
      <c r="NGT165" s="153"/>
      <c r="NGU165" s="153"/>
      <c r="NGV165" s="153"/>
      <c r="NGW165" s="153"/>
      <c r="NGX165" s="153"/>
      <c r="NGY165" s="153"/>
      <c r="NGZ165" s="153"/>
      <c r="NHA165" s="153"/>
      <c r="NHB165" s="153"/>
      <c r="NHC165" s="153"/>
      <c r="NHD165" s="153"/>
      <c r="NHE165" s="153"/>
      <c r="NHF165" s="153"/>
      <c r="NHG165" s="153"/>
      <c r="NHH165" s="153"/>
      <c r="NHI165" s="153"/>
      <c r="NHJ165" s="153"/>
      <c r="NHK165" s="153"/>
      <c r="NHL165" s="153"/>
      <c r="NHM165" s="153"/>
      <c r="NHN165" s="153"/>
      <c r="NHO165" s="153"/>
      <c r="NHP165" s="153"/>
      <c r="NHQ165" s="153"/>
      <c r="NHR165" s="153"/>
      <c r="NHS165" s="153"/>
      <c r="NHT165" s="153"/>
      <c r="NHU165" s="153"/>
      <c r="NHV165" s="153"/>
      <c r="NHW165" s="153"/>
      <c r="NHX165" s="153"/>
      <c r="NHY165" s="153"/>
      <c r="NHZ165" s="153"/>
      <c r="NIA165" s="153"/>
      <c r="NIB165" s="153"/>
      <c r="NIC165" s="153"/>
      <c r="NID165" s="153"/>
      <c r="NIE165" s="153"/>
      <c r="NIF165" s="153"/>
      <c r="NIG165" s="153"/>
      <c r="NIH165" s="153"/>
      <c r="NII165" s="153"/>
      <c r="NIJ165" s="153"/>
      <c r="NIK165" s="153"/>
      <c r="NIL165" s="153"/>
      <c r="NIM165" s="153"/>
      <c r="NIN165" s="153"/>
      <c r="NIO165" s="153"/>
      <c r="NIP165" s="153"/>
      <c r="NIQ165" s="153"/>
      <c r="NIR165" s="153"/>
      <c r="NIS165" s="153"/>
      <c r="NIT165" s="153"/>
      <c r="NIU165" s="153"/>
      <c r="NIV165" s="153"/>
      <c r="NIW165" s="153"/>
      <c r="NIX165" s="153"/>
      <c r="NIY165" s="153"/>
      <c r="NIZ165" s="153"/>
      <c r="NJA165" s="153"/>
      <c r="NJB165" s="153"/>
      <c r="NJC165" s="153"/>
      <c r="NJD165" s="153"/>
      <c r="NJE165" s="153"/>
      <c r="NJF165" s="153"/>
      <c r="NJG165" s="153"/>
      <c r="NJH165" s="153"/>
      <c r="NJI165" s="153"/>
      <c r="NJJ165" s="153"/>
      <c r="NJK165" s="153"/>
      <c r="NJL165" s="153"/>
      <c r="NJM165" s="153"/>
      <c r="NJN165" s="153"/>
      <c r="NJO165" s="153"/>
      <c r="NJP165" s="153"/>
      <c r="NJQ165" s="153"/>
      <c r="NJR165" s="153"/>
      <c r="NJS165" s="153"/>
      <c r="NJT165" s="153"/>
      <c r="NJU165" s="153"/>
      <c r="NJV165" s="153"/>
      <c r="NJW165" s="153"/>
      <c r="NJX165" s="153"/>
      <c r="NJY165" s="153"/>
      <c r="NJZ165" s="153"/>
      <c r="NKA165" s="153"/>
      <c r="NKB165" s="153"/>
      <c r="NKC165" s="153"/>
      <c r="NKD165" s="153"/>
      <c r="NKE165" s="153"/>
      <c r="NKF165" s="153"/>
      <c r="NKG165" s="153"/>
      <c r="NKH165" s="153"/>
      <c r="NKI165" s="153"/>
      <c r="NKJ165" s="153"/>
      <c r="NKK165" s="153"/>
      <c r="NKL165" s="153"/>
      <c r="NKM165" s="153"/>
      <c r="NKN165" s="153"/>
      <c r="NKO165" s="153"/>
      <c r="NKP165" s="153"/>
      <c r="NKQ165" s="153"/>
      <c r="NKR165" s="153"/>
      <c r="NKS165" s="153"/>
      <c r="NKT165" s="153"/>
      <c r="NKU165" s="153"/>
      <c r="NKV165" s="153"/>
      <c r="NKW165" s="153"/>
      <c r="NKX165" s="153"/>
      <c r="NKY165" s="153"/>
      <c r="NKZ165" s="153"/>
      <c r="NLA165" s="153"/>
      <c r="NLB165" s="153"/>
      <c r="NLC165" s="153"/>
      <c r="NLD165" s="153"/>
      <c r="NLE165" s="153"/>
      <c r="NLF165" s="153"/>
      <c r="NLG165" s="153"/>
      <c r="NLH165" s="153"/>
      <c r="NLI165" s="153"/>
      <c r="NLJ165" s="153"/>
      <c r="NLK165" s="153"/>
      <c r="NLL165" s="153"/>
      <c r="NLM165" s="153"/>
      <c r="NLN165" s="153"/>
      <c r="NLO165" s="153"/>
      <c r="NLP165" s="153"/>
      <c r="NLQ165" s="153"/>
      <c r="NLR165" s="153"/>
      <c r="NLS165" s="153"/>
      <c r="NLT165" s="153"/>
      <c r="NLU165" s="153"/>
      <c r="NLV165" s="153"/>
      <c r="NLW165" s="153"/>
      <c r="NLX165" s="153"/>
      <c r="NLY165" s="153"/>
      <c r="NLZ165" s="153"/>
      <c r="NMA165" s="153"/>
      <c r="NMB165" s="153"/>
      <c r="NMC165" s="153"/>
      <c r="NMD165" s="153"/>
      <c r="NME165" s="153"/>
      <c r="NMF165" s="153"/>
      <c r="NMG165" s="153"/>
      <c r="NMH165" s="153"/>
      <c r="NMI165" s="153"/>
      <c r="NMJ165" s="153"/>
      <c r="NMK165" s="153"/>
      <c r="NML165" s="153"/>
      <c r="NMM165" s="153"/>
      <c r="NMN165" s="153"/>
      <c r="NMO165" s="153"/>
      <c r="NMP165" s="153"/>
      <c r="NMQ165" s="153"/>
      <c r="NMR165" s="153"/>
      <c r="NMS165" s="153"/>
      <c r="NMT165" s="153"/>
      <c r="NMU165" s="153"/>
      <c r="NMV165" s="153"/>
      <c r="NMW165" s="153"/>
      <c r="NMX165" s="153"/>
      <c r="NMY165" s="153"/>
      <c r="NMZ165" s="153"/>
      <c r="NNA165" s="153"/>
      <c r="NNB165" s="153"/>
      <c r="NNC165" s="153"/>
      <c r="NND165" s="153"/>
      <c r="NNE165" s="153"/>
      <c r="NNF165" s="153"/>
      <c r="NNG165" s="153"/>
      <c r="NNH165" s="153"/>
      <c r="NNI165" s="153"/>
      <c r="NNJ165" s="153"/>
      <c r="NNK165" s="153"/>
      <c r="NNL165" s="153"/>
      <c r="NNM165" s="153"/>
      <c r="NNN165" s="153"/>
      <c r="NNO165" s="153"/>
      <c r="NNP165" s="153"/>
      <c r="NNQ165" s="153"/>
      <c r="NNR165" s="153"/>
      <c r="NNS165" s="153"/>
      <c r="NNT165" s="153"/>
      <c r="NNU165" s="153"/>
      <c r="NNV165" s="153"/>
      <c r="NNW165" s="153"/>
      <c r="NNX165" s="153"/>
      <c r="NNY165" s="153"/>
      <c r="NNZ165" s="153"/>
      <c r="NOA165" s="153"/>
      <c r="NOB165" s="153"/>
      <c r="NOC165" s="153"/>
      <c r="NOD165" s="153"/>
      <c r="NOE165" s="153"/>
      <c r="NOF165" s="153"/>
      <c r="NOG165" s="153"/>
      <c r="NOH165" s="153"/>
      <c r="NOI165" s="153"/>
      <c r="NOJ165" s="153"/>
      <c r="NOK165" s="153"/>
      <c r="NOL165" s="153"/>
      <c r="NOM165" s="153"/>
      <c r="NON165" s="153"/>
      <c r="NOO165" s="153"/>
      <c r="NOP165" s="153"/>
      <c r="NOQ165" s="153"/>
      <c r="NOR165" s="153"/>
      <c r="NOS165" s="153"/>
      <c r="NOT165" s="153"/>
      <c r="NOU165" s="153"/>
      <c r="NOV165" s="153"/>
      <c r="NOW165" s="153"/>
      <c r="NOX165" s="153"/>
      <c r="NOY165" s="153"/>
      <c r="NOZ165" s="153"/>
      <c r="NPA165" s="153"/>
      <c r="NPB165" s="153"/>
      <c r="NPC165" s="153"/>
      <c r="NPD165" s="153"/>
      <c r="NPE165" s="153"/>
      <c r="NPF165" s="153"/>
      <c r="NPG165" s="153"/>
      <c r="NPH165" s="153"/>
      <c r="NPI165" s="153"/>
      <c r="NPJ165" s="153"/>
      <c r="NPK165" s="153"/>
      <c r="NPL165" s="153"/>
      <c r="NPM165" s="153"/>
      <c r="NPN165" s="153"/>
      <c r="NPO165" s="153"/>
      <c r="NPP165" s="153"/>
      <c r="NPQ165" s="153"/>
      <c r="NPR165" s="153"/>
      <c r="NPS165" s="153"/>
      <c r="NPT165" s="153"/>
      <c r="NPU165" s="153"/>
      <c r="NPV165" s="153"/>
      <c r="NPW165" s="153"/>
      <c r="NPX165" s="153"/>
      <c r="NPY165" s="153"/>
      <c r="NPZ165" s="153"/>
      <c r="NQA165" s="153"/>
      <c r="NQB165" s="153"/>
      <c r="NQC165" s="153"/>
      <c r="NQD165" s="153"/>
      <c r="NQE165" s="153"/>
      <c r="NQF165" s="153"/>
      <c r="NQG165" s="153"/>
      <c r="NQH165" s="153"/>
      <c r="NQI165" s="153"/>
      <c r="NQJ165" s="153"/>
      <c r="NQK165" s="153"/>
      <c r="NQL165" s="153"/>
      <c r="NQM165" s="153"/>
      <c r="NQN165" s="153"/>
      <c r="NQO165" s="153"/>
      <c r="NQP165" s="153"/>
      <c r="NQQ165" s="153"/>
      <c r="NQR165" s="153"/>
      <c r="NQS165" s="153"/>
      <c r="NQT165" s="153"/>
      <c r="NQU165" s="153"/>
      <c r="NQV165" s="153"/>
      <c r="NQW165" s="153"/>
      <c r="NQX165" s="153"/>
      <c r="NQY165" s="153"/>
      <c r="NQZ165" s="153"/>
      <c r="NRA165" s="153"/>
      <c r="NRB165" s="153"/>
      <c r="NRC165" s="153"/>
      <c r="NRD165" s="153"/>
      <c r="NRE165" s="153"/>
      <c r="NRF165" s="153"/>
      <c r="NRG165" s="153"/>
      <c r="NRH165" s="153"/>
      <c r="NRI165" s="153"/>
      <c r="NRJ165" s="153"/>
      <c r="NRK165" s="153"/>
      <c r="NRL165" s="153"/>
      <c r="NRM165" s="153"/>
      <c r="NRN165" s="153"/>
      <c r="NRO165" s="153"/>
      <c r="NRP165" s="153"/>
      <c r="NRQ165" s="153"/>
      <c r="NRR165" s="153"/>
      <c r="NRS165" s="153"/>
      <c r="NRT165" s="153"/>
      <c r="NRU165" s="153"/>
      <c r="NRV165" s="153"/>
      <c r="NRW165" s="153"/>
      <c r="NRX165" s="153"/>
      <c r="NRY165" s="153"/>
      <c r="NRZ165" s="153"/>
      <c r="NSA165" s="153"/>
      <c r="NSB165" s="153"/>
      <c r="NSC165" s="153"/>
      <c r="NSD165" s="153"/>
      <c r="NSE165" s="153"/>
      <c r="NSF165" s="153"/>
      <c r="NSG165" s="153"/>
      <c r="NSH165" s="153"/>
      <c r="NSI165" s="153"/>
      <c r="NSJ165" s="153"/>
      <c r="NSK165" s="153"/>
      <c r="NSL165" s="153"/>
      <c r="NSM165" s="153"/>
      <c r="NSN165" s="153"/>
      <c r="NSO165" s="153"/>
      <c r="NSP165" s="153"/>
      <c r="NSQ165" s="153"/>
      <c r="NSR165" s="153"/>
      <c r="NSS165" s="153"/>
      <c r="NST165" s="153"/>
      <c r="NSU165" s="153"/>
      <c r="NSV165" s="153"/>
      <c r="NSW165" s="153"/>
      <c r="NSX165" s="153"/>
      <c r="NSY165" s="153"/>
      <c r="NSZ165" s="153"/>
      <c r="NTA165" s="153"/>
      <c r="NTB165" s="153"/>
      <c r="NTC165" s="153"/>
      <c r="NTD165" s="153"/>
      <c r="NTE165" s="153"/>
      <c r="NTF165" s="153"/>
      <c r="NTG165" s="153"/>
      <c r="NTH165" s="153"/>
      <c r="NTI165" s="153"/>
      <c r="NTJ165" s="153"/>
      <c r="NTK165" s="153"/>
      <c r="NTL165" s="153"/>
      <c r="NTM165" s="153"/>
      <c r="NTN165" s="153"/>
      <c r="NTO165" s="153"/>
      <c r="NTP165" s="153"/>
      <c r="NTQ165" s="153"/>
      <c r="NTR165" s="153"/>
      <c r="NTS165" s="153"/>
      <c r="NTT165" s="153"/>
      <c r="NTU165" s="153"/>
      <c r="NTV165" s="153"/>
      <c r="NTW165" s="153"/>
      <c r="NTX165" s="153"/>
      <c r="NTY165" s="153"/>
      <c r="NTZ165" s="153"/>
      <c r="NUA165" s="153"/>
      <c r="NUB165" s="153"/>
      <c r="NUC165" s="153"/>
      <c r="NUD165" s="153"/>
      <c r="NUE165" s="153"/>
      <c r="NUF165" s="153"/>
      <c r="NUG165" s="153"/>
      <c r="NUH165" s="153"/>
      <c r="NUI165" s="153"/>
      <c r="NUJ165" s="153"/>
      <c r="NUK165" s="153"/>
      <c r="NUL165" s="153"/>
      <c r="NUM165" s="153"/>
      <c r="NUN165" s="153"/>
      <c r="NUO165" s="153"/>
      <c r="NUP165" s="153"/>
      <c r="NUQ165" s="153"/>
      <c r="NUR165" s="153"/>
      <c r="NUS165" s="153"/>
      <c r="NUT165" s="153"/>
      <c r="NUU165" s="153"/>
      <c r="NUV165" s="153"/>
      <c r="NUW165" s="153"/>
      <c r="NUX165" s="153"/>
      <c r="NUY165" s="153"/>
      <c r="NUZ165" s="153"/>
      <c r="NVA165" s="153"/>
      <c r="NVB165" s="153"/>
      <c r="NVC165" s="153"/>
      <c r="NVD165" s="153"/>
      <c r="NVE165" s="153"/>
      <c r="NVF165" s="153"/>
      <c r="NVG165" s="153"/>
      <c r="NVH165" s="153"/>
      <c r="NVI165" s="153"/>
      <c r="NVJ165" s="153"/>
      <c r="NVK165" s="153"/>
      <c r="NVL165" s="153"/>
      <c r="NVM165" s="153"/>
      <c r="NVN165" s="153"/>
      <c r="NVO165" s="153"/>
      <c r="NVP165" s="153"/>
      <c r="NVQ165" s="153"/>
      <c r="NVR165" s="153"/>
      <c r="NVS165" s="153"/>
      <c r="NVT165" s="153"/>
      <c r="NVU165" s="153"/>
      <c r="NVV165" s="153"/>
      <c r="NVW165" s="153"/>
      <c r="NVX165" s="153"/>
      <c r="NVY165" s="153"/>
      <c r="NVZ165" s="153"/>
      <c r="NWA165" s="153"/>
      <c r="NWB165" s="153"/>
      <c r="NWC165" s="153"/>
      <c r="NWD165" s="153"/>
      <c r="NWE165" s="153"/>
      <c r="NWF165" s="153"/>
      <c r="NWG165" s="153"/>
      <c r="NWH165" s="153"/>
      <c r="NWI165" s="153"/>
      <c r="NWJ165" s="153"/>
      <c r="NWK165" s="153"/>
      <c r="NWL165" s="153"/>
      <c r="NWM165" s="153"/>
      <c r="NWN165" s="153"/>
      <c r="NWO165" s="153"/>
      <c r="NWP165" s="153"/>
      <c r="NWQ165" s="153"/>
      <c r="NWR165" s="153"/>
      <c r="NWS165" s="153"/>
      <c r="NWT165" s="153"/>
      <c r="NWU165" s="153"/>
      <c r="NWV165" s="153"/>
      <c r="NWW165" s="153"/>
      <c r="NWX165" s="153"/>
      <c r="NWY165" s="153"/>
      <c r="NWZ165" s="153"/>
      <c r="NXA165" s="153"/>
      <c r="NXB165" s="153"/>
      <c r="NXC165" s="153"/>
      <c r="NXD165" s="153"/>
      <c r="NXE165" s="153"/>
      <c r="NXF165" s="153"/>
      <c r="NXG165" s="153"/>
      <c r="NXH165" s="153"/>
      <c r="NXI165" s="153"/>
      <c r="NXJ165" s="153"/>
      <c r="NXK165" s="153"/>
      <c r="NXL165" s="153"/>
      <c r="NXM165" s="153"/>
      <c r="NXN165" s="153"/>
      <c r="NXO165" s="153"/>
      <c r="NXP165" s="153"/>
      <c r="NXQ165" s="153"/>
      <c r="NXR165" s="153"/>
      <c r="NXS165" s="153"/>
      <c r="NXT165" s="153"/>
      <c r="NXU165" s="153"/>
      <c r="NXV165" s="153"/>
      <c r="NXW165" s="153"/>
      <c r="NXX165" s="153"/>
      <c r="NXY165" s="153"/>
      <c r="NXZ165" s="153"/>
      <c r="NYA165" s="153"/>
      <c r="NYB165" s="153"/>
      <c r="NYC165" s="153"/>
      <c r="NYD165" s="153"/>
      <c r="NYE165" s="153"/>
      <c r="NYF165" s="153"/>
      <c r="NYG165" s="153"/>
      <c r="NYH165" s="153"/>
      <c r="NYI165" s="153"/>
      <c r="NYJ165" s="153"/>
      <c r="NYK165" s="153"/>
      <c r="NYL165" s="153"/>
      <c r="NYM165" s="153"/>
      <c r="NYN165" s="153"/>
      <c r="NYO165" s="153"/>
      <c r="NYP165" s="153"/>
      <c r="NYQ165" s="153"/>
      <c r="NYR165" s="153"/>
      <c r="NYS165" s="153"/>
      <c r="NYT165" s="153"/>
      <c r="NYU165" s="153"/>
      <c r="NYV165" s="153"/>
      <c r="NYW165" s="153"/>
      <c r="NYX165" s="153"/>
      <c r="NYY165" s="153"/>
      <c r="NYZ165" s="153"/>
      <c r="NZA165" s="153"/>
      <c r="NZB165" s="153"/>
      <c r="NZC165" s="153"/>
      <c r="NZD165" s="153"/>
      <c r="NZE165" s="153"/>
      <c r="NZF165" s="153"/>
      <c r="NZG165" s="153"/>
      <c r="NZH165" s="153"/>
      <c r="NZI165" s="153"/>
      <c r="NZJ165" s="153"/>
      <c r="NZK165" s="153"/>
      <c r="NZL165" s="153"/>
      <c r="NZM165" s="153"/>
      <c r="NZN165" s="153"/>
      <c r="NZO165" s="153"/>
      <c r="NZP165" s="153"/>
      <c r="NZQ165" s="153"/>
      <c r="NZR165" s="153"/>
      <c r="NZS165" s="153"/>
      <c r="NZT165" s="153"/>
      <c r="NZU165" s="153"/>
      <c r="NZV165" s="153"/>
      <c r="NZW165" s="153"/>
      <c r="NZX165" s="153"/>
      <c r="NZY165" s="153"/>
      <c r="NZZ165" s="153"/>
      <c r="OAA165" s="153"/>
      <c r="OAB165" s="153"/>
      <c r="OAC165" s="153"/>
      <c r="OAD165" s="153"/>
      <c r="OAE165" s="153"/>
      <c r="OAF165" s="153"/>
      <c r="OAG165" s="153"/>
      <c r="OAH165" s="153"/>
      <c r="OAI165" s="153"/>
      <c r="OAJ165" s="153"/>
      <c r="OAK165" s="153"/>
      <c r="OAL165" s="153"/>
      <c r="OAM165" s="153"/>
      <c r="OAN165" s="153"/>
      <c r="OAO165" s="153"/>
      <c r="OAP165" s="153"/>
      <c r="OAQ165" s="153"/>
      <c r="OAR165" s="153"/>
      <c r="OAS165" s="153"/>
      <c r="OAT165" s="153"/>
      <c r="OAU165" s="153"/>
      <c r="OAV165" s="153"/>
      <c r="OAW165" s="153"/>
      <c r="OAX165" s="153"/>
      <c r="OAY165" s="153"/>
      <c r="OAZ165" s="153"/>
      <c r="OBA165" s="153"/>
      <c r="OBB165" s="153"/>
      <c r="OBC165" s="153"/>
      <c r="OBD165" s="153"/>
      <c r="OBE165" s="153"/>
      <c r="OBF165" s="153"/>
      <c r="OBG165" s="153"/>
      <c r="OBH165" s="153"/>
      <c r="OBI165" s="153"/>
      <c r="OBJ165" s="153"/>
      <c r="OBK165" s="153"/>
      <c r="OBL165" s="153"/>
      <c r="OBM165" s="153"/>
      <c r="OBN165" s="153"/>
      <c r="OBO165" s="153"/>
      <c r="OBP165" s="153"/>
      <c r="OBQ165" s="153"/>
      <c r="OBR165" s="153"/>
      <c r="OBS165" s="153"/>
      <c r="OBT165" s="153"/>
      <c r="OBU165" s="153"/>
      <c r="OBV165" s="153"/>
      <c r="OBW165" s="153"/>
      <c r="OBX165" s="153"/>
      <c r="OBY165" s="153"/>
      <c r="OBZ165" s="153"/>
      <c r="OCA165" s="153"/>
      <c r="OCB165" s="153"/>
      <c r="OCC165" s="153"/>
      <c r="OCD165" s="153"/>
      <c r="OCE165" s="153"/>
      <c r="OCF165" s="153"/>
      <c r="OCG165" s="153"/>
      <c r="OCH165" s="153"/>
      <c r="OCI165" s="153"/>
      <c r="OCJ165" s="153"/>
      <c r="OCK165" s="153"/>
      <c r="OCL165" s="153"/>
      <c r="OCM165" s="153"/>
      <c r="OCN165" s="153"/>
      <c r="OCO165" s="153"/>
      <c r="OCP165" s="153"/>
      <c r="OCQ165" s="153"/>
      <c r="OCR165" s="153"/>
      <c r="OCS165" s="153"/>
      <c r="OCT165" s="153"/>
      <c r="OCU165" s="153"/>
      <c r="OCV165" s="153"/>
      <c r="OCW165" s="153"/>
      <c r="OCX165" s="153"/>
      <c r="OCY165" s="153"/>
      <c r="OCZ165" s="153"/>
      <c r="ODA165" s="153"/>
      <c r="ODB165" s="153"/>
      <c r="ODC165" s="153"/>
      <c r="ODD165" s="153"/>
      <c r="ODE165" s="153"/>
      <c r="ODF165" s="153"/>
      <c r="ODG165" s="153"/>
      <c r="ODH165" s="153"/>
      <c r="ODI165" s="153"/>
      <c r="ODJ165" s="153"/>
      <c r="ODK165" s="153"/>
      <c r="ODL165" s="153"/>
      <c r="ODM165" s="153"/>
      <c r="ODN165" s="153"/>
      <c r="ODO165" s="153"/>
      <c r="ODP165" s="153"/>
      <c r="ODQ165" s="153"/>
      <c r="ODR165" s="153"/>
      <c r="ODS165" s="153"/>
      <c r="ODT165" s="153"/>
      <c r="ODU165" s="153"/>
      <c r="ODV165" s="153"/>
      <c r="ODW165" s="153"/>
      <c r="ODX165" s="153"/>
      <c r="ODY165" s="153"/>
      <c r="ODZ165" s="153"/>
      <c r="OEA165" s="153"/>
      <c r="OEB165" s="153"/>
      <c r="OEC165" s="153"/>
      <c r="OED165" s="153"/>
      <c r="OEE165" s="153"/>
      <c r="OEF165" s="153"/>
      <c r="OEG165" s="153"/>
      <c r="OEH165" s="153"/>
      <c r="OEI165" s="153"/>
      <c r="OEJ165" s="153"/>
      <c r="OEK165" s="153"/>
      <c r="OEL165" s="153"/>
      <c r="OEM165" s="153"/>
      <c r="OEN165" s="153"/>
      <c r="OEO165" s="153"/>
      <c r="OEP165" s="153"/>
      <c r="OEQ165" s="153"/>
      <c r="OER165" s="153"/>
      <c r="OES165" s="153"/>
      <c r="OET165" s="153"/>
      <c r="OEU165" s="153"/>
      <c r="OEV165" s="153"/>
      <c r="OEW165" s="153"/>
      <c r="OEX165" s="153"/>
      <c r="OEY165" s="153"/>
      <c r="OEZ165" s="153"/>
      <c r="OFA165" s="153"/>
      <c r="OFB165" s="153"/>
      <c r="OFC165" s="153"/>
      <c r="OFD165" s="153"/>
      <c r="OFE165" s="153"/>
      <c r="OFF165" s="153"/>
      <c r="OFG165" s="153"/>
      <c r="OFH165" s="153"/>
      <c r="OFI165" s="153"/>
      <c r="OFJ165" s="153"/>
      <c r="OFK165" s="153"/>
      <c r="OFL165" s="153"/>
      <c r="OFM165" s="153"/>
      <c r="OFN165" s="153"/>
      <c r="OFO165" s="153"/>
      <c r="OFP165" s="153"/>
      <c r="OFQ165" s="153"/>
      <c r="OFR165" s="153"/>
      <c r="OFS165" s="153"/>
      <c r="OFT165" s="153"/>
      <c r="OFU165" s="153"/>
      <c r="OFV165" s="153"/>
      <c r="OFW165" s="153"/>
      <c r="OFX165" s="153"/>
      <c r="OFY165" s="153"/>
      <c r="OFZ165" s="153"/>
      <c r="OGA165" s="153"/>
      <c r="OGB165" s="153"/>
      <c r="OGC165" s="153"/>
      <c r="OGD165" s="153"/>
      <c r="OGE165" s="153"/>
      <c r="OGF165" s="153"/>
      <c r="OGG165" s="153"/>
      <c r="OGH165" s="153"/>
      <c r="OGI165" s="153"/>
      <c r="OGJ165" s="153"/>
      <c r="OGK165" s="153"/>
      <c r="OGL165" s="153"/>
      <c r="OGM165" s="153"/>
      <c r="OGN165" s="153"/>
      <c r="OGO165" s="153"/>
      <c r="OGP165" s="153"/>
      <c r="OGQ165" s="153"/>
      <c r="OGR165" s="153"/>
      <c r="OGS165" s="153"/>
      <c r="OGT165" s="153"/>
      <c r="OGU165" s="153"/>
      <c r="OGV165" s="153"/>
      <c r="OGW165" s="153"/>
      <c r="OGX165" s="153"/>
      <c r="OGY165" s="153"/>
      <c r="OGZ165" s="153"/>
      <c r="OHA165" s="153"/>
      <c r="OHB165" s="153"/>
      <c r="OHC165" s="153"/>
      <c r="OHD165" s="153"/>
      <c r="OHE165" s="153"/>
      <c r="OHF165" s="153"/>
      <c r="OHG165" s="153"/>
      <c r="OHH165" s="153"/>
      <c r="OHI165" s="153"/>
      <c r="OHJ165" s="153"/>
      <c r="OHK165" s="153"/>
      <c r="OHL165" s="153"/>
      <c r="OHM165" s="153"/>
      <c r="OHN165" s="153"/>
      <c r="OHO165" s="153"/>
      <c r="OHP165" s="153"/>
      <c r="OHQ165" s="153"/>
      <c r="OHR165" s="153"/>
      <c r="OHS165" s="153"/>
      <c r="OHT165" s="153"/>
      <c r="OHU165" s="153"/>
      <c r="OHV165" s="153"/>
      <c r="OHW165" s="153"/>
      <c r="OHX165" s="153"/>
      <c r="OHY165" s="153"/>
      <c r="OHZ165" s="153"/>
      <c r="OIA165" s="153"/>
      <c r="OIB165" s="153"/>
      <c r="OIC165" s="153"/>
      <c r="OID165" s="153"/>
      <c r="OIE165" s="153"/>
      <c r="OIF165" s="153"/>
      <c r="OIG165" s="153"/>
      <c r="OIH165" s="153"/>
      <c r="OII165" s="153"/>
      <c r="OIJ165" s="153"/>
      <c r="OIK165" s="153"/>
      <c r="OIL165" s="153"/>
      <c r="OIM165" s="153"/>
      <c r="OIN165" s="153"/>
      <c r="OIO165" s="153"/>
      <c r="OIP165" s="153"/>
      <c r="OIQ165" s="153"/>
      <c r="OIR165" s="153"/>
      <c r="OIS165" s="153"/>
      <c r="OIT165" s="153"/>
      <c r="OIU165" s="153"/>
      <c r="OIV165" s="153"/>
      <c r="OIW165" s="153"/>
      <c r="OIX165" s="153"/>
      <c r="OIY165" s="153"/>
      <c r="OIZ165" s="153"/>
      <c r="OJA165" s="153"/>
      <c r="OJB165" s="153"/>
      <c r="OJC165" s="153"/>
      <c r="OJD165" s="153"/>
      <c r="OJE165" s="153"/>
      <c r="OJF165" s="153"/>
      <c r="OJG165" s="153"/>
      <c r="OJH165" s="153"/>
      <c r="OJI165" s="153"/>
      <c r="OJJ165" s="153"/>
      <c r="OJK165" s="153"/>
      <c r="OJL165" s="153"/>
      <c r="OJM165" s="153"/>
      <c r="OJN165" s="153"/>
      <c r="OJO165" s="153"/>
      <c r="OJP165" s="153"/>
      <c r="OJQ165" s="153"/>
      <c r="OJR165" s="153"/>
      <c r="OJS165" s="153"/>
      <c r="OJT165" s="153"/>
      <c r="OJU165" s="153"/>
      <c r="OJV165" s="153"/>
      <c r="OJW165" s="153"/>
      <c r="OJX165" s="153"/>
      <c r="OJY165" s="153"/>
      <c r="OJZ165" s="153"/>
      <c r="OKA165" s="153"/>
      <c r="OKB165" s="153"/>
      <c r="OKC165" s="153"/>
      <c r="OKD165" s="153"/>
      <c r="OKE165" s="153"/>
      <c r="OKF165" s="153"/>
      <c r="OKG165" s="153"/>
      <c r="OKH165" s="153"/>
      <c r="OKI165" s="153"/>
      <c r="OKJ165" s="153"/>
      <c r="OKK165" s="153"/>
      <c r="OKL165" s="153"/>
      <c r="OKM165" s="153"/>
      <c r="OKN165" s="153"/>
      <c r="OKO165" s="153"/>
      <c r="OKP165" s="153"/>
      <c r="OKQ165" s="153"/>
      <c r="OKR165" s="153"/>
      <c r="OKS165" s="153"/>
      <c r="OKT165" s="153"/>
      <c r="OKU165" s="153"/>
      <c r="OKV165" s="153"/>
      <c r="OKW165" s="153"/>
      <c r="OKX165" s="153"/>
      <c r="OKY165" s="153"/>
      <c r="OKZ165" s="153"/>
      <c r="OLA165" s="153"/>
      <c r="OLB165" s="153"/>
      <c r="OLC165" s="153"/>
      <c r="OLD165" s="153"/>
      <c r="OLE165" s="153"/>
      <c r="OLF165" s="153"/>
      <c r="OLG165" s="153"/>
      <c r="OLH165" s="153"/>
      <c r="OLI165" s="153"/>
      <c r="OLJ165" s="153"/>
      <c r="OLK165" s="153"/>
      <c r="OLL165" s="153"/>
      <c r="OLM165" s="153"/>
      <c r="OLN165" s="153"/>
      <c r="OLO165" s="153"/>
      <c r="OLP165" s="153"/>
      <c r="OLQ165" s="153"/>
      <c r="OLR165" s="153"/>
      <c r="OLS165" s="153"/>
      <c r="OLT165" s="153"/>
      <c r="OLU165" s="153"/>
      <c r="OLV165" s="153"/>
      <c r="OLW165" s="153"/>
      <c r="OLX165" s="153"/>
      <c r="OLY165" s="153"/>
      <c r="OLZ165" s="153"/>
      <c r="OMA165" s="153"/>
      <c r="OMB165" s="153"/>
      <c r="OMC165" s="153"/>
      <c r="OMD165" s="153"/>
      <c r="OME165" s="153"/>
      <c r="OMF165" s="153"/>
      <c r="OMG165" s="153"/>
      <c r="OMH165" s="153"/>
      <c r="OMI165" s="153"/>
      <c r="OMJ165" s="153"/>
      <c r="OMK165" s="153"/>
      <c r="OML165" s="153"/>
      <c r="OMM165" s="153"/>
      <c r="OMN165" s="153"/>
      <c r="OMO165" s="153"/>
      <c r="OMP165" s="153"/>
      <c r="OMQ165" s="153"/>
      <c r="OMR165" s="153"/>
      <c r="OMS165" s="153"/>
      <c r="OMT165" s="153"/>
      <c r="OMU165" s="153"/>
      <c r="OMV165" s="153"/>
      <c r="OMW165" s="153"/>
      <c r="OMX165" s="153"/>
      <c r="OMY165" s="153"/>
      <c r="OMZ165" s="153"/>
      <c r="ONA165" s="153"/>
      <c r="ONB165" s="153"/>
      <c r="ONC165" s="153"/>
      <c r="OND165" s="153"/>
      <c r="ONE165" s="153"/>
      <c r="ONF165" s="153"/>
      <c r="ONG165" s="153"/>
      <c r="ONH165" s="153"/>
      <c r="ONI165" s="153"/>
      <c r="ONJ165" s="153"/>
      <c r="ONK165" s="153"/>
      <c r="ONL165" s="153"/>
      <c r="ONM165" s="153"/>
      <c r="ONN165" s="153"/>
      <c r="ONO165" s="153"/>
      <c r="ONP165" s="153"/>
      <c r="ONQ165" s="153"/>
      <c r="ONR165" s="153"/>
      <c r="ONS165" s="153"/>
      <c r="ONT165" s="153"/>
      <c r="ONU165" s="153"/>
      <c r="ONV165" s="153"/>
      <c r="ONW165" s="153"/>
      <c r="ONX165" s="153"/>
      <c r="ONY165" s="153"/>
      <c r="ONZ165" s="153"/>
      <c r="OOA165" s="153"/>
      <c r="OOB165" s="153"/>
      <c r="OOC165" s="153"/>
      <c r="OOD165" s="153"/>
      <c r="OOE165" s="153"/>
      <c r="OOF165" s="153"/>
      <c r="OOG165" s="153"/>
      <c r="OOH165" s="153"/>
      <c r="OOI165" s="153"/>
      <c r="OOJ165" s="153"/>
      <c r="OOK165" s="153"/>
      <c r="OOL165" s="153"/>
      <c r="OOM165" s="153"/>
      <c r="OON165" s="153"/>
      <c r="OOO165" s="153"/>
      <c r="OOP165" s="153"/>
      <c r="OOQ165" s="153"/>
      <c r="OOR165" s="153"/>
      <c r="OOS165" s="153"/>
      <c r="OOT165" s="153"/>
      <c r="OOU165" s="153"/>
      <c r="OOV165" s="153"/>
      <c r="OOW165" s="153"/>
      <c r="OOX165" s="153"/>
      <c r="OOY165" s="153"/>
      <c r="OOZ165" s="153"/>
      <c r="OPA165" s="153"/>
      <c r="OPB165" s="153"/>
      <c r="OPC165" s="153"/>
      <c r="OPD165" s="153"/>
      <c r="OPE165" s="153"/>
      <c r="OPF165" s="153"/>
      <c r="OPG165" s="153"/>
      <c r="OPH165" s="153"/>
      <c r="OPI165" s="153"/>
      <c r="OPJ165" s="153"/>
      <c r="OPK165" s="153"/>
      <c r="OPL165" s="153"/>
      <c r="OPM165" s="153"/>
      <c r="OPN165" s="153"/>
      <c r="OPO165" s="153"/>
      <c r="OPP165" s="153"/>
      <c r="OPQ165" s="153"/>
      <c r="OPR165" s="153"/>
      <c r="OPS165" s="153"/>
      <c r="OPT165" s="153"/>
      <c r="OPU165" s="153"/>
      <c r="OPV165" s="153"/>
      <c r="OPW165" s="153"/>
      <c r="OPX165" s="153"/>
      <c r="OPY165" s="153"/>
      <c r="OPZ165" s="153"/>
      <c r="OQA165" s="153"/>
      <c r="OQB165" s="153"/>
      <c r="OQC165" s="153"/>
      <c r="OQD165" s="153"/>
      <c r="OQE165" s="153"/>
      <c r="OQF165" s="153"/>
      <c r="OQG165" s="153"/>
      <c r="OQH165" s="153"/>
      <c r="OQI165" s="153"/>
      <c r="OQJ165" s="153"/>
      <c r="OQK165" s="153"/>
      <c r="OQL165" s="153"/>
      <c r="OQM165" s="153"/>
      <c r="OQN165" s="153"/>
      <c r="OQO165" s="153"/>
      <c r="OQP165" s="153"/>
      <c r="OQQ165" s="153"/>
      <c r="OQR165" s="153"/>
      <c r="OQS165" s="153"/>
      <c r="OQT165" s="153"/>
      <c r="OQU165" s="153"/>
      <c r="OQV165" s="153"/>
      <c r="OQW165" s="153"/>
      <c r="OQX165" s="153"/>
      <c r="OQY165" s="153"/>
      <c r="OQZ165" s="153"/>
      <c r="ORA165" s="153"/>
      <c r="ORB165" s="153"/>
      <c r="ORC165" s="153"/>
      <c r="ORD165" s="153"/>
      <c r="ORE165" s="153"/>
      <c r="ORF165" s="153"/>
      <c r="ORG165" s="153"/>
      <c r="ORH165" s="153"/>
      <c r="ORI165" s="153"/>
      <c r="ORJ165" s="153"/>
      <c r="ORK165" s="153"/>
      <c r="ORL165" s="153"/>
      <c r="ORM165" s="153"/>
      <c r="ORN165" s="153"/>
      <c r="ORO165" s="153"/>
      <c r="ORP165" s="153"/>
      <c r="ORQ165" s="153"/>
      <c r="ORR165" s="153"/>
      <c r="ORS165" s="153"/>
      <c r="ORT165" s="153"/>
      <c r="ORU165" s="153"/>
      <c r="ORV165" s="153"/>
      <c r="ORW165" s="153"/>
      <c r="ORX165" s="153"/>
      <c r="ORY165" s="153"/>
      <c r="ORZ165" s="153"/>
      <c r="OSA165" s="153"/>
      <c r="OSB165" s="153"/>
      <c r="OSC165" s="153"/>
      <c r="OSD165" s="153"/>
      <c r="OSE165" s="153"/>
      <c r="OSF165" s="153"/>
      <c r="OSG165" s="153"/>
      <c r="OSH165" s="153"/>
      <c r="OSI165" s="153"/>
      <c r="OSJ165" s="153"/>
      <c r="OSK165" s="153"/>
      <c r="OSL165" s="153"/>
      <c r="OSM165" s="153"/>
      <c r="OSN165" s="153"/>
      <c r="OSO165" s="153"/>
      <c r="OSP165" s="153"/>
      <c r="OSQ165" s="153"/>
      <c r="OSR165" s="153"/>
      <c r="OSS165" s="153"/>
      <c r="OST165" s="153"/>
      <c r="OSU165" s="153"/>
      <c r="OSV165" s="153"/>
      <c r="OSW165" s="153"/>
      <c r="OSX165" s="153"/>
      <c r="OSY165" s="153"/>
      <c r="OSZ165" s="153"/>
      <c r="OTA165" s="153"/>
      <c r="OTB165" s="153"/>
      <c r="OTC165" s="153"/>
      <c r="OTD165" s="153"/>
      <c r="OTE165" s="153"/>
      <c r="OTF165" s="153"/>
      <c r="OTG165" s="153"/>
      <c r="OTH165" s="153"/>
      <c r="OTI165" s="153"/>
      <c r="OTJ165" s="153"/>
      <c r="OTK165" s="153"/>
      <c r="OTL165" s="153"/>
      <c r="OTM165" s="153"/>
      <c r="OTN165" s="153"/>
      <c r="OTO165" s="153"/>
      <c r="OTP165" s="153"/>
      <c r="OTQ165" s="153"/>
      <c r="OTR165" s="153"/>
      <c r="OTS165" s="153"/>
      <c r="OTT165" s="153"/>
      <c r="OTU165" s="153"/>
      <c r="OTV165" s="153"/>
      <c r="OTW165" s="153"/>
      <c r="OTX165" s="153"/>
      <c r="OTY165" s="153"/>
      <c r="OTZ165" s="153"/>
      <c r="OUA165" s="153"/>
      <c r="OUB165" s="153"/>
      <c r="OUC165" s="153"/>
      <c r="OUD165" s="153"/>
      <c r="OUE165" s="153"/>
      <c r="OUF165" s="153"/>
      <c r="OUG165" s="153"/>
      <c r="OUH165" s="153"/>
      <c r="OUI165" s="153"/>
      <c r="OUJ165" s="153"/>
      <c r="OUK165" s="153"/>
      <c r="OUL165" s="153"/>
      <c r="OUM165" s="153"/>
      <c r="OUN165" s="153"/>
      <c r="OUO165" s="153"/>
      <c r="OUP165" s="153"/>
      <c r="OUQ165" s="153"/>
      <c r="OUR165" s="153"/>
      <c r="OUS165" s="153"/>
      <c r="OUT165" s="153"/>
      <c r="OUU165" s="153"/>
      <c r="OUV165" s="153"/>
      <c r="OUW165" s="153"/>
      <c r="OUX165" s="153"/>
      <c r="OUY165" s="153"/>
      <c r="OUZ165" s="153"/>
      <c r="OVA165" s="153"/>
      <c r="OVB165" s="153"/>
      <c r="OVC165" s="153"/>
      <c r="OVD165" s="153"/>
      <c r="OVE165" s="153"/>
      <c r="OVF165" s="153"/>
      <c r="OVG165" s="153"/>
      <c r="OVH165" s="153"/>
      <c r="OVI165" s="153"/>
      <c r="OVJ165" s="153"/>
      <c r="OVK165" s="153"/>
      <c r="OVL165" s="153"/>
      <c r="OVM165" s="153"/>
      <c r="OVN165" s="153"/>
      <c r="OVO165" s="153"/>
      <c r="OVP165" s="153"/>
      <c r="OVQ165" s="153"/>
      <c r="OVR165" s="153"/>
      <c r="OVS165" s="153"/>
      <c r="OVT165" s="153"/>
      <c r="OVU165" s="153"/>
      <c r="OVV165" s="153"/>
      <c r="OVW165" s="153"/>
      <c r="OVX165" s="153"/>
      <c r="OVY165" s="153"/>
      <c r="OVZ165" s="153"/>
      <c r="OWA165" s="153"/>
      <c r="OWB165" s="153"/>
      <c r="OWC165" s="153"/>
      <c r="OWD165" s="153"/>
      <c r="OWE165" s="153"/>
      <c r="OWF165" s="153"/>
      <c r="OWG165" s="153"/>
      <c r="OWH165" s="153"/>
      <c r="OWI165" s="153"/>
      <c r="OWJ165" s="153"/>
      <c r="OWK165" s="153"/>
      <c r="OWL165" s="153"/>
      <c r="OWM165" s="153"/>
      <c r="OWN165" s="153"/>
      <c r="OWO165" s="153"/>
      <c r="OWP165" s="153"/>
      <c r="OWQ165" s="153"/>
      <c r="OWR165" s="153"/>
      <c r="OWS165" s="153"/>
      <c r="OWT165" s="153"/>
      <c r="OWU165" s="153"/>
      <c r="OWV165" s="153"/>
      <c r="OWW165" s="153"/>
      <c r="OWX165" s="153"/>
      <c r="OWY165" s="153"/>
      <c r="OWZ165" s="153"/>
      <c r="OXA165" s="153"/>
      <c r="OXB165" s="153"/>
      <c r="OXC165" s="153"/>
      <c r="OXD165" s="153"/>
      <c r="OXE165" s="153"/>
      <c r="OXF165" s="153"/>
      <c r="OXG165" s="153"/>
      <c r="OXH165" s="153"/>
      <c r="OXI165" s="153"/>
      <c r="OXJ165" s="153"/>
      <c r="OXK165" s="153"/>
      <c r="OXL165" s="153"/>
      <c r="OXM165" s="153"/>
      <c r="OXN165" s="153"/>
      <c r="OXO165" s="153"/>
      <c r="OXP165" s="153"/>
      <c r="OXQ165" s="153"/>
      <c r="OXR165" s="153"/>
      <c r="OXS165" s="153"/>
      <c r="OXT165" s="153"/>
      <c r="OXU165" s="153"/>
      <c r="OXV165" s="153"/>
      <c r="OXW165" s="153"/>
      <c r="OXX165" s="153"/>
      <c r="OXY165" s="153"/>
      <c r="OXZ165" s="153"/>
      <c r="OYA165" s="153"/>
      <c r="OYB165" s="153"/>
      <c r="OYC165" s="153"/>
      <c r="OYD165" s="153"/>
      <c r="OYE165" s="153"/>
      <c r="OYF165" s="153"/>
      <c r="OYG165" s="153"/>
      <c r="OYH165" s="153"/>
      <c r="OYI165" s="153"/>
      <c r="OYJ165" s="153"/>
      <c r="OYK165" s="153"/>
      <c r="OYL165" s="153"/>
      <c r="OYM165" s="153"/>
      <c r="OYN165" s="153"/>
      <c r="OYO165" s="153"/>
      <c r="OYP165" s="153"/>
      <c r="OYQ165" s="153"/>
      <c r="OYR165" s="153"/>
      <c r="OYS165" s="153"/>
      <c r="OYT165" s="153"/>
      <c r="OYU165" s="153"/>
      <c r="OYV165" s="153"/>
      <c r="OYW165" s="153"/>
      <c r="OYX165" s="153"/>
      <c r="OYY165" s="153"/>
      <c r="OYZ165" s="153"/>
      <c r="OZA165" s="153"/>
      <c r="OZB165" s="153"/>
      <c r="OZC165" s="153"/>
      <c r="OZD165" s="153"/>
      <c r="OZE165" s="153"/>
      <c r="OZF165" s="153"/>
      <c r="OZG165" s="153"/>
      <c r="OZH165" s="153"/>
      <c r="OZI165" s="153"/>
      <c r="OZJ165" s="153"/>
      <c r="OZK165" s="153"/>
      <c r="OZL165" s="153"/>
      <c r="OZM165" s="153"/>
      <c r="OZN165" s="153"/>
      <c r="OZO165" s="153"/>
      <c r="OZP165" s="153"/>
      <c r="OZQ165" s="153"/>
      <c r="OZR165" s="153"/>
      <c r="OZS165" s="153"/>
      <c r="OZT165" s="153"/>
      <c r="OZU165" s="153"/>
      <c r="OZV165" s="153"/>
      <c r="OZW165" s="153"/>
      <c r="OZX165" s="153"/>
      <c r="OZY165" s="153"/>
      <c r="OZZ165" s="153"/>
      <c r="PAA165" s="153"/>
      <c r="PAB165" s="153"/>
      <c r="PAC165" s="153"/>
      <c r="PAD165" s="153"/>
      <c r="PAE165" s="153"/>
      <c r="PAF165" s="153"/>
      <c r="PAG165" s="153"/>
      <c r="PAH165" s="153"/>
      <c r="PAI165" s="153"/>
      <c r="PAJ165" s="153"/>
      <c r="PAK165" s="153"/>
      <c r="PAL165" s="153"/>
      <c r="PAM165" s="153"/>
      <c r="PAN165" s="153"/>
      <c r="PAO165" s="153"/>
      <c r="PAP165" s="153"/>
      <c r="PAQ165" s="153"/>
      <c r="PAR165" s="153"/>
      <c r="PAS165" s="153"/>
      <c r="PAT165" s="153"/>
      <c r="PAU165" s="153"/>
      <c r="PAV165" s="153"/>
      <c r="PAW165" s="153"/>
      <c r="PAX165" s="153"/>
      <c r="PAY165" s="153"/>
      <c r="PAZ165" s="153"/>
      <c r="PBA165" s="153"/>
      <c r="PBB165" s="153"/>
      <c r="PBC165" s="153"/>
      <c r="PBD165" s="153"/>
      <c r="PBE165" s="153"/>
      <c r="PBF165" s="153"/>
      <c r="PBG165" s="153"/>
      <c r="PBH165" s="153"/>
      <c r="PBI165" s="153"/>
      <c r="PBJ165" s="153"/>
      <c r="PBK165" s="153"/>
      <c r="PBL165" s="153"/>
      <c r="PBM165" s="153"/>
      <c r="PBN165" s="153"/>
      <c r="PBO165" s="153"/>
      <c r="PBP165" s="153"/>
      <c r="PBQ165" s="153"/>
      <c r="PBR165" s="153"/>
      <c r="PBS165" s="153"/>
      <c r="PBT165" s="153"/>
      <c r="PBU165" s="153"/>
      <c r="PBV165" s="153"/>
      <c r="PBW165" s="153"/>
      <c r="PBX165" s="153"/>
      <c r="PBY165" s="153"/>
      <c r="PBZ165" s="153"/>
      <c r="PCA165" s="153"/>
      <c r="PCB165" s="153"/>
      <c r="PCC165" s="153"/>
      <c r="PCD165" s="153"/>
      <c r="PCE165" s="153"/>
      <c r="PCF165" s="153"/>
      <c r="PCG165" s="153"/>
      <c r="PCH165" s="153"/>
      <c r="PCI165" s="153"/>
      <c r="PCJ165" s="153"/>
      <c r="PCK165" s="153"/>
      <c r="PCL165" s="153"/>
      <c r="PCM165" s="153"/>
      <c r="PCN165" s="153"/>
      <c r="PCO165" s="153"/>
      <c r="PCP165" s="153"/>
      <c r="PCQ165" s="153"/>
      <c r="PCR165" s="153"/>
      <c r="PCS165" s="153"/>
      <c r="PCT165" s="153"/>
      <c r="PCU165" s="153"/>
      <c r="PCV165" s="153"/>
      <c r="PCW165" s="153"/>
      <c r="PCX165" s="153"/>
      <c r="PCY165" s="153"/>
      <c r="PCZ165" s="153"/>
      <c r="PDA165" s="153"/>
      <c r="PDB165" s="153"/>
      <c r="PDC165" s="153"/>
      <c r="PDD165" s="153"/>
      <c r="PDE165" s="153"/>
      <c r="PDF165" s="153"/>
      <c r="PDG165" s="153"/>
      <c r="PDH165" s="153"/>
      <c r="PDI165" s="153"/>
      <c r="PDJ165" s="153"/>
      <c r="PDK165" s="153"/>
      <c r="PDL165" s="153"/>
      <c r="PDM165" s="153"/>
      <c r="PDN165" s="153"/>
      <c r="PDO165" s="153"/>
      <c r="PDP165" s="153"/>
      <c r="PDQ165" s="153"/>
      <c r="PDR165" s="153"/>
      <c r="PDS165" s="153"/>
      <c r="PDT165" s="153"/>
      <c r="PDU165" s="153"/>
      <c r="PDV165" s="153"/>
      <c r="PDW165" s="153"/>
      <c r="PDX165" s="153"/>
      <c r="PDY165" s="153"/>
      <c r="PDZ165" s="153"/>
      <c r="PEA165" s="153"/>
      <c r="PEB165" s="153"/>
      <c r="PEC165" s="153"/>
      <c r="PED165" s="153"/>
      <c r="PEE165" s="153"/>
      <c r="PEF165" s="153"/>
      <c r="PEG165" s="153"/>
      <c r="PEH165" s="153"/>
      <c r="PEI165" s="153"/>
      <c r="PEJ165" s="153"/>
      <c r="PEK165" s="153"/>
      <c r="PEL165" s="153"/>
      <c r="PEM165" s="153"/>
      <c r="PEN165" s="153"/>
      <c r="PEO165" s="153"/>
      <c r="PEP165" s="153"/>
      <c r="PEQ165" s="153"/>
      <c r="PER165" s="153"/>
      <c r="PES165" s="153"/>
      <c r="PET165" s="153"/>
      <c r="PEU165" s="153"/>
      <c r="PEV165" s="153"/>
      <c r="PEW165" s="153"/>
      <c r="PEX165" s="153"/>
      <c r="PEY165" s="153"/>
      <c r="PEZ165" s="153"/>
      <c r="PFA165" s="153"/>
      <c r="PFB165" s="153"/>
      <c r="PFC165" s="153"/>
      <c r="PFD165" s="153"/>
      <c r="PFE165" s="153"/>
      <c r="PFF165" s="153"/>
      <c r="PFG165" s="153"/>
      <c r="PFH165" s="153"/>
      <c r="PFI165" s="153"/>
      <c r="PFJ165" s="153"/>
      <c r="PFK165" s="153"/>
      <c r="PFL165" s="153"/>
      <c r="PFM165" s="153"/>
      <c r="PFN165" s="153"/>
      <c r="PFO165" s="153"/>
      <c r="PFP165" s="153"/>
      <c r="PFQ165" s="153"/>
      <c r="PFR165" s="153"/>
      <c r="PFS165" s="153"/>
      <c r="PFT165" s="153"/>
      <c r="PFU165" s="153"/>
      <c r="PFV165" s="153"/>
      <c r="PFW165" s="153"/>
      <c r="PFX165" s="153"/>
      <c r="PFY165" s="153"/>
      <c r="PFZ165" s="153"/>
      <c r="PGA165" s="153"/>
      <c r="PGB165" s="153"/>
      <c r="PGC165" s="153"/>
      <c r="PGD165" s="153"/>
      <c r="PGE165" s="153"/>
      <c r="PGF165" s="153"/>
      <c r="PGG165" s="153"/>
      <c r="PGH165" s="153"/>
      <c r="PGI165" s="153"/>
      <c r="PGJ165" s="153"/>
      <c r="PGK165" s="153"/>
      <c r="PGL165" s="153"/>
      <c r="PGM165" s="153"/>
      <c r="PGN165" s="153"/>
      <c r="PGO165" s="153"/>
      <c r="PGP165" s="153"/>
      <c r="PGQ165" s="153"/>
      <c r="PGR165" s="153"/>
      <c r="PGS165" s="153"/>
      <c r="PGT165" s="153"/>
      <c r="PGU165" s="153"/>
      <c r="PGV165" s="153"/>
      <c r="PGW165" s="153"/>
      <c r="PGX165" s="153"/>
      <c r="PGY165" s="153"/>
      <c r="PGZ165" s="153"/>
      <c r="PHA165" s="153"/>
      <c r="PHB165" s="153"/>
      <c r="PHC165" s="153"/>
      <c r="PHD165" s="153"/>
      <c r="PHE165" s="153"/>
      <c r="PHF165" s="153"/>
      <c r="PHG165" s="153"/>
      <c r="PHH165" s="153"/>
      <c r="PHI165" s="153"/>
      <c r="PHJ165" s="153"/>
      <c r="PHK165" s="153"/>
      <c r="PHL165" s="153"/>
      <c r="PHM165" s="153"/>
      <c r="PHN165" s="153"/>
      <c r="PHO165" s="153"/>
      <c r="PHP165" s="153"/>
      <c r="PHQ165" s="153"/>
      <c r="PHR165" s="153"/>
      <c r="PHS165" s="153"/>
      <c r="PHT165" s="153"/>
      <c r="PHU165" s="153"/>
      <c r="PHV165" s="153"/>
      <c r="PHW165" s="153"/>
      <c r="PHX165" s="153"/>
      <c r="PHY165" s="153"/>
      <c r="PHZ165" s="153"/>
      <c r="PIA165" s="153"/>
      <c r="PIB165" s="153"/>
      <c r="PIC165" s="153"/>
      <c r="PID165" s="153"/>
      <c r="PIE165" s="153"/>
      <c r="PIF165" s="153"/>
      <c r="PIG165" s="153"/>
      <c r="PIH165" s="153"/>
      <c r="PII165" s="153"/>
      <c r="PIJ165" s="153"/>
      <c r="PIK165" s="153"/>
      <c r="PIL165" s="153"/>
      <c r="PIM165" s="153"/>
      <c r="PIN165" s="153"/>
      <c r="PIO165" s="153"/>
      <c r="PIP165" s="153"/>
      <c r="PIQ165" s="153"/>
      <c r="PIR165" s="153"/>
      <c r="PIS165" s="153"/>
      <c r="PIT165" s="153"/>
      <c r="PIU165" s="153"/>
      <c r="PIV165" s="153"/>
      <c r="PIW165" s="153"/>
      <c r="PIX165" s="153"/>
      <c r="PIY165" s="153"/>
      <c r="PIZ165" s="153"/>
      <c r="PJA165" s="153"/>
      <c r="PJB165" s="153"/>
      <c r="PJC165" s="153"/>
      <c r="PJD165" s="153"/>
      <c r="PJE165" s="153"/>
      <c r="PJF165" s="153"/>
      <c r="PJG165" s="153"/>
      <c r="PJH165" s="153"/>
      <c r="PJI165" s="153"/>
      <c r="PJJ165" s="153"/>
      <c r="PJK165" s="153"/>
      <c r="PJL165" s="153"/>
      <c r="PJM165" s="153"/>
      <c r="PJN165" s="153"/>
      <c r="PJO165" s="153"/>
      <c r="PJP165" s="153"/>
      <c r="PJQ165" s="153"/>
      <c r="PJR165" s="153"/>
      <c r="PJS165" s="153"/>
      <c r="PJT165" s="153"/>
      <c r="PJU165" s="153"/>
      <c r="PJV165" s="153"/>
      <c r="PJW165" s="153"/>
      <c r="PJX165" s="153"/>
      <c r="PJY165" s="153"/>
      <c r="PJZ165" s="153"/>
      <c r="PKA165" s="153"/>
      <c r="PKB165" s="153"/>
      <c r="PKC165" s="153"/>
      <c r="PKD165" s="153"/>
      <c r="PKE165" s="153"/>
      <c r="PKF165" s="153"/>
      <c r="PKG165" s="153"/>
      <c r="PKH165" s="153"/>
      <c r="PKI165" s="153"/>
      <c r="PKJ165" s="153"/>
      <c r="PKK165" s="153"/>
      <c r="PKL165" s="153"/>
      <c r="PKM165" s="153"/>
      <c r="PKN165" s="153"/>
      <c r="PKO165" s="153"/>
      <c r="PKP165" s="153"/>
      <c r="PKQ165" s="153"/>
      <c r="PKR165" s="153"/>
      <c r="PKS165" s="153"/>
      <c r="PKT165" s="153"/>
      <c r="PKU165" s="153"/>
      <c r="PKV165" s="153"/>
      <c r="PKW165" s="153"/>
      <c r="PKX165" s="153"/>
      <c r="PKY165" s="153"/>
      <c r="PKZ165" s="153"/>
      <c r="PLA165" s="153"/>
      <c r="PLB165" s="153"/>
      <c r="PLC165" s="153"/>
      <c r="PLD165" s="153"/>
      <c r="PLE165" s="153"/>
      <c r="PLF165" s="153"/>
      <c r="PLG165" s="153"/>
      <c r="PLH165" s="153"/>
      <c r="PLI165" s="153"/>
      <c r="PLJ165" s="153"/>
      <c r="PLK165" s="153"/>
      <c r="PLL165" s="153"/>
      <c r="PLM165" s="153"/>
      <c r="PLN165" s="153"/>
      <c r="PLO165" s="153"/>
      <c r="PLP165" s="153"/>
      <c r="PLQ165" s="153"/>
      <c r="PLR165" s="153"/>
      <c r="PLS165" s="153"/>
      <c r="PLT165" s="153"/>
      <c r="PLU165" s="153"/>
      <c r="PLV165" s="153"/>
      <c r="PLW165" s="153"/>
      <c r="PLX165" s="153"/>
      <c r="PLY165" s="153"/>
      <c r="PLZ165" s="153"/>
      <c r="PMA165" s="153"/>
      <c r="PMB165" s="153"/>
      <c r="PMC165" s="153"/>
      <c r="PMD165" s="153"/>
      <c r="PME165" s="153"/>
      <c r="PMF165" s="153"/>
      <c r="PMG165" s="153"/>
      <c r="PMH165" s="153"/>
      <c r="PMI165" s="153"/>
      <c r="PMJ165" s="153"/>
      <c r="PMK165" s="153"/>
      <c r="PML165" s="153"/>
      <c r="PMM165" s="153"/>
      <c r="PMN165" s="153"/>
      <c r="PMO165" s="153"/>
      <c r="PMP165" s="153"/>
      <c r="PMQ165" s="153"/>
      <c r="PMR165" s="153"/>
      <c r="PMS165" s="153"/>
      <c r="PMT165" s="153"/>
      <c r="PMU165" s="153"/>
      <c r="PMV165" s="153"/>
      <c r="PMW165" s="153"/>
      <c r="PMX165" s="153"/>
      <c r="PMY165" s="153"/>
      <c r="PMZ165" s="153"/>
      <c r="PNA165" s="153"/>
      <c r="PNB165" s="153"/>
      <c r="PNC165" s="153"/>
      <c r="PND165" s="153"/>
      <c r="PNE165" s="153"/>
      <c r="PNF165" s="153"/>
      <c r="PNG165" s="153"/>
      <c r="PNH165" s="153"/>
      <c r="PNI165" s="153"/>
      <c r="PNJ165" s="153"/>
      <c r="PNK165" s="153"/>
      <c r="PNL165" s="153"/>
      <c r="PNM165" s="153"/>
      <c r="PNN165" s="153"/>
      <c r="PNO165" s="153"/>
      <c r="PNP165" s="153"/>
      <c r="PNQ165" s="153"/>
      <c r="PNR165" s="153"/>
      <c r="PNS165" s="153"/>
      <c r="PNT165" s="153"/>
      <c r="PNU165" s="153"/>
      <c r="PNV165" s="153"/>
      <c r="PNW165" s="153"/>
      <c r="PNX165" s="153"/>
      <c r="PNY165" s="153"/>
      <c r="PNZ165" s="153"/>
      <c r="POA165" s="153"/>
      <c r="POB165" s="153"/>
      <c r="POC165" s="153"/>
      <c r="POD165" s="153"/>
      <c r="POE165" s="153"/>
      <c r="POF165" s="153"/>
      <c r="POG165" s="153"/>
      <c r="POH165" s="153"/>
      <c r="POI165" s="153"/>
      <c r="POJ165" s="153"/>
      <c r="POK165" s="153"/>
      <c r="POL165" s="153"/>
      <c r="POM165" s="153"/>
      <c r="PON165" s="153"/>
      <c r="POO165" s="153"/>
      <c r="POP165" s="153"/>
      <c r="POQ165" s="153"/>
      <c r="POR165" s="153"/>
      <c r="POS165" s="153"/>
      <c r="POT165" s="153"/>
      <c r="POU165" s="153"/>
      <c r="POV165" s="153"/>
      <c r="POW165" s="153"/>
      <c r="POX165" s="153"/>
      <c r="POY165" s="153"/>
      <c r="POZ165" s="153"/>
      <c r="PPA165" s="153"/>
      <c r="PPB165" s="153"/>
      <c r="PPC165" s="153"/>
      <c r="PPD165" s="153"/>
      <c r="PPE165" s="153"/>
      <c r="PPF165" s="153"/>
      <c r="PPG165" s="153"/>
      <c r="PPH165" s="153"/>
      <c r="PPI165" s="153"/>
      <c r="PPJ165" s="153"/>
      <c r="PPK165" s="153"/>
      <c r="PPL165" s="153"/>
      <c r="PPM165" s="153"/>
      <c r="PPN165" s="153"/>
      <c r="PPO165" s="153"/>
      <c r="PPP165" s="153"/>
      <c r="PPQ165" s="153"/>
      <c r="PPR165" s="153"/>
      <c r="PPS165" s="153"/>
      <c r="PPT165" s="153"/>
      <c r="PPU165" s="153"/>
      <c r="PPV165" s="153"/>
      <c r="PPW165" s="153"/>
      <c r="PPX165" s="153"/>
      <c r="PPY165" s="153"/>
      <c r="PPZ165" s="153"/>
      <c r="PQA165" s="153"/>
      <c r="PQB165" s="153"/>
      <c r="PQC165" s="153"/>
      <c r="PQD165" s="153"/>
      <c r="PQE165" s="153"/>
      <c r="PQF165" s="153"/>
      <c r="PQG165" s="153"/>
      <c r="PQH165" s="153"/>
      <c r="PQI165" s="153"/>
      <c r="PQJ165" s="153"/>
      <c r="PQK165" s="153"/>
      <c r="PQL165" s="153"/>
      <c r="PQM165" s="153"/>
      <c r="PQN165" s="153"/>
      <c r="PQO165" s="153"/>
      <c r="PQP165" s="153"/>
      <c r="PQQ165" s="153"/>
      <c r="PQR165" s="153"/>
      <c r="PQS165" s="153"/>
      <c r="PQT165" s="153"/>
      <c r="PQU165" s="153"/>
      <c r="PQV165" s="153"/>
      <c r="PQW165" s="153"/>
      <c r="PQX165" s="153"/>
      <c r="PQY165" s="153"/>
      <c r="PQZ165" s="153"/>
      <c r="PRA165" s="153"/>
      <c r="PRB165" s="153"/>
      <c r="PRC165" s="153"/>
      <c r="PRD165" s="153"/>
      <c r="PRE165" s="153"/>
      <c r="PRF165" s="153"/>
      <c r="PRG165" s="153"/>
      <c r="PRH165" s="153"/>
      <c r="PRI165" s="153"/>
      <c r="PRJ165" s="153"/>
      <c r="PRK165" s="153"/>
      <c r="PRL165" s="153"/>
      <c r="PRM165" s="153"/>
      <c r="PRN165" s="153"/>
      <c r="PRO165" s="153"/>
      <c r="PRP165" s="153"/>
      <c r="PRQ165" s="153"/>
      <c r="PRR165" s="153"/>
      <c r="PRS165" s="153"/>
      <c r="PRT165" s="153"/>
      <c r="PRU165" s="153"/>
      <c r="PRV165" s="153"/>
      <c r="PRW165" s="153"/>
      <c r="PRX165" s="153"/>
      <c r="PRY165" s="153"/>
      <c r="PRZ165" s="153"/>
      <c r="PSA165" s="153"/>
      <c r="PSB165" s="153"/>
      <c r="PSC165" s="153"/>
      <c r="PSD165" s="153"/>
      <c r="PSE165" s="153"/>
      <c r="PSF165" s="153"/>
      <c r="PSG165" s="153"/>
      <c r="PSH165" s="153"/>
      <c r="PSI165" s="153"/>
      <c r="PSJ165" s="153"/>
      <c r="PSK165" s="153"/>
      <c r="PSL165" s="153"/>
      <c r="PSM165" s="153"/>
      <c r="PSN165" s="153"/>
      <c r="PSO165" s="153"/>
      <c r="PSP165" s="153"/>
      <c r="PSQ165" s="153"/>
      <c r="PSR165" s="153"/>
      <c r="PSS165" s="153"/>
      <c r="PST165" s="153"/>
      <c r="PSU165" s="153"/>
      <c r="PSV165" s="153"/>
      <c r="PSW165" s="153"/>
      <c r="PSX165" s="153"/>
      <c r="PSY165" s="153"/>
      <c r="PSZ165" s="153"/>
      <c r="PTA165" s="153"/>
      <c r="PTB165" s="153"/>
      <c r="PTC165" s="153"/>
      <c r="PTD165" s="153"/>
      <c r="PTE165" s="153"/>
      <c r="PTF165" s="153"/>
      <c r="PTG165" s="153"/>
      <c r="PTH165" s="153"/>
      <c r="PTI165" s="153"/>
      <c r="PTJ165" s="153"/>
      <c r="PTK165" s="153"/>
      <c r="PTL165" s="153"/>
      <c r="PTM165" s="153"/>
      <c r="PTN165" s="153"/>
      <c r="PTO165" s="153"/>
      <c r="PTP165" s="153"/>
      <c r="PTQ165" s="153"/>
      <c r="PTR165" s="153"/>
      <c r="PTS165" s="153"/>
      <c r="PTT165" s="153"/>
      <c r="PTU165" s="153"/>
      <c r="PTV165" s="153"/>
      <c r="PTW165" s="153"/>
      <c r="PTX165" s="153"/>
      <c r="PTY165" s="153"/>
      <c r="PTZ165" s="153"/>
      <c r="PUA165" s="153"/>
      <c r="PUB165" s="153"/>
      <c r="PUC165" s="153"/>
      <c r="PUD165" s="153"/>
      <c r="PUE165" s="153"/>
      <c r="PUF165" s="153"/>
      <c r="PUG165" s="153"/>
      <c r="PUH165" s="153"/>
      <c r="PUI165" s="153"/>
      <c r="PUJ165" s="153"/>
      <c r="PUK165" s="153"/>
      <c r="PUL165" s="153"/>
      <c r="PUM165" s="153"/>
      <c r="PUN165" s="153"/>
      <c r="PUO165" s="153"/>
      <c r="PUP165" s="153"/>
      <c r="PUQ165" s="153"/>
      <c r="PUR165" s="153"/>
      <c r="PUS165" s="153"/>
      <c r="PUT165" s="153"/>
      <c r="PUU165" s="153"/>
      <c r="PUV165" s="153"/>
      <c r="PUW165" s="153"/>
      <c r="PUX165" s="153"/>
      <c r="PUY165" s="153"/>
      <c r="PUZ165" s="153"/>
      <c r="PVA165" s="153"/>
      <c r="PVB165" s="153"/>
      <c r="PVC165" s="153"/>
      <c r="PVD165" s="153"/>
      <c r="PVE165" s="153"/>
      <c r="PVF165" s="153"/>
      <c r="PVG165" s="153"/>
      <c r="PVH165" s="153"/>
      <c r="PVI165" s="153"/>
      <c r="PVJ165" s="153"/>
      <c r="PVK165" s="153"/>
      <c r="PVL165" s="153"/>
      <c r="PVM165" s="153"/>
      <c r="PVN165" s="153"/>
      <c r="PVO165" s="153"/>
      <c r="PVP165" s="153"/>
      <c r="PVQ165" s="153"/>
      <c r="PVR165" s="153"/>
      <c r="PVS165" s="153"/>
      <c r="PVT165" s="153"/>
      <c r="PVU165" s="153"/>
      <c r="PVV165" s="153"/>
      <c r="PVW165" s="153"/>
      <c r="PVX165" s="153"/>
      <c r="PVY165" s="153"/>
      <c r="PVZ165" s="153"/>
      <c r="PWA165" s="153"/>
      <c r="PWB165" s="153"/>
      <c r="PWC165" s="153"/>
      <c r="PWD165" s="153"/>
      <c r="PWE165" s="153"/>
      <c r="PWF165" s="153"/>
      <c r="PWG165" s="153"/>
      <c r="PWH165" s="153"/>
      <c r="PWI165" s="153"/>
      <c r="PWJ165" s="153"/>
      <c r="PWK165" s="153"/>
      <c r="PWL165" s="153"/>
      <c r="PWM165" s="153"/>
      <c r="PWN165" s="153"/>
      <c r="PWO165" s="153"/>
      <c r="PWP165" s="153"/>
      <c r="PWQ165" s="153"/>
      <c r="PWR165" s="153"/>
      <c r="PWS165" s="153"/>
      <c r="PWT165" s="153"/>
      <c r="PWU165" s="153"/>
      <c r="PWV165" s="153"/>
      <c r="PWW165" s="153"/>
      <c r="PWX165" s="153"/>
      <c r="PWY165" s="153"/>
      <c r="PWZ165" s="153"/>
      <c r="PXA165" s="153"/>
      <c r="PXB165" s="153"/>
      <c r="PXC165" s="153"/>
      <c r="PXD165" s="153"/>
      <c r="PXE165" s="153"/>
      <c r="PXF165" s="153"/>
      <c r="PXG165" s="153"/>
      <c r="PXH165" s="153"/>
      <c r="PXI165" s="153"/>
      <c r="PXJ165" s="153"/>
      <c r="PXK165" s="153"/>
      <c r="PXL165" s="153"/>
      <c r="PXM165" s="153"/>
      <c r="PXN165" s="153"/>
      <c r="PXO165" s="153"/>
      <c r="PXP165" s="153"/>
      <c r="PXQ165" s="153"/>
      <c r="PXR165" s="153"/>
      <c r="PXS165" s="153"/>
      <c r="PXT165" s="153"/>
      <c r="PXU165" s="153"/>
      <c r="PXV165" s="153"/>
      <c r="PXW165" s="153"/>
      <c r="PXX165" s="153"/>
      <c r="PXY165" s="153"/>
      <c r="PXZ165" s="153"/>
      <c r="PYA165" s="153"/>
      <c r="PYB165" s="153"/>
      <c r="PYC165" s="153"/>
      <c r="PYD165" s="153"/>
      <c r="PYE165" s="153"/>
      <c r="PYF165" s="153"/>
      <c r="PYG165" s="153"/>
      <c r="PYH165" s="153"/>
      <c r="PYI165" s="153"/>
      <c r="PYJ165" s="153"/>
      <c r="PYK165" s="153"/>
      <c r="PYL165" s="153"/>
      <c r="PYM165" s="153"/>
      <c r="PYN165" s="153"/>
      <c r="PYO165" s="153"/>
      <c r="PYP165" s="153"/>
      <c r="PYQ165" s="153"/>
      <c r="PYR165" s="153"/>
      <c r="PYS165" s="153"/>
      <c r="PYT165" s="153"/>
      <c r="PYU165" s="153"/>
      <c r="PYV165" s="153"/>
      <c r="PYW165" s="153"/>
      <c r="PYX165" s="153"/>
      <c r="PYY165" s="153"/>
      <c r="PYZ165" s="153"/>
      <c r="PZA165" s="153"/>
      <c r="PZB165" s="153"/>
      <c r="PZC165" s="153"/>
      <c r="PZD165" s="153"/>
      <c r="PZE165" s="153"/>
      <c r="PZF165" s="153"/>
      <c r="PZG165" s="153"/>
      <c r="PZH165" s="153"/>
      <c r="PZI165" s="153"/>
      <c r="PZJ165" s="153"/>
      <c r="PZK165" s="153"/>
      <c r="PZL165" s="153"/>
      <c r="PZM165" s="153"/>
      <c r="PZN165" s="153"/>
      <c r="PZO165" s="153"/>
      <c r="PZP165" s="153"/>
      <c r="PZQ165" s="153"/>
      <c r="PZR165" s="153"/>
      <c r="PZS165" s="153"/>
      <c r="PZT165" s="153"/>
      <c r="PZU165" s="153"/>
      <c r="PZV165" s="153"/>
      <c r="PZW165" s="153"/>
      <c r="PZX165" s="153"/>
      <c r="PZY165" s="153"/>
      <c r="PZZ165" s="153"/>
      <c r="QAA165" s="153"/>
      <c r="QAB165" s="153"/>
      <c r="QAC165" s="153"/>
      <c r="QAD165" s="153"/>
      <c r="QAE165" s="153"/>
      <c r="QAF165" s="153"/>
      <c r="QAG165" s="153"/>
      <c r="QAH165" s="153"/>
      <c r="QAI165" s="153"/>
      <c r="QAJ165" s="153"/>
      <c r="QAK165" s="153"/>
      <c r="QAL165" s="153"/>
      <c r="QAM165" s="153"/>
      <c r="QAN165" s="153"/>
      <c r="QAO165" s="153"/>
      <c r="QAP165" s="153"/>
      <c r="QAQ165" s="153"/>
      <c r="QAR165" s="153"/>
      <c r="QAS165" s="153"/>
      <c r="QAT165" s="153"/>
      <c r="QAU165" s="153"/>
      <c r="QAV165" s="153"/>
      <c r="QAW165" s="153"/>
      <c r="QAX165" s="153"/>
      <c r="QAY165" s="153"/>
      <c r="QAZ165" s="153"/>
      <c r="QBA165" s="153"/>
      <c r="QBB165" s="153"/>
      <c r="QBC165" s="153"/>
      <c r="QBD165" s="153"/>
      <c r="QBE165" s="153"/>
      <c r="QBF165" s="153"/>
      <c r="QBG165" s="153"/>
      <c r="QBH165" s="153"/>
      <c r="QBI165" s="153"/>
      <c r="QBJ165" s="153"/>
      <c r="QBK165" s="153"/>
      <c r="QBL165" s="153"/>
      <c r="QBM165" s="153"/>
      <c r="QBN165" s="153"/>
      <c r="QBO165" s="153"/>
      <c r="QBP165" s="153"/>
      <c r="QBQ165" s="153"/>
      <c r="QBR165" s="153"/>
      <c r="QBS165" s="153"/>
      <c r="QBT165" s="153"/>
      <c r="QBU165" s="153"/>
      <c r="QBV165" s="153"/>
      <c r="QBW165" s="153"/>
      <c r="QBX165" s="153"/>
      <c r="QBY165" s="153"/>
      <c r="QBZ165" s="153"/>
      <c r="QCA165" s="153"/>
      <c r="QCB165" s="153"/>
      <c r="QCC165" s="153"/>
      <c r="QCD165" s="153"/>
      <c r="QCE165" s="153"/>
      <c r="QCF165" s="153"/>
      <c r="QCG165" s="153"/>
      <c r="QCH165" s="153"/>
      <c r="QCI165" s="153"/>
      <c r="QCJ165" s="153"/>
      <c r="QCK165" s="153"/>
      <c r="QCL165" s="153"/>
      <c r="QCM165" s="153"/>
      <c r="QCN165" s="153"/>
      <c r="QCO165" s="153"/>
      <c r="QCP165" s="153"/>
      <c r="QCQ165" s="153"/>
      <c r="QCR165" s="153"/>
      <c r="QCS165" s="153"/>
      <c r="QCT165" s="153"/>
      <c r="QCU165" s="153"/>
      <c r="QCV165" s="153"/>
      <c r="QCW165" s="153"/>
      <c r="QCX165" s="153"/>
      <c r="QCY165" s="153"/>
      <c r="QCZ165" s="153"/>
      <c r="QDA165" s="153"/>
      <c r="QDB165" s="153"/>
      <c r="QDC165" s="153"/>
      <c r="QDD165" s="153"/>
      <c r="QDE165" s="153"/>
      <c r="QDF165" s="153"/>
      <c r="QDG165" s="153"/>
      <c r="QDH165" s="153"/>
      <c r="QDI165" s="153"/>
      <c r="QDJ165" s="153"/>
      <c r="QDK165" s="153"/>
      <c r="QDL165" s="153"/>
      <c r="QDM165" s="153"/>
      <c r="QDN165" s="153"/>
      <c r="QDO165" s="153"/>
      <c r="QDP165" s="153"/>
      <c r="QDQ165" s="153"/>
      <c r="QDR165" s="153"/>
      <c r="QDS165" s="153"/>
      <c r="QDT165" s="153"/>
      <c r="QDU165" s="153"/>
      <c r="QDV165" s="153"/>
      <c r="QDW165" s="153"/>
      <c r="QDX165" s="153"/>
      <c r="QDY165" s="153"/>
      <c r="QDZ165" s="153"/>
      <c r="QEA165" s="153"/>
      <c r="QEB165" s="153"/>
      <c r="QEC165" s="153"/>
      <c r="QED165" s="153"/>
      <c r="QEE165" s="153"/>
      <c r="QEF165" s="153"/>
      <c r="QEG165" s="153"/>
      <c r="QEH165" s="153"/>
      <c r="QEI165" s="153"/>
      <c r="QEJ165" s="153"/>
      <c r="QEK165" s="153"/>
      <c r="QEL165" s="153"/>
      <c r="QEM165" s="153"/>
      <c r="QEN165" s="153"/>
      <c r="QEO165" s="153"/>
      <c r="QEP165" s="153"/>
      <c r="QEQ165" s="153"/>
      <c r="QER165" s="153"/>
      <c r="QES165" s="153"/>
      <c r="QET165" s="153"/>
      <c r="QEU165" s="153"/>
      <c r="QEV165" s="153"/>
      <c r="QEW165" s="153"/>
      <c r="QEX165" s="153"/>
      <c r="QEY165" s="153"/>
      <c r="QEZ165" s="153"/>
      <c r="QFA165" s="153"/>
      <c r="QFB165" s="153"/>
      <c r="QFC165" s="153"/>
      <c r="QFD165" s="153"/>
      <c r="QFE165" s="153"/>
      <c r="QFF165" s="153"/>
      <c r="QFG165" s="153"/>
      <c r="QFH165" s="153"/>
      <c r="QFI165" s="153"/>
      <c r="QFJ165" s="153"/>
      <c r="QFK165" s="153"/>
      <c r="QFL165" s="153"/>
      <c r="QFM165" s="153"/>
      <c r="QFN165" s="153"/>
      <c r="QFO165" s="153"/>
      <c r="QFP165" s="153"/>
      <c r="QFQ165" s="153"/>
      <c r="QFR165" s="153"/>
      <c r="QFS165" s="153"/>
      <c r="QFT165" s="153"/>
      <c r="QFU165" s="153"/>
      <c r="QFV165" s="153"/>
      <c r="QFW165" s="153"/>
      <c r="QFX165" s="153"/>
      <c r="QFY165" s="153"/>
      <c r="QFZ165" s="153"/>
      <c r="QGA165" s="153"/>
      <c r="QGB165" s="153"/>
      <c r="QGC165" s="153"/>
      <c r="QGD165" s="153"/>
      <c r="QGE165" s="153"/>
      <c r="QGF165" s="153"/>
      <c r="QGG165" s="153"/>
      <c r="QGH165" s="153"/>
      <c r="QGI165" s="153"/>
      <c r="QGJ165" s="153"/>
      <c r="QGK165" s="153"/>
      <c r="QGL165" s="153"/>
      <c r="QGM165" s="153"/>
      <c r="QGN165" s="153"/>
      <c r="QGO165" s="153"/>
      <c r="QGP165" s="153"/>
      <c r="QGQ165" s="153"/>
      <c r="QGR165" s="153"/>
      <c r="QGS165" s="153"/>
      <c r="QGT165" s="153"/>
      <c r="QGU165" s="153"/>
      <c r="QGV165" s="153"/>
      <c r="QGW165" s="153"/>
      <c r="QGX165" s="153"/>
      <c r="QGY165" s="153"/>
      <c r="QGZ165" s="153"/>
      <c r="QHA165" s="153"/>
      <c r="QHB165" s="153"/>
      <c r="QHC165" s="153"/>
      <c r="QHD165" s="153"/>
      <c r="QHE165" s="153"/>
      <c r="QHF165" s="153"/>
      <c r="QHG165" s="153"/>
      <c r="QHH165" s="153"/>
      <c r="QHI165" s="153"/>
      <c r="QHJ165" s="153"/>
      <c r="QHK165" s="153"/>
      <c r="QHL165" s="153"/>
      <c r="QHM165" s="153"/>
      <c r="QHN165" s="153"/>
      <c r="QHO165" s="153"/>
      <c r="QHP165" s="153"/>
      <c r="QHQ165" s="153"/>
      <c r="QHR165" s="153"/>
      <c r="QHS165" s="153"/>
      <c r="QHT165" s="153"/>
      <c r="QHU165" s="153"/>
      <c r="QHV165" s="153"/>
      <c r="QHW165" s="153"/>
      <c r="QHX165" s="153"/>
      <c r="QHY165" s="153"/>
      <c r="QHZ165" s="153"/>
      <c r="QIA165" s="153"/>
      <c r="QIB165" s="153"/>
      <c r="QIC165" s="153"/>
      <c r="QID165" s="153"/>
      <c r="QIE165" s="153"/>
      <c r="QIF165" s="153"/>
      <c r="QIG165" s="153"/>
      <c r="QIH165" s="153"/>
      <c r="QII165" s="153"/>
      <c r="QIJ165" s="153"/>
      <c r="QIK165" s="153"/>
      <c r="QIL165" s="153"/>
      <c r="QIM165" s="153"/>
      <c r="QIN165" s="153"/>
      <c r="QIO165" s="153"/>
      <c r="QIP165" s="153"/>
      <c r="QIQ165" s="153"/>
      <c r="QIR165" s="153"/>
      <c r="QIS165" s="153"/>
      <c r="QIT165" s="153"/>
      <c r="QIU165" s="153"/>
      <c r="QIV165" s="153"/>
      <c r="QIW165" s="153"/>
      <c r="QIX165" s="153"/>
      <c r="QIY165" s="153"/>
      <c r="QIZ165" s="153"/>
      <c r="QJA165" s="153"/>
      <c r="QJB165" s="153"/>
      <c r="QJC165" s="153"/>
      <c r="QJD165" s="153"/>
      <c r="QJE165" s="153"/>
      <c r="QJF165" s="153"/>
      <c r="QJG165" s="153"/>
      <c r="QJH165" s="153"/>
      <c r="QJI165" s="153"/>
      <c r="QJJ165" s="153"/>
      <c r="QJK165" s="153"/>
      <c r="QJL165" s="153"/>
      <c r="QJM165" s="153"/>
      <c r="QJN165" s="153"/>
      <c r="QJO165" s="153"/>
      <c r="QJP165" s="153"/>
      <c r="QJQ165" s="153"/>
      <c r="QJR165" s="153"/>
      <c r="QJS165" s="153"/>
      <c r="QJT165" s="153"/>
      <c r="QJU165" s="153"/>
      <c r="QJV165" s="153"/>
      <c r="QJW165" s="153"/>
      <c r="QJX165" s="153"/>
      <c r="QJY165" s="153"/>
      <c r="QJZ165" s="153"/>
      <c r="QKA165" s="153"/>
      <c r="QKB165" s="153"/>
      <c r="QKC165" s="153"/>
      <c r="QKD165" s="153"/>
      <c r="QKE165" s="153"/>
      <c r="QKF165" s="153"/>
      <c r="QKG165" s="153"/>
      <c r="QKH165" s="153"/>
      <c r="QKI165" s="153"/>
      <c r="QKJ165" s="153"/>
      <c r="QKK165" s="153"/>
      <c r="QKL165" s="153"/>
      <c r="QKM165" s="153"/>
      <c r="QKN165" s="153"/>
      <c r="QKO165" s="153"/>
      <c r="QKP165" s="153"/>
      <c r="QKQ165" s="153"/>
      <c r="QKR165" s="153"/>
      <c r="QKS165" s="153"/>
      <c r="QKT165" s="153"/>
      <c r="QKU165" s="153"/>
      <c r="QKV165" s="153"/>
      <c r="QKW165" s="153"/>
      <c r="QKX165" s="153"/>
      <c r="QKY165" s="153"/>
      <c r="QKZ165" s="153"/>
      <c r="QLA165" s="153"/>
      <c r="QLB165" s="153"/>
      <c r="QLC165" s="153"/>
      <c r="QLD165" s="153"/>
      <c r="QLE165" s="153"/>
      <c r="QLF165" s="153"/>
      <c r="QLG165" s="153"/>
      <c r="QLH165" s="153"/>
      <c r="QLI165" s="153"/>
      <c r="QLJ165" s="153"/>
      <c r="QLK165" s="153"/>
      <c r="QLL165" s="153"/>
      <c r="QLM165" s="153"/>
      <c r="QLN165" s="153"/>
      <c r="QLO165" s="153"/>
      <c r="QLP165" s="153"/>
      <c r="QLQ165" s="153"/>
      <c r="QLR165" s="153"/>
      <c r="QLS165" s="153"/>
      <c r="QLT165" s="153"/>
      <c r="QLU165" s="153"/>
      <c r="QLV165" s="153"/>
      <c r="QLW165" s="153"/>
      <c r="QLX165" s="153"/>
      <c r="QLY165" s="153"/>
      <c r="QLZ165" s="153"/>
      <c r="QMA165" s="153"/>
      <c r="QMB165" s="153"/>
      <c r="QMC165" s="153"/>
      <c r="QMD165" s="153"/>
      <c r="QME165" s="153"/>
      <c r="QMF165" s="153"/>
      <c r="QMG165" s="153"/>
      <c r="QMH165" s="153"/>
      <c r="QMI165" s="153"/>
      <c r="QMJ165" s="153"/>
      <c r="QMK165" s="153"/>
      <c r="QML165" s="153"/>
      <c r="QMM165" s="153"/>
      <c r="QMN165" s="153"/>
      <c r="QMO165" s="153"/>
      <c r="QMP165" s="153"/>
      <c r="QMQ165" s="153"/>
      <c r="QMR165" s="153"/>
      <c r="QMS165" s="153"/>
      <c r="QMT165" s="153"/>
      <c r="QMU165" s="153"/>
      <c r="QMV165" s="153"/>
      <c r="QMW165" s="153"/>
      <c r="QMX165" s="153"/>
      <c r="QMY165" s="153"/>
      <c r="QMZ165" s="153"/>
      <c r="QNA165" s="153"/>
      <c r="QNB165" s="153"/>
      <c r="QNC165" s="153"/>
      <c r="QND165" s="153"/>
      <c r="QNE165" s="153"/>
      <c r="QNF165" s="153"/>
      <c r="QNG165" s="153"/>
      <c r="QNH165" s="153"/>
      <c r="QNI165" s="153"/>
      <c r="QNJ165" s="153"/>
      <c r="QNK165" s="153"/>
      <c r="QNL165" s="153"/>
      <c r="QNM165" s="153"/>
      <c r="QNN165" s="153"/>
      <c r="QNO165" s="153"/>
      <c r="QNP165" s="153"/>
      <c r="QNQ165" s="153"/>
      <c r="QNR165" s="153"/>
      <c r="QNS165" s="153"/>
      <c r="QNT165" s="153"/>
      <c r="QNU165" s="153"/>
      <c r="QNV165" s="153"/>
      <c r="QNW165" s="153"/>
      <c r="QNX165" s="153"/>
      <c r="QNY165" s="153"/>
      <c r="QNZ165" s="153"/>
      <c r="QOA165" s="153"/>
      <c r="QOB165" s="153"/>
      <c r="QOC165" s="153"/>
      <c r="QOD165" s="153"/>
      <c r="QOE165" s="153"/>
      <c r="QOF165" s="153"/>
      <c r="QOG165" s="153"/>
      <c r="QOH165" s="153"/>
      <c r="QOI165" s="153"/>
      <c r="QOJ165" s="153"/>
      <c r="QOK165" s="153"/>
      <c r="QOL165" s="153"/>
      <c r="QOM165" s="153"/>
      <c r="QON165" s="153"/>
      <c r="QOO165" s="153"/>
      <c r="QOP165" s="153"/>
      <c r="QOQ165" s="153"/>
      <c r="QOR165" s="153"/>
      <c r="QOS165" s="153"/>
      <c r="QOT165" s="153"/>
      <c r="QOU165" s="153"/>
      <c r="QOV165" s="153"/>
      <c r="QOW165" s="153"/>
      <c r="QOX165" s="153"/>
      <c r="QOY165" s="153"/>
      <c r="QOZ165" s="153"/>
      <c r="QPA165" s="153"/>
      <c r="QPB165" s="153"/>
      <c r="QPC165" s="153"/>
      <c r="QPD165" s="153"/>
      <c r="QPE165" s="153"/>
      <c r="QPF165" s="153"/>
      <c r="QPG165" s="153"/>
      <c r="QPH165" s="153"/>
      <c r="QPI165" s="153"/>
      <c r="QPJ165" s="153"/>
      <c r="QPK165" s="153"/>
      <c r="QPL165" s="153"/>
      <c r="QPM165" s="153"/>
      <c r="QPN165" s="153"/>
      <c r="QPO165" s="153"/>
      <c r="QPP165" s="153"/>
      <c r="QPQ165" s="153"/>
      <c r="QPR165" s="153"/>
      <c r="QPS165" s="153"/>
      <c r="QPT165" s="153"/>
      <c r="QPU165" s="153"/>
      <c r="QPV165" s="153"/>
      <c r="QPW165" s="153"/>
      <c r="QPX165" s="153"/>
      <c r="QPY165" s="153"/>
      <c r="QPZ165" s="153"/>
      <c r="QQA165" s="153"/>
      <c r="QQB165" s="153"/>
      <c r="QQC165" s="153"/>
      <c r="QQD165" s="153"/>
      <c r="QQE165" s="153"/>
      <c r="QQF165" s="153"/>
      <c r="QQG165" s="153"/>
      <c r="QQH165" s="153"/>
      <c r="QQI165" s="153"/>
      <c r="QQJ165" s="153"/>
      <c r="QQK165" s="153"/>
      <c r="QQL165" s="153"/>
      <c r="QQM165" s="153"/>
      <c r="QQN165" s="153"/>
      <c r="QQO165" s="153"/>
      <c r="QQP165" s="153"/>
      <c r="QQQ165" s="153"/>
      <c r="QQR165" s="153"/>
      <c r="QQS165" s="153"/>
      <c r="QQT165" s="153"/>
      <c r="QQU165" s="153"/>
      <c r="QQV165" s="153"/>
      <c r="QQW165" s="153"/>
      <c r="QQX165" s="153"/>
      <c r="QQY165" s="153"/>
      <c r="QQZ165" s="153"/>
      <c r="QRA165" s="153"/>
      <c r="QRB165" s="153"/>
      <c r="QRC165" s="153"/>
      <c r="QRD165" s="153"/>
      <c r="QRE165" s="153"/>
      <c r="QRF165" s="153"/>
      <c r="QRG165" s="153"/>
      <c r="QRH165" s="153"/>
      <c r="QRI165" s="153"/>
      <c r="QRJ165" s="153"/>
      <c r="QRK165" s="153"/>
      <c r="QRL165" s="153"/>
      <c r="QRM165" s="153"/>
      <c r="QRN165" s="153"/>
      <c r="QRO165" s="153"/>
      <c r="QRP165" s="153"/>
      <c r="QRQ165" s="153"/>
      <c r="QRR165" s="153"/>
      <c r="QRS165" s="153"/>
      <c r="QRT165" s="153"/>
      <c r="QRU165" s="153"/>
      <c r="QRV165" s="153"/>
      <c r="QRW165" s="153"/>
      <c r="QRX165" s="153"/>
      <c r="QRY165" s="153"/>
      <c r="QRZ165" s="153"/>
      <c r="QSA165" s="153"/>
      <c r="QSB165" s="153"/>
      <c r="QSC165" s="153"/>
      <c r="QSD165" s="153"/>
      <c r="QSE165" s="153"/>
      <c r="QSF165" s="153"/>
      <c r="QSG165" s="153"/>
      <c r="QSH165" s="153"/>
      <c r="QSI165" s="153"/>
      <c r="QSJ165" s="153"/>
      <c r="QSK165" s="153"/>
      <c r="QSL165" s="153"/>
      <c r="QSM165" s="153"/>
      <c r="QSN165" s="153"/>
      <c r="QSO165" s="153"/>
      <c r="QSP165" s="153"/>
      <c r="QSQ165" s="153"/>
      <c r="QSR165" s="153"/>
      <c r="QSS165" s="153"/>
      <c r="QST165" s="153"/>
      <c r="QSU165" s="153"/>
      <c r="QSV165" s="153"/>
      <c r="QSW165" s="153"/>
      <c r="QSX165" s="153"/>
      <c r="QSY165" s="153"/>
      <c r="QSZ165" s="153"/>
      <c r="QTA165" s="153"/>
      <c r="QTB165" s="153"/>
      <c r="QTC165" s="153"/>
      <c r="QTD165" s="153"/>
      <c r="QTE165" s="153"/>
      <c r="QTF165" s="153"/>
      <c r="QTG165" s="153"/>
      <c r="QTH165" s="153"/>
      <c r="QTI165" s="153"/>
      <c r="QTJ165" s="153"/>
      <c r="QTK165" s="153"/>
      <c r="QTL165" s="153"/>
      <c r="QTM165" s="153"/>
      <c r="QTN165" s="153"/>
      <c r="QTO165" s="153"/>
      <c r="QTP165" s="153"/>
      <c r="QTQ165" s="153"/>
      <c r="QTR165" s="153"/>
      <c r="QTS165" s="153"/>
      <c r="QTT165" s="153"/>
      <c r="QTU165" s="153"/>
      <c r="QTV165" s="153"/>
      <c r="QTW165" s="153"/>
      <c r="QTX165" s="153"/>
      <c r="QTY165" s="153"/>
      <c r="QTZ165" s="153"/>
      <c r="QUA165" s="153"/>
      <c r="QUB165" s="153"/>
      <c r="QUC165" s="153"/>
      <c r="QUD165" s="153"/>
      <c r="QUE165" s="153"/>
      <c r="QUF165" s="153"/>
      <c r="QUG165" s="153"/>
      <c r="QUH165" s="153"/>
      <c r="QUI165" s="153"/>
      <c r="QUJ165" s="153"/>
      <c r="QUK165" s="153"/>
      <c r="QUL165" s="153"/>
      <c r="QUM165" s="153"/>
      <c r="QUN165" s="153"/>
      <c r="QUO165" s="153"/>
      <c r="QUP165" s="153"/>
      <c r="QUQ165" s="153"/>
      <c r="QUR165" s="153"/>
      <c r="QUS165" s="153"/>
      <c r="QUT165" s="153"/>
      <c r="QUU165" s="153"/>
      <c r="QUV165" s="153"/>
      <c r="QUW165" s="153"/>
      <c r="QUX165" s="153"/>
      <c r="QUY165" s="153"/>
      <c r="QUZ165" s="153"/>
      <c r="QVA165" s="153"/>
      <c r="QVB165" s="153"/>
      <c r="QVC165" s="153"/>
      <c r="QVD165" s="153"/>
      <c r="QVE165" s="153"/>
      <c r="QVF165" s="153"/>
      <c r="QVG165" s="153"/>
      <c r="QVH165" s="153"/>
      <c r="QVI165" s="153"/>
      <c r="QVJ165" s="153"/>
      <c r="QVK165" s="153"/>
      <c r="QVL165" s="153"/>
      <c r="QVM165" s="153"/>
      <c r="QVN165" s="153"/>
      <c r="QVO165" s="153"/>
      <c r="QVP165" s="153"/>
      <c r="QVQ165" s="153"/>
      <c r="QVR165" s="153"/>
      <c r="QVS165" s="153"/>
      <c r="QVT165" s="153"/>
      <c r="QVU165" s="153"/>
      <c r="QVV165" s="153"/>
      <c r="QVW165" s="153"/>
      <c r="QVX165" s="153"/>
      <c r="QVY165" s="153"/>
      <c r="QVZ165" s="153"/>
      <c r="QWA165" s="153"/>
      <c r="QWB165" s="153"/>
      <c r="QWC165" s="153"/>
      <c r="QWD165" s="153"/>
      <c r="QWE165" s="153"/>
      <c r="QWF165" s="153"/>
      <c r="QWG165" s="153"/>
      <c r="QWH165" s="153"/>
      <c r="QWI165" s="153"/>
      <c r="QWJ165" s="153"/>
      <c r="QWK165" s="153"/>
      <c r="QWL165" s="153"/>
      <c r="QWM165" s="153"/>
      <c r="QWN165" s="153"/>
      <c r="QWO165" s="153"/>
      <c r="QWP165" s="153"/>
      <c r="QWQ165" s="153"/>
      <c r="QWR165" s="153"/>
      <c r="QWS165" s="153"/>
      <c r="QWT165" s="153"/>
      <c r="QWU165" s="153"/>
      <c r="QWV165" s="153"/>
      <c r="QWW165" s="153"/>
      <c r="QWX165" s="153"/>
      <c r="QWY165" s="153"/>
      <c r="QWZ165" s="153"/>
      <c r="QXA165" s="153"/>
      <c r="QXB165" s="153"/>
      <c r="QXC165" s="153"/>
      <c r="QXD165" s="153"/>
      <c r="QXE165" s="153"/>
      <c r="QXF165" s="153"/>
      <c r="QXG165" s="153"/>
      <c r="QXH165" s="153"/>
      <c r="QXI165" s="153"/>
      <c r="QXJ165" s="153"/>
      <c r="QXK165" s="153"/>
      <c r="QXL165" s="153"/>
      <c r="QXM165" s="153"/>
      <c r="QXN165" s="153"/>
      <c r="QXO165" s="153"/>
      <c r="QXP165" s="153"/>
      <c r="QXQ165" s="153"/>
      <c r="QXR165" s="153"/>
      <c r="QXS165" s="153"/>
      <c r="QXT165" s="153"/>
      <c r="QXU165" s="153"/>
      <c r="QXV165" s="153"/>
      <c r="QXW165" s="153"/>
      <c r="QXX165" s="153"/>
      <c r="QXY165" s="153"/>
      <c r="QXZ165" s="153"/>
      <c r="QYA165" s="153"/>
      <c r="QYB165" s="153"/>
      <c r="QYC165" s="153"/>
      <c r="QYD165" s="153"/>
      <c r="QYE165" s="153"/>
      <c r="QYF165" s="153"/>
      <c r="QYG165" s="153"/>
      <c r="QYH165" s="153"/>
      <c r="QYI165" s="153"/>
      <c r="QYJ165" s="153"/>
      <c r="QYK165" s="153"/>
      <c r="QYL165" s="153"/>
      <c r="QYM165" s="153"/>
      <c r="QYN165" s="153"/>
      <c r="QYO165" s="153"/>
      <c r="QYP165" s="153"/>
      <c r="QYQ165" s="153"/>
      <c r="QYR165" s="153"/>
      <c r="QYS165" s="153"/>
      <c r="QYT165" s="153"/>
      <c r="QYU165" s="153"/>
      <c r="QYV165" s="153"/>
      <c r="QYW165" s="153"/>
      <c r="QYX165" s="153"/>
      <c r="QYY165" s="153"/>
      <c r="QYZ165" s="153"/>
      <c r="QZA165" s="153"/>
      <c r="QZB165" s="153"/>
      <c r="QZC165" s="153"/>
      <c r="QZD165" s="153"/>
      <c r="QZE165" s="153"/>
      <c r="QZF165" s="153"/>
      <c r="QZG165" s="153"/>
      <c r="QZH165" s="153"/>
      <c r="QZI165" s="153"/>
      <c r="QZJ165" s="153"/>
      <c r="QZK165" s="153"/>
      <c r="QZL165" s="153"/>
      <c r="QZM165" s="153"/>
      <c r="QZN165" s="153"/>
      <c r="QZO165" s="153"/>
      <c r="QZP165" s="153"/>
      <c r="QZQ165" s="153"/>
      <c r="QZR165" s="153"/>
      <c r="QZS165" s="153"/>
      <c r="QZT165" s="153"/>
      <c r="QZU165" s="153"/>
      <c r="QZV165" s="153"/>
      <c r="QZW165" s="153"/>
      <c r="QZX165" s="153"/>
      <c r="QZY165" s="153"/>
      <c r="QZZ165" s="153"/>
      <c r="RAA165" s="153"/>
      <c r="RAB165" s="153"/>
      <c r="RAC165" s="153"/>
      <c r="RAD165" s="153"/>
      <c r="RAE165" s="153"/>
      <c r="RAF165" s="153"/>
      <c r="RAG165" s="153"/>
      <c r="RAH165" s="153"/>
      <c r="RAI165" s="153"/>
      <c r="RAJ165" s="153"/>
      <c r="RAK165" s="153"/>
      <c r="RAL165" s="153"/>
      <c r="RAM165" s="153"/>
      <c r="RAN165" s="153"/>
      <c r="RAO165" s="153"/>
      <c r="RAP165" s="153"/>
      <c r="RAQ165" s="153"/>
      <c r="RAR165" s="153"/>
      <c r="RAS165" s="153"/>
      <c r="RAT165" s="153"/>
      <c r="RAU165" s="153"/>
      <c r="RAV165" s="153"/>
      <c r="RAW165" s="153"/>
      <c r="RAX165" s="153"/>
      <c r="RAY165" s="153"/>
      <c r="RAZ165" s="153"/>
      <c r="RBA165" s="153"/>
      <c r="RBB165" s="153"/>
      <c r="RBC165" s="153"/>
      <c r="RBD165" s="153"/>
      <c r="RBE165" s="153"/>
      <c r="RBF165" s="153"/>
      <c r="RBG165" s="153"/>
      <c r="RBH165" s="153"/>
      <c r="RBI165" s="153"/>
      <c r="RBJ165" s="153"/>
      <c r="RBK165" s="153"/>
      <c r="RBL165" s="153"/>
      <c r="RBM165" s="153"/>
      <c r="RBN165" s="153"/>
      <c r="RBO165" s="153"/>
      <c r="RBP165" s="153"/>
      <c r="RBQ165" s="153"/>
      <c r="RBR165" s="153"/>
      <c r="RBS165" s="153"/>
      <c r="RBT165" s="153"/>
      <c r="RBU165" s="153"/>
      <c r="RBV165" s="153"/>
      <c r="RBW165" s="153"/>
      <c r="RBX165" s="153"/>
      <c r="RBY165" s="153"/>
      <c r="RBZ165" s="153"/>
      <c r="RCA165" s="153"/>
      <c r="RCB165" s="153"/>
      <c r="RCC165" s="153"/>
      <c r="RCD165" s="153"/>
      <c r="RCE165" s="153"/>
      <c r="RCF165" s="153"/>
      <c r="RCG165" s="153"/>
      <c r="RCH165" s="153"/>
      <c r="RCI165" s="153"/>
      <c r="RCJ165" s="153"/>
      <c r="RCK165" s="153"/>
      <c r="RCL165" s="153"/>
      <c r="RCM165" s="153"/>
      <c r="RCN165" s="153"/>
      <c r="RCO165" s="153"/>
      <c r="RCP165" s="153"/>
      <c r="RCQ165" s="153"/>
      <c r="RCR165" s="153"/>
      <c r="RCS165" s="153"/>
      <c r="RCT165" s="153"/>
      <c r="RCU165" s="153"/>
      <c r="RCV165" s="153"/>
      <c r="RCW165" s="153"/>
      <c r="RCX165" s="153"/>
      <c r="RCY165" s="153"/>
      <c r="RCZ165" s="153"/>
      <c r="RDA165" s="153"/>
      <c r="RDB165" s="153"/>
      <c r="RDC165" s="153"/>
      <c r="RDD165" s="153"/>
      <c r="RDE165" s="153"/>
      <c r="RDF165" s="153"/>
      <c r="RDG165" s="153"/>
      <c r="RDH165" s="153"/>
      <c r="RDI165" s="153"/>
      <c r="RDJ165" s="153"/>
      <c r="RDK165" s="153"/>
      <c r="RDL165" s="153"/>
      <c r="RDM165" s="153"/>
      <c r="RDN165" s="153"/>
      <c r="RDO165" s="153"/>
      <c r="RDP165" s="153"/>
      <c r="RDQ165" s="153"/>
      <c r="RDR165" s="153"/>
      <c r="RDS165" s="153"/>
      <c r="RDT165" s="153"/>
      <c r="RDU165" s="153"/>
      <c r="RDV165" s="153"/>
      <c r="RDW165" s="153"/>
      <c r="RDX165" s="153"/>
      <c r="RDY165" s="153"/>
      <c r="RDZ165" s="153"/>
      <c r="REA165" s="153"/>
      <c r="REB165" s="153"/>
      <c r="REC165" s="153"/>
      <c r="RED165" s="153"/>
      <c r="REE165" s="153"/>
      <c r="REF165" s="153"/>
      <c r="REG165" s="153"/>
      <c r="REH165" s="153"/>
      <c r="REI165" s="153"/>
      <c r="REJ165" s="153"/>
      <c r="REK165" s="153"/>
      <c r="REL165" s="153"/>
      <c r="REM165" s="153"/>
      <c r="REN165" s="153"/>
      <c r="REO165" s="153"/>
      <c r="REP165" s="153"/>
      <c r="REQ165" s="153"/>
      <c r="RER165" s="153"/>
      <c r="RES165" s="153"/>
      <c r="RET165" s="153"/>
      <c r="REU165" s="153"/>
      <c r="REV165" s="153"/>
      <c r="REW165" s="153"/>
      <c r="REX165" s="153"/>
      <c r="REY165" s="153"/>
      <c r="REZ165" s="153"/>
      <c r="RFA165" s="153"/>
      <c r="RFB165" s="153"/>
      <c r="RFC165" s="153"/>
      <c r="RFD165" s="153"/>
      <c r="RFE165" s="153"/>
      <c r="RFF165" s="153"/>
      <c r="RFG165" s="153"/>
      <c r="RFH165" s="153"/>
      <c r="RFI165" s="153"/>
      <c r="RFJ165" s="153"/>
      <c r="RFK165" s="153"/>
      <c r="RFL165" s="153"/>
      <c r="RFM165" s="153"/>
      <c r="RFN165" s="153"/>
      <c r="RFO165" s="153"/>
      <c r="RFP165" s="153"/>
      <c r="RFQ165" s="153"/>
      <c r="RFR165" s="153"/>
      <c r="RFS165" s="153"/>
      <c r="RFT165" s="153"/>
      <c r="RFU165" s="153"/>
      <c r="RFV165" s="153"/>
      <c r="RFW165" s="153"/>
      <c r="RFX165" s="153"/>
      <c r="RFY165" s="153"/>
      <c r="RFZ165" s="153"/>
      <c r="RGA165" s="153"/>
      <c r="RGB165" s="153"/>
      <c r="RGC165" s="153"/>
      <c r="RGD165" s="153"/>
      <c r="RGE165" s="153"/>
      <c r="RGF165" s="153"/>
      <c r="RGG165" s="153"/>
      <c r="RGH165" s="153"/>
      <c r="RGI165" s="153"/>
      <c r="RGJ165" s="153"/>
      <c r="RGK165" s="153"/>
      <c r="RGL165" s="153"/>
      <c r="RGM165" s="153"/>
      <c r="RGN165" s="153"/>
      <c r="RGO165" s="153"/>
      <c r="RGP165" s="153"/>
      <c r="RGQ165" s="153"/>
      <c r="RGR165" s="153"/>
      <c r="RGS165" s="153"/>
      <c r="RGT165" s="153"/>
      <c r="RGU165" s="153"/>
      <c r="RGV165" s="153"/>
      <c r="RGW165" s="153"/>
      <c r="RGX165" s="153"/>
      <c r="RGY165" s="153"/>
      <c r="RGZ165" s="153"/>
      <c r="RHA165" s="153"/>
      <c r="RHB165" s="153"/>
      <c r="RHC165" s="153"/>
      <c r="RHD165" s="153"/>
      <c r="RHE165" s="153"/>
      <c r="RHF165" s="153"/>
      <c r="RHG165" s="153"/>
      <c r="RHH165" s="153"/>
      <c r="RHI165" s="153"/>
      <c r="RHJ165" s="153"/>
      <c r="RHK165" s="153"/>
      <c r="RHL165" s="153"/>
      <c r="RHM165" s="153"/>
      <c r="RHN165" s="153"/>
      <c r="RHO165" s="153"/>
      <c r="RHP165" s="153"/>
      <c r="RHQ165" s="153"/>
      <c r="RHR165" s="153"/>
      <c r="RHS165" s="153"/>
      <c r="RHT165" s="153"/>
      <c r="RHU165" s="153"/>
      <c r="RHV165" s="153"/>
      <c r="RHW165" s="153"/>
      <c r="RHX165" s="153"/>
      <c r="RHY165" s="153"/>
      <c r="RHZ165" s="153"/>
      <c r="RIA165" s="153"/>
      <c r="RIB165" s="153"/>
      <c r="RIC165" s="153"/>
      <c r="RID165" s="153"/>
      <c r="RIE165" s="153"/>
      <c r="RIF165" s="153"/>
      <c r="RIG165" s="153"/>
      <c r="RIH165" s="153"/>
      <c r="RII165" s="153"/>
      <c r="RIJ165" s="153"/>
      <c r="RIK165" s="153"/>
      <c r="RIL165" s="153"/>
      <c r="RIM165" s="153"/>
      <c r="RIN165" s="153"/>
      <c r="RIO165" s="153"/>
      <c r="RIP165" s="153"/>
      <c r="RIQ165" s="153"/>
      <c r="RIR165" s="153"/>
      <c r="RIS165" s="153"/>
      <c r="RIT165" s="153"/>
      <c r="RIU165" s="153"/>
      <c r="RIV165" s="153"/>
      <c r="RIW165" s="153"/>
      <c r="RIX165" s="153"/>
      <c r="RIY165" s="153"/>
      <c r="RIZ165" s="153"/>
      <c r="RJA165" s="153"/>
      <c r="RJB165" s="153"/>
      <c r="RJC165" s="153"/>
      <c r="RJD165" s="153"/>
      <c r="RJE165" s="153"/>
      <c r="RJF165" s="153"/>
      <c r="RJG165" s="153"/>
      <c r="RJH165" s="153"/>
      <c r="RJI165" s="153"/>
      <c r="RJJ165" s="153"/>
      <c r="RJK165" s="153"/>
      <c r="RJL165" s="153"/>
      <c r="RJM165" s="153"/>
      <c r="RJN165" s="153"/>
      <c r="RJO165" s="153"/>
      <c r="RJP165" s="153"/>
      <c r="RJQ165" s="153"/>
      <c r="RJR165" s="153"/>
      <c r="RJS165" s="153"/>
      <c r="RJT165" s="153"/>
      <c r="RJU165" s="153"/>
      <c r="RJV165" s="153"/>
      <c r="RJW165" s="153"/>
      <c r="RJX165" s="153"/>
      <c r="RJY165" s="153"/>
      <c r="RJZ165" s="153"/>
      <c r="RKA165" s="153"/>
      <c r="RKB165" s="153"/>
      <c r="RKC165" s="153"/>
      <c r="RKD165" s="153"/>
      <c r="RKE165" s="153"/>
      <c r="RKF165" s="153"/>
      <c r="RKG165" s="153"/>
      <c r="RKH165" s="153"/>
      <c r="RKI165" s="153"/>
      <c r="RKJ165" s="153"/>
      <c r="RKK165" s="153"/>
      <c r="RKL165" s="153"/>
      <c r="RKM165" s="153"/>
      <c r="RKN165" s="153"/>
      <c r="RKO165" s="153"/>
      <c r="RKP165" s="153"/>
      <c r="RKQ165" s="153"/>
      <c r="RKR165" s="153"/>
      <c r="RKS165" s="153"/>
      <c r="RKT165" s="153"/>
      <c r="RKU165" s="153"/>
      <c r="RKV165" s="153"/>
      <c r="RKW165" s="153"/>
      <c r="RKX165" s="153"/>
      <c r="RKY165" s="153"/>
      <c r="RKZ165" s="153"/>
      <c r="RLA165" s="153"/>
      <c r="RLB165" s="153"/>
      <c r="RLC165" s="153"/>
      <c r="RLD165" s="153"/>
      <c r="RLE165" s="153"/>
      <c r="RLF165" s="153"/>
      <c r="RLG165" s="153"/>
      <c r="RLH165" s="153"/>
      <c r="RLI165" s="153"/>
      <c r="RLJ165" s="153"/>
      <c r="RLK165" s="153"/>
      <c r="RLL165" s="153"/>
      <c r="RLM165" s="153"/>
      <c r="RLN165" s="153"/>
      <c r="RLO165" s="153"/>
      <c r="RLP165" s="153"/>
      <c r="RLQ165" s="153"/>
      <c r="RLR165" s="153"/>
      <c r="RLS165" s="153"/>
      <c r="RLT165" s="153"/>
      <c r="RLU165" s="153"/>
      <c r="RLV165" s="153"/>
      <c r="RLW165" s="153"/>
      <c r="RLX165" s="153"/>
      <c r="RLY165" s="153"/>
      <c r="RLZ165" s="153"/>
      <c r="RMA165" s="153"/>
      <c r="RMB165" s="153"/>
      <c r="RMC165" s="153"/>
      <c r="RMD165" s="153"/>
      <c r="RME165" s="153"/>
      <c r="RMF165" s="153"/>
      <c r="RMG165" s="153"/>
      <c r="RMH165" s="153"/>
      <c r="RMI165" s="153"/>
      <c r="RMJ165" s="153"/>
      <c r="RMK165" s="153"/>
      <c r="RML165" s="153"/>
      <c r="RMM165" s="153"/>
      <c r="RMN165" s="153"/>
      <c r="RMO165" s="153"/>
      <c r="RMP165" s="153"/>
      <c r="RMQ165" s="153"/>
      <c r="RMR165" s="153"/>
      <c r="RMS165" s="153"/>
      <c r="RMT165" s="153"/>
      <c r="RMU165" s="153"/>
      <c r="RMV165" s="153"/>
      <c r="RMW165" s="153"/>
      <c r="RMX165" s="153"/>
      <c r="RMY165" s="153"/>
      <c r="RMZ165" s="153"/>
      <c r="RNA165" s="153"/>
      <c r="RNB165" s="153"/>
      <c r="RNC165" s="153"/>
      <c r="RND165" s="153"/>
      <c r="RNE165" s="153"/>
      <c r="RNF165" s="153"/>
      <c r="RNG165" s="153"/>
      <c r="RNH165" s="153"/>
      <c r="RNI165" s="153"/>
      <c r="RNJ165" s="153"/>
      <c r="RNK165" s="153"/>
      <c r="RNL165" s="153"/>
      <c r="RNM165" s="153"/>
      <c r="RNN165" s="153"/>
      <c r="RNO165" s="153"/>
      <c r="RNP165" s="153"/>
      <c r="RNQ165" s="153"/>
      <c r="RNR165" s="153"/>
      <c r="RNS165" s="153"/>
      <c r="RNT165" s="153"/>
      <c r="RNU165" s="153"/>
      <c r="RNV165" s="153"/>
      <c r="RNW165" s="153"/>
      <c r="RNX165" s="153"/>
      <c r="RNY165" s="153"/>
      <c r="RNZ165" s="153"/>
      <c r="ROA165" s="153"/>
      <c r="ROB165" s="153"/>
      <c r="ROC165" s="153"/>
      <c r="ROD165" s="153"/>
      <c r="ROE165" s="153"/>
      <c r="ROF165" s="153"/>
      <c r="ROG165" s="153"/>
      <c r="ROH165" s="153"/>
      <c r="ROI165" s="153"/>
      <c r="ROJ165" s="153"/>
      <c r="ROK165" s="153"/>
      <c r="ROL165" s="153"/>
      <c r="ROM165" s="153"/>
      <c r="RON165" s="153"/>
      <c r="ROO165" s="153"/>
      <c r="ROP165" s="153"/>
      <c r="ROQ165" s="153"/>
      <c r="ROR165" s="153"/>
      <c r="ROS165" s="153"/>
      <c r="ROT165" s="153"/>
      <c r="ROU165" s="153"/>
      <c r="ROV165" s="153"/>
      <c r="ROW165" s="153"/>
      <c r="ROX165" s="153"/>
      <c r="ROY165" s="153"/>
      <c r="ROZ165" s="153"/>
      <c r="RPA165" s="153"/>
      <c r="RPB165" s="153"/>
      <c r="RPC165" s="153"/>
      <c r="RPD165" s="153"/>
      <c r="RPE165" s="153"/>
      <c r="RPF165" s="153"/>
      <c r="RPG165" s="153"/>
      <c r="RPH165" s="153"/>
      <c r="RPI165" s="153"/>
      <c r="RPJ165" s="153"/>
      <c r="RPK165" s="153"/>
      <c r="RPL165" s="153"/>
      <c r="RPM165" s="153"/>
      <c r="RPN165" s="153"/>
      <c r="RPO165" s="153"/>
      <c r="RPP165" s="153"/>
      <c r="RPQ165" s="153"/>
      <c r="RPR165" s="153"/>
      <c r="RPS165" s="153"/>
      <c r="RPT165" s="153"/>
      <c r="RPU165" s="153"/>
      <c r="RPV165" s="153"/>
      <c r="RPW165" s="153"/>
      <c r="RPX165" s="153"/>
      <c r="RPY165" s="153"/>
      <c r="RPZ165" s="153"/>
      <c r="RQA165" s="153"/>
      <c r="RQB165" s="153"/>
      <c r="RQC165" s="153"/>
      <c r="RQD165" s="153"/>
      <c r="RQE165" s="153"/>
      <c r="RQF165" s="153"/>
      <c r="RQG165" s="153"/>
      <c r="RQH165" s="153"/>
      <c r="RQI165" s="153"/>
      <c r="RQJ165" s="153"/>
      <c r="RQK165" s="153"/>
      <c r="RQL165" s="153"/>
      <c r="RQM165" s="153"/>
      <c r="RQN165" s="153"/>
      <c r="RQO165" s="153"/>
      <c r="RQP165" s="153"/>
      <c r="RQQ165" s="153"/>
      <c r="RQR165" s="153"/>
      <c r="RQS165" s="153"/>
      <c r="RQT165" s="153"/>
      <c r="RQU165" s="153"/>
      <c r="RQV165" s="153"/>
      <c r="RQW165" s="153"/>
      <c r="RQX165" s="153"/>
      <c r="RQY165" s="153"/>
      <c r="RQZ165" s="153"/>
      <c r="RRA165" s="153"/>
      <c r="RRB165" s="153"/>
      <c r="RRC165" s="153"/>
      <c r="RRD165" s="153"/>
      <c r="RRE165" s="153"/>
      <c r="RRF165" s="153"/>
      <c r="RRG165" s="153"/>
      <c r="RRH165" s="153"/>
      <c r="RRI165" s="153"/>
      <c r="RRJ165" s="153"/>
      <c r="RRK165" s="153"/>
      <c r="RRL165" s="153"/>
      <c r="RRM165" s="153"/>
      <c r="RRN165" s="153"/>
      <c r="RRO165" s="153"/>
      <c r="RRP165" s="153"/>
      <c r="RRQ165" s="153"/>
      <c r="RRR165" s="153"/>
      <c r="RRS165" s="153"/>
      <c r="RRT165" s="153"/>
      <c r="RRU165" s="153"/>
      <c r="RRV165" s="153"/>
      <c r="RRW165" s="153"/>
      <c r="RRX165" s="153"/>
      <c r="RRY165" s="153"/>
      <c r="RRZ165" s="153"/>
      <c r="RSA165" s="153"/>
      <c r="RSB165" s="153"/>
      <c r="RSC165" s="153"/>
      <c r="RSD165" s="153"/>
      <c r="RSE165" s="153"/>
      <c r="RSF165" s="153"/>
      <c r="RSG165" s="153"/>
      <c r="RSH165" s="153"/>
      <c r="RSI165" s="153"/>
      <c r="RSJ165" s="153"/>
      <c r="RSK165" s="153"/>
      <c r="RSL165" s="153"/>
      <c r="RSM165" s="153"/>
      <c r="RSN165" s="153"/>
      <c r="RSO165" s="153"/>
      <c r="RSP165" s="153"/>
      <c r="RSQ165" s="153"/>
      <c r="RSR165" s="153"/>
      <c r="RSS165" s="153"/>
      <c r="RST165" s="153"/>
      <c r="RSU165" s="153"/>
      <c r="RSV165" s="153"/>
      <c r="RSW165" s="153"/>
      <c r="RSX165" s="153"/>
      <c r="RSY165" s="153"/>
      <c r="RSZ165" s="153"/>
      <c r="RTA165" s="153"/>
      <c r="RTB165" s="153"/>
      <c r="RTC165" s="153"/>
      <c r="RTD165" s="153"/>
      <c r="RTE165" s="153"/>
      <c r="RTF165" s="153"/>
      <c r="RTG165" s="153"/>
      <c r="RTH165" s="153"/>
      <c r="RTI165" s="153"/>
      <c r="RTJ165" s="153"/>
      <c r="RTK165" s="153"/>
      <c r="RTL165" s="153"/>
      <c r="RTM165" s="153"/>
      <c r="RTN165" s="153"/>
      <c r="RTO165" s="153"/>
      <c r="RTP165" s="153"/>
      <c r="RTQ165" s="153"/>
      <c r="RTR165" s="153"/>
      <c r="RTS165" s="153"/>
      <c r="RTT165" s="153"/>
      <c r="RTU165" s="153"/>
      <c r="RTV165" s="153"/>
      <c r="RTW165" s="153"/>
      <c r="RTX165" s="153"/>
      <c r="RTY165" s="153"/>
      <c r="RTZ165" s="153"/>
      <c r="RUA165" s="153"/>
      <c r="RUB165" s="153"/>
      <c r="RUC165" s="153"/>
      <c r="RUD165" s="153"/>
      <c r="RUE165" s="153"/>
      <c r="RUF165" s="153"/>
      <c r="RUG165" s="153"/>
      <c r="RUH165" s="153"/>
      <c r="RUI165" s="153"/>
      <c r="RUJ165" s="153"/>
      <c r="RUK165" s="153"/>
      <c r="RUL165" s="153"/>
      <c r="RUM165" s="153"/>
      <c r="RUN165" s="153"/>
      <c r="RUO165" s="153"/>
      <c r="RUP165" s="153"/>
      <c r="RUQ165" s="153"/>
      <c r="RUR165" s="153"/>
      <c r="RUS165" s="153"/>
      <c r="RUT165" s="153"/>
      <c r="RUU165" s="153"/>
      <c r="RUV165" s="153"/>
      <c r="RUW165" s="153"/>
      <c r="RUX165" s="153"/>
      <c r="RUY165" s="153"/>
      <c r="RUZ165" s="153"/>
      <c r="RVA165" s="153"/>
      <c r="RVB165" s="153"/>
      <c r="RVC165" s="153"/>
      <c r="RVD165" s="153"/>
      <c r="RVE165" s="153"/>
      <c r="RVF165" s="153"/>
      <c r="RVG165" s="153"/>
      <c r="RVH165" s="153"/>
      <c r="RVI165" s="153"/>
      <c r="RVJ165" s="153"/>
      <c r="RVK165" s="153"/>
      <c r="RVL165" s="153"/>
      <c r="RVM165" s="153"/>
      <c r="RVN165" s="153"/>
      <c r="RVO165" s="153"/>
      <c r="RVP165" s="153"/>
      <c r="RVQ165" s="153"/>
      <c r="RVR165" s="153"/>
      <c r="RVS165" s="153"/>
      <c r="RVT165" s="153"/>
      <c r="RVU165" s="153"/>
      <c r="RVV165" s="153"/>
      <c r="RVW165" s="153"/>
      <c r="RVX165" s="153"/>
      <c r="RVY165" s="153"/>
      <c r="RVZ165" s="153"/>
      <c r="RWA165" s="153"/>
      <c r="RWB165" s="153"/>
      <c r="RWC165" s="153"/>
      <c r="RWD165" s="153"/>
      <c r="RWE165" s="153"/>
      <c r="RWF165" s="153"/>
      <c r="RWG165" s="153"/>
      <c r="RWH165" s="153"/>
      <c r="RWI165" s="153"/>
      <c r="RWJ165" s="153"/>
      <c r="RWK165" s="153"/>
      <c r="RWL165" s="153"/>
      <c r="RWM165" s="153"/>
      <c r="RWN165" s="153"/>
      <c r="RWO165" s="153"/>
      <c r="RWP165" s="153"/>
      <c r="RWQ165" s="153"/>
      <c r="RWR165" s="153"/>
      <c r="RWS165" s="153"/>
      <c r="RWT165" s="153"/>
      <c r="RWU165" s="153"/>
      <c r="RWV165" s="153"/>
      <c r="RWW165" s="153"/>
      <c r="RWX165" s="153"/>
      <c r="RWY165" s="153"/>
      <c r="RWZ165" s="153"/>
      <c r="RXA165" s="153"/>
      <c r="RXB165" s="153"/>
      <c r="RXC165" s="153"/>
      <c r="RXD165" s="153"/>
      <c r="RXE165" s="153"/>
      <c r="RXF165" s="153"/>
      <c r="RXG165" s="153"/>
      <c r="RXH165" s="153"/>
      <c r="RXI165" s="153"/>
      <c r="RXJ165" s="153"/>
      <c r="RXK165" s="153"/>
      <c r="RXL165" s="153"/>
      <c r="RXM165" s="153"/>
      <c r="RXN165" s="153"/>
      <c r="RXO165" s="153"/>
      <c r="RXP165" s="153"/>
      <c r="RXQ165" s="153"/>
      <c r="RXR165" s="153"/>
      <c r="RXS165" s="153"/>
      <c r="RXT165" s="153"/>
      <c r="RXU165" s="153"/>
      <c r="RXV165" s="153"/>
      <c r="RXW165" s="153"/>
      <c r="RXX165" s="153"/>
      <c r="RXY165" s="153"/>
      <c r="RXZ165" s="153"/>
      <c r="RYA165" s="153"/>
      <c r="RYB165" s="153"/>
      <c r="RYC165" s="153"/>
      <c r="RYD165" s="153"/>
      <c r="RYE165" s="153"/>
      <c r="RYF165" s="153"/>
      <c r="RYG165" s="153"/>
      <c r="RYH165" s="153"/>
      <c r="RYI165" s="153"/>
      <c r="RYJ165" s="153"/>
      <c r="RYK165" s="153"/>
      <c r="RYL165" s="153"/>
      <c r="RYM165" s="153"/>
      <c r="RYN165" s="153"/>
      <c r="RYO165" s="153"/>
      <c r="RYP165" s="153"/>
      <c r="RYQ165" s="153"/>
      <c r="RYR165" s="153"/>
      <c r="RYS165" s="153"/>
      <c r="RYT165" s="153"/>
      <c r="RYU165" s="153"/>
      <c r="RYV165" s="153"/>
      <c r="RYW165" s="153"/>
      <c r="RYX165" s="153"/>
      <c r="RYY165" s="153"/>
      <c r="RYZ165" s="153"/>
      <c r="RZA165" s="153"/>
      <c r="RZB165" s="153"/>
      <c r="RZC165" s="153"/>
      <c r="RZD165" s="153"/>
      <c r="RZE165" s="153"/>
      <c r="RZF165" s="153"/>
      <c r="RZG165" s="153"/>
      <c r="RZH165" s="153"/>
      <c r="RZI165" s="153"/>
      <c r="RZJ165" s="153"/>
      <c r="RZK165" s="153"/>
      <c r="RZL165" s="153"/>
      <c r="RZM165" s="153"/>
      <c r="RZN165" s="153"/>
      <c r="RZO165" s="153"/>
      <c r="RZP165" s="153"/>
      <c r="RZQ165" s="153"/>
      <c r="RZR165" s="153"/>
      <c r="RZS165" s="153"/>
      <c r="RZT165" s="153"/>
      <c r="RZU165" s="153"/>
      <c r="RZV165" s="153"/>
      <c r="RZW165" s="153"/>
      <c r="RZX165" s="153"/>
      <c r="RZY165" s="153"/>
      <c r="RZZ165" s="153"/>
      <c r="SAA165" s="153"/>
      <c r="SAB165" s="153"/>
      <c r="SAC165" s="153"/>
      <c r="SAD165" s="153"/>
      <c r="SAE165" s="153"/>
      <c r="SAF165" s="153"/>
      <c r="SAG165" s="153"/>
      <c r="SAH165" s="153"/>
      <c r="SAI165" s="153"/>
      <c r="SAJ165" s="153"/>
      <c r="SAK165" s="153"/>
      <c r="SAL165" s="153"/>
      <c r="SAM165" s="153"/>
      <c r="SAN165" s="153"/>
      <c r="SAO165" s="153"/>
      <c r="SAP165" s="153"/>
      <c r="SAQ165" s="153"/>
      <c r="SAR165" s="153"/>
      <c r="SAS165" s="153"/>
      <c r="SAT165" s="153"/>
      <c r="SAU165" s="153"/>
      <c r="SAV165" s="153"/>
      <c r="SAW165" s="153"/>
      <c r="SAX165" s="153"/>
      <c r="SAY165" s="153"/>
      <c r="SAZ165" s="153"/>
      <c r="SBA165" s="153"/>
      <c r="SBB165" s="153"/>
      <c r="SBC165" s="153"/>
      <c r="SBD165" s="153"/>
      <c r="SBE165" s="153"/>
      <c r="SBF165" s="153"/>
      <c r="SBG165" s="153"/>
      <c r="SBH165" s="153"/>
      <c r="SBI165" s="153"/>
      <c r="SBJ165" s="153"/>
      <c r="SBK165" s="153"/>
      <c r="SBL165" s="153"/>
      <c r="SBM165" s="153"/>
      <c r="SBN165" s="153"/>
      <c r="SBO165" s="153"/>
      <c r="SBP165" s="153"/>
      <c r="SBQ165" s="153"/>
      <c r="SBR165" s="153"/>
      <c r="SBS165" s="153"/>
      <c r="SBT165" s="153"/>
      <c r="SBU165" s="153"/>
      <c r="SBV165" s="153"/>
      <c r="SBW165" s="153"/>
      <c r="SBX165" s="153"/>
      <c r="SBY165" s="153"/>
      <c r="SBZ165" s="153"/>
      <c r="SCA165" s="153"/>
      <c r="SCB165" s="153"/>
      <c r="SCC165" s="153"/>
      <c r="SCD165" s="153"/>
      <c r="SCE165" s="153"/>
      <c r="SCF165" s="153"/>
      <c r="SCG165" s="153"/>
      <c r="SCH165" s="153"/>
      <c r="SCI165" s="153"/>
      <c r="SCJ165" s="153"/>
      <c r="SCK165" s="153"/>
      <c r="SCL165" s="153"/>
      <c r="SCM165" s="153"/>
      <c r="SCN165" s="153"/>
      <c r="SCO165" s="153"/>
      <c r="SCP165" s="153"/>
      <c r="SCQ165" s="153"/>
      <c r="SCR165" s="153"/>
      <c r="SCS165" s="153"/>
      <c r="SCT165" s="153"/>
      <c r="SCU165" s="153"/>
      <c r="SCV165" s="153"/>
      <c r="SCW165" s="153"/>
      <c r="SCX165" s="153"/>
      <c r="SCY165" s="153"/>
      <c r="SCZ165" s="153"/>
      <c r="SDA165" s="153"/>
      <c r="SDB165" s="153"/>
      <c r="SDC165" s="153"/>
      <c r="SDD165" s="153"/>
      <c r="SDE165" s="153"/>
      <c r="SDF165" s="153"/>
      <c r="SDG165" s="153"/>
      <c r="SDH165" s="153"/>
      <c r="SDI165" s="153"/>
      <c r="SDJ165" s="153"/>
      <c r="SDK165" s="153"/>
      <c r="SDL165" s="153"/>
      <c r="SDM165" s="153"/>
      <c r="SDN165" s="153"/>
      <c r="SDO165" s="153"/>
      <c r="SDP165" s="153"/>
      <c r="SDQ165" s="153"/>
      <c r="SDR165" s="153"/>
      <c r="SDS165" s="153"/>
      <c r="SDT165" s="153"/>
      <c r="SDU165" s="153"/>
      <c r="SDV165" s="153"/>
      <c r="SDW165" s="153"/>
      <c r="SDX165" s="153"/>
      <c r="SDY165" s="153"/>
      <c r="SDZ165" s="153"/>
      <c r="SEA165" s="153"/>
      <c r="SEB165" s="153"/>
      <c r="SEC165" s="153"/>
      <c r="SED165" s="153"/>
      <c r="SEE165" s="153"/>
      <c r="SEF165" s="153"/>
      <c r="SEG165" s="153"/>
      <c r="SEH165" s="153"/>
      <c r="SEI165" s="153"/>
      <c r="SEJ165" s="153"/>
      <c r="SEK165" s="153"/>
      <c r="SEL165" s="153"/>
      <c r="SEM165" s="153"/>
      <c r="SEN165" s="153"/>
      <c r="SEO165" s="153"/>
      <c r="SEP165" s="153"/>
      <c r="SEQ165" s="153"/>
      <c r="SER165" s="153"/>
      <c r="SES165" s="153"/>
      <c r="SET165" s="153"/>
      <c r="SEU165" s="153"/>
      <c r="SEV165" s="153"/>
      <c r="SEW165" s="153"/>
      <c r="SEX165" s="153"/>
      <c r="SEY165" s="153"/>
      <c r="SEZ165" s="153"/>
      <c r="SFA165" s="153"/>
      <c r="SFB165" s="153"/>
      <c r="SFC165" s="153"/>
      <c r="SFD165" s="153"/>
      <c r="SFE165" s="153"/>
      <c r="SFF165" s="153"/>
      <c r="SFG165" s="153"/>
      <c r="SFH165" s="153"/>
      <c r="SFI165" s="153"/>
      <c r="SFJ165" s="153"/>
      <c r="SFK165" s="153"/>
      <c r="SFL165" s="153"/>
      <c r="SFM165" s="153"/>
      <c r="SFN165" s="153"/>
      <c r="SFO165" s="153"/>
      <c r="SFP165" s="153"/>
      <c r="SFQ165" s="153"/>
      <c r="SFR165" s="153"/>
      <c r="SFS165" s="153"/>
      <c r="SFT165" s="153"/>
      <c r="SFU165" s="153"/>
      <c r="SFV165" s="153"/>
      <c r="SFW165" s="153"/>
      <c r="SFX165" s="153"/>
      <c r="SFY165" s="153"/>
      <c r="SFZ165" s="153"/>
      <c r="SGA165" s="153"/>
      <c r="SGB165" s="153"/>
      <c r="SGC165" s="153"/>
      <c r="SGD165" s="153"/>
      <c r="SGE165" s="153"/>
      <c r="SGF165" s="153"/>
      <c r="SGG165" s="153"/>
      <c r="SGH165" s="153"/>
      <c r="SGI165" s="153"/>
      <c r="SGJ165" s="153"/>
      <c r="SGK165" s="153"/>
      <c r="SGL165" s="153"/>
      <c r="SGM165" s="153"/>
      <c r="SGN165" s="153"/>
      <c r="SGO165" s="153"/>
      <c r="SGP165" s="153"/>
      <c r="SGQ165" s="153"/>
      <c r="SGR165" s="153"/>
      <c r="SGS165" s="153"/>
      <c r="SGT165" s="153"/>
      <c r="SGU165" s="153"/>
      <c r="SGV165" s="153"/>
      <c r="SGW165" s="153"/>
      <c r="SGX165" s="153"/>
      <c r="SGY165" s="153"/>
      <c r="SGZ165" s="153"/>
      <c r="SHA165" s="153"/>
      <c r="SHB165" s="153"/>
      <c r="SHC165" s="153"/>
      <c r="SHD165" s="153"/>
      <c r="SHE165" s="153"/>
      <c r="SHF165" s="153"/>
      <c r="SHG165" s="153"/>
      <c r="SHH165" s="153"/>
      <c r="SHI165" s="153"/>
      <c r="SHJ165" s="153"/>
      <c r="SHK165" s="153"/>
      <c r="SHL165" s="153"/>
      <c r="SHM165" s="153"/>
      <c r="SHN165" s="153"/>
      <c r="SHO165" s="153"/>
      <c r="SHP165" s="153"/>
      <c r="SHQ165" s="153"/>
      <c r="SHR165" s="153"/>
      <c r="SHS165" s="153"/>
      <c r="SHT165" s="153"/>
      <c r="SHU165" s="153"/>
      <c r="SHV165" s="153"/>
      <c r="SHW165" s="153"/>
      <c r="SHX165" s="153"/>
      <c r="SHY165" s="153"/>
      <c r="SHZ165" s="153"/>
      <c r="SIA165" s="153"/>
      <c r="SIB165" s="153"/>
      <c r="SIC165" s="153"/>
      <c r="SID165" s="153"/>
      <c r="SIE165" s="153"/>
      <c r="SIF165" s="153"/>
      <c r="SIG165" s="153"/>
      <c r="SIH165" s="153"/>
      <c r="SII165" s="153"/>
      <c r="SIJ165" s="153"/>
      <c r="SIK165" s="153"/>
      <c r="SIL165" s="153"/>
      <c r="SIM165" s="153"/>
      <c r="SIN165" s="153"/>
      <c r="SIO165" s="153"/>
      <c r="SIP165" s="153"/>
      <c r="SIQ165" s="153"/>
      <c r="SIR165" s="153"/>
      <c r="SIS165" s="153"/>
      <c r="SIT165" s="153"/>
      <c r="SIU165" s="153"/>
      <c r="SIV165" s="153"/>
      <c r="SIW165" s="153"/>
      <c r="SIX165" s="153"/>
      <c r="SIY165" s="153"/>
      <c r="SIZ165" s="153"/>
      <c r="SJA165" s="153"/>
      <c r="SJB165" s="153"/>
      <c r="SJC165" s="153"/>
      <c r="SJD165" s="153"/>
      <c r="SJE165" s="153"/>
      <c r="SJF165" s="153"/>
      <c r="SJG165" s="153"/>
      <c r="SJH165" s="153"/>
      <c r="SJI165" s="153"/>
      <c r="SJJ165" s="153"/>
      <c r="SJK165" s="153"/>
      <c r="SJL165" s="153"/>
      <c r="SJM165" s="153"/>
      <c r="SJN165" s="153"/>
      <c r="SJO165" s="153"/>
      <c r="SJP165" s="153"/>
      <c r="SJQ165" s="153"/>
      <c r="SJR165" s="153"/>
      <c r="SJS165" s="153"/>
      <c r="SJT165" s="153"/>
      <c r="SJU165" s="153"/>
      <c r="SJV165" s="153"/>
      <c r="SJW165" s="153"/>
      <c r="SJX165" s="153"/>
      <c r="SJY165" s="153"/>
      <c r="SJZ165" s="153"/>
      <c r="SKA165" s="153"/>
      <c r="SKB165" s="153"/>
      <c r="SKC165" s="153"/>
      <c r="SKD165" s="153"/>
      <c r="SKE165" s="153"/>
      <c r="SKF165" s="153"/>
      <c r="SKG165" s="153"/>
      <c r="SKH165" s="153"/>
      <c r="SKI165" s="153"/>
      <c r="SKJ165" s="153"/>
      <c r="SKK165" s="153"/>
      <c r="SKL165" s="153"/>
      <c r="SKM165" s="153"/>
      <c r="SKN165" s="153"/>
      <c r="SKO165" s="153"/>
      <c r="SKP165" s="153"/>
      <c r="SKQ165" s="153"/>
      <c r="SKR165" s="153"/>
      <c r="SKS165" s="153"/>
      <c r="SKT165" s="153"/>
      <c r="SKU165" s="153"/>
      <c r="SKV165" s="153"/>
      <c r="SKW165" s="153"/>
      <c r="SKX165" s="153"/>
      <c r="SKY165" s="153"/>
      <c r="SKZ165" s="153"/>
      <c r="SLA165" s="153"/>
      <c r="SLB165" s="153"/>
      <c r="SLC165" s="153"/>
      <c r="SLD165" s="153"/>
      <c r="SLE165" s="153"/>
      <c r="SLF165" s="153"/>
      <c r="SLG165" s="153"/>
      <c r="SLH165" s="153"/>
      <c r="SLI165" s="153"/>
      <c r="SLJ165" s="153"/>
      <c r="SLK165" s="153"/>
      <c r="SLL165" s="153"/>
      <c r="SLM165" s="153"/>
      <c r="SLN165" s="153"/>
      <c r="SLO165" s="153"/>
      <c r="SLP165" s="153"/>
      <c r="SLQ165" s="153"/>
      <c r="SLR165" s="153"/>
      <c r="SLS165" s="153"/>
      <c r="SLT165" s="153"/>
      <c r="SLU165" s="153"/>
      <c r="SLV165" s="153"/>
      <c r="SLW165" s="153"/>
      <c r="SLX165" s="153"/>
      <c r="SLY165" s="153"/>
      <c r="SLZ165" s="153"/>
      <c r="SMA165" s="153"/>
      <c r="SMB165" s="153"/>
      <c r="SMC165" s="153"/>
      <c r="SMD165" s="153"/>
      <c r="SME165" s="153"/>
      <c r="SMF165" s="153"/>
      <c r="SMG165" s="153"/>
      <c r="SMH165" s="153"/>
      <c r="SMI165" s="153"/>
      <c r="SMJ165" s="153"/>
      <c r="SMK165" s="153"/>
      <c r="SML165" s="153"/>
      <c r="SMM165" s="153"/>
      <c r="SMN165" s="153"/>
      <c r="SMO165" s="153"/>
      <c r="SMP165" s="153"/>
      <c r="SMQ165" s="153"/>
      <c r="SMR165" s="153"/>
      <c r="SMS165" s="153"/>
      <c r="SMT165" s="153"/>
      <c r="SMU165" s="153"/>
      <c r="SMV165" s="153"/>
      <c r="SMW165" s="153"/>
      <c r="SMX165" s="153"/>
      <c r="SMY165" s="153"/>
      <c r="SMZ165" s="153"/>
      <c r="SNA165" s="153"/>
      <c r="SNB165" s="153"/>
      <c r="SNC165" s="153"/>
      <c r="SND165" s="153"/>
      <c r="SNE165" s="153"/>
      <c r="SNF165" s="153"/>
      <c r="SNG165" s="153"/>
      <c r="SNH165" s="153"/>
      <c r="SNI165" s="153"/>
      <c r="SNJ165" s="153"/>
      <c r="SNK165" s="153"/>
      <c r="SNL165" s="153"/>
      <c r="SNM165" s="153"/>
      <c r="SNN165" s="153"/>
      <c r="SNO165" s="153"/>
      <c r="SNP165" s="153"/>
      <c r="SNQ165" s="153"/>
      <c r="SNR165" s="153"/>
      <c r="SNS165" s="153"/>
      <c r="SNT165" s="153"/>
      <c r="SNU165" s="153"/>
      <c r="SNV165" s="153"/>
      <c r="SNW165" s="153"/>
      <c r="SNX165" s="153"/>
      <c r="SNY165" s="153"/>
      <c r="SNZ165" s="153"/>
      <c r="SOA165" s="153"/>
      <c r="SOB165" s="153"/>
      <c r="SOC165" s="153"/>
      <c r="SOD165" s="153"/>
      <c r="SOE165" s="153"/>
      <c r="SOF165" s="153"/>
      <c r="SOG165" s="153"/>
      <c r="SOH165" s="153"/>
      <c r="SOI165" s="153"/>
      <c r="SOJ165" s="153"/>
      <c r="SOK165" s="153"/>
      <c r="SOL165" s="153"/>
      <c r="SOM165" s="153"/>
      <c r="SON165" s="153"/>
      <c r="SOO165" s="153"/>
      <c r="SOP165" s="153"/>
      <c r="SOQ165" s="153"/>
      <c r="SOR165" s="153"/>
      <c r="SOS165" s="153"/>
      <c r="SOT165" s="153"/>
      <c r="SOU165" s="153"/>
      <c r="SOV165" s="153"/>
      <c r="SOW165" s="153"/>
      <c r="SOX165" s="153"/>
      <c r="SOY165" s="153"/>
      <c r="SOZ165" s="153"/>
      <c r="SPA165" s="153"/>
      <c r="SPB165" s="153"/>
      <c r="SPC165" s="153"/>
      <c r="SPD165" s="153"/>
      <c r="SPE165" s="153"/>
      <c r="SPF165" s="153"/>
      <c r="SPG165" s="153"/>
      <c r="SPH165" s="153"/>
      <c r="SPI165" s="153"/>
      <c r="SPJ165" s="153"/>
      <c r="SPK165" s="153"/>
      <c r="SPL165" s="153"/>
      <c r="SPM165" s="153"/>
      <c r="SPN165" s="153"/>
      <c r="SPO165" s="153"/>
      <c r="SPP165" s="153"/>
      <c r="SPQ165" s="153"/>
      <c r="SPR165" s="153"/>
      <c r="SPS165" s="153"/>
      <c r="SPT165" s="153"/>
      <c r="SPU165" s="153"/>
      <c r="SPV165" s="153"/>
      <c r="SPW165" s="153"/>
      <c r="SPX165" s="153"/>
      <c r="SPY165" s="153"/>
      <c r="SPZ165" s="153"/>
      <c r="SQA165" s="153"/>
      <c r="SQB165" s="153"/>
      <c r="SQC165" s="153"/>
      <c r="SQD165" s="153"/>
      <c r="SQE165" s="153"/>
      <c r="SQF165" s="153"/>
      <c r="SQG165" s="153"/>
      <c r="SQH165" s="153"/>
      <c r="SQI165" s="153"/>
      <c r="SQJ165" s="153"/>
      <c r="SQK165" s="153"/>
      <c r="SQL165" s="153"/>
      <c r="SQM165" s="153"/>
      <c r="SQN165" s="153"/>
      <c r="SQO165" s="153"/>
      <c r="SQP165" s="153"/>
      <c r="SQQ165" s="153"/>
      <c r="SQR165" s="153"/>
      <c r="SQS165" s="153"/>
      <c r="SQT165" s="153"/>
      <c r="SQU165" s="153"/>
      <c r="SQV165" s="153"/>
      <c r="SQW165" s="153"/>
      <c r="SQX165" s="153"/>
      <c r="SQY165" s="153"/>
      <c r="SQZ165" s="153"/>
      <c r="SRA165" s="153"/>
      <c r="SRB165" s="153"/>
      <c r="SRC165" s="153"/>
      <c r="SRD165" s="153"/>
      <c r="SRE165" s="153"/>
      <c r="SRF165" s="153"/>
      <c r="SRG165" s="153"/>
      <c r="SRH165" s="153"/>
      <c r="SRI165" s="153"/>
      <c r="SRJ165" s="153"/>
      <c r="SRK165" s="153"/>
      <c r="SRL165" s="153"/>
      <c r="SRM165" s="153"/>
      <c r="SRN165" s="153"/>
      <c r="SRO165" s="153"/>
      <c r="SRP165" s="153"/>
      <c r="SRQ165" s="153"/>
      <c r="SRR165" s="153"/>
      <c r="SRS165" s="153"/>
      <c r="SRT165" s="153"/>
      <c r="SRU165" s="153"/>
      <c r="SRV165" s="153"/>
      <c r="SRW165" s="153"/>
      <c r="SRX165" s="153"/>
      <c r="SRY165" s="153"/>
      <c r="SRZ165" s="153"/>
      <c r="SSA165" s="153"/>
      <c r="SSB165" s="153"/>
      <c r="SSC165" s="153"/>
      <c r="SSD165" s="153"/>
      <c r="SSE165" s="153"/>
      <c r="SSF165" s="153"/>
      <c r="SSG165" s="153"/>
      <c r="SSH165" s="153"/>
      <c r="SSI165" s="153"/>
      <c r="SSJ165" s="153"/>
      <c r="SSK165" s="153"/>
      <c r="SSL165" s="153"/>
      <c r="SSM165" s="153"/>
      <c r="SSN165" s="153"/>
      <c r="SSO165" s="153"/>
      <c r="SSP165" s="153"/>
      <c r="SSQ165" s="153"/>
      <c r="SSR165" s="153"/>
      <c r="SSS165" s="153"/>
      <c r="SST165" s="153"/>
      <c r="SSU165" s="153"/>
      <c r="SSV165" s="153"/>
      <c r="SSW165" s="153"/>
      <c r="SSX165" s="153"/>
      <c r="SSY165" s="153"/>
      <c r="SSZ165" s="153"/>
      <c r="STA165" s="153"/>
      <c r="STB165" s="153"/>
      <c r="STC165" s="153"/>
      <c r="STD165" s="153"/>
      <c r="STE165" s="153"/>
      <c r="STF165" s="153"/>
      <c r="STG165" s="153"/>
      <c r="STH165" s="153"/>
      <c r="STI165" s="153"/>
      <c r="STJ165" s="153"/>
      <c r="STK165" s="153"/>
      <c r="STL165" s="153"/>
      <c r="STM165" s="153"/>
      <c r="STN165" s="153"/>
      <c r="STO165" s="153"/>
      <c r="STP165" s="153"/>
      <c r="STQ165" s="153"/>
      <c r="STR165" s="153"/>
      <c r="STS165" s="153"/>
      <c r="STT165" s="153"/>
      <c r="STU165" s="153"/>
      <c r="STV165" s="153"/>
      <c r="STW165" s="153"/>
      <c r="STX165" s="153"/>
      <c r="STY165" s="153"/>
      <c r="STZ165" s="153"/>
      <c r="SUA165" s="153"/>
      <c r="SUB165" s="153"/>
      <c r="SUC165" s="153"/>
      <c r="SUD165" s="153"/>
      <c r="SUE165" s="153"/>
      <c r="SUF165" s="153"/>
      <c r="SUG165" s="153"/>
      <c r="SUH165" s="153"/>
      <c r="SUI165" s="153"/>
      <c r="SUJ165" s="153"/>
      <c r="SUK165" s="153"/>
      <c r="SUL165" s="153"/>
      <c r="SUM165" s="153"/>
      <c r="SUN165" s="153"/>
      <c r="SUO165" s="153"/>
      <c r="SUP165" s="153"/>
      <c r="SUQ165" s="153"/>
      <c r="SUR165" s="153"/>
      <c r="SUS165" s="153"/>
      <c r="SUT165" s="153"/>
      <c r="SUU165" s="153"/>
      <c r="SUV165" s="153"/>
      <c r="SUW165" s="153"/>
      <c r="SUX165" s="153"/>
      <c r="SUY165" s="153"/>
      <c r="SUZ165" s="153"/>
      <c r="SVA165" s="153"/>
      <c r="SVB165" s="153"/>
      <c r="SVC165" s="153"/>
      <c r="SVD165" s="153"/>
      <c r="SVE165" s="153"/>
      <c r="SVF165" s="153"/>
      <c r="SVG165" s="153"/>
      <c r="SVH165" s="153"/>
      <c r="SVI165" s="153"/>
      <c r="SVJ165" s="153"/>
      <c r="SVK165" s="153"/>
      <c r="SVL165" s="153"/>
      <c r="SVM165" s="153"/>
      <c r="SVN165" s="153"/>
      <c r="SVO165" s="153"/>
      <c r="SVP165" s="153"/>
      <c r="SVQ165" s="153"/>
      <c r="SVR165" s="153"/>
      <c r="SVS165" s="153"/>
      <c r="SVT165" s="153"/>
      <c r="SVU165" s="153"/>
      <c r="SVV165" s="153"/>
      <c r="SVW165" s="153"/>
      <c r="SVX165" s="153"/>
      <c r="SVY165" s="153"/>
      <c r="SVZ165" s="153"/>
      <c r="SWA165" s="153"/>
      <c r="SWB165" s="153"/>
      <c r="SWC165" s="153"/>
      <c r="SWD165" s="153"/>
      <c r="SWE165" s="153"/>
      <c r="SWF165" s="153"/>
      <c r="SWG165" s="153"/>
      <c r="SWH165" s="153"/>
      <c r="SWI165" s="153"/>
      <c r="SWJ165" s="153"/>
      <c r="SWK165" s="153"/>
      <c r="SWL165" s="153"/>
      <c r="SWM165" s="153"/>
      <c r="SWN165" s="153"/>
      <c r="SWO165" s="153"/>
      <c r="SWP165" s="153"/>
      <c r="SWQ165" s="153"/>
      <c r="SWR165" s="153"/>
      <c r="SWS165" s="153"/>
      <c r="SWT165" s="153"/>
      <c r="SWU165" s="153"/>
      <c r="SWV165" s="153"/>
      <c r="SWW165" s="153"/>
      <c r="SWX165" s="153"/>
      <c r="SWY165" s="153"/>
      <c r="SWZ165" s="153"/>
      <c r="SXA165" s="153"/>
      <c r="SXB165" s="153"/>
      <c r="SXC165" s="153"/>
      <c r="SXD165" s="153"/>
      <c r="SXE165" s="153"/>
      <c r="SXF165" s="153"/>
      <c r="SXG165" s="153"/>
      <c r="SXH165" s="153"/>
      <c r="SXI165" s="153"/>
      <c r="SXJ165" s="153"/>
      <c r="SXK165" s="153"/>
      <c r="SXL165" s="153"/>
      <c r="SXM165" s="153"/>
      <c r="SXN165" s="153"/>
      <c r="SXO165" s="153"/>
      <c r="SXP165" s="153"/>
      <c r="SXQ165" s="153"/>
      <c r="SXR165" s="153"/>
      <c r="SXS165" s="153"/>
      <c r="SXT165" s="153"/>
      <c r="SXU165" s="153"/>
      <c r="SXV165" s="153"/>
      <c r="SXW165" s="153"/>
      <c r="SXX165" s="153"/>
      <c r="SXY165" s="153"/>
      <c r="SXZ165" s="153"/>
      <c r="SYA165" s="153"/>
      <c r="SYB165" s="153"/>
      <c r="SYC165" s="153"/>
      <c r="SYD165" s="153"/>
      <c r="SYE165" s="153"/>
      <c r="SYF165" s="153"/>
      <c r="SYG165" s="153"/>
      <c r="SYH165" s="153"/>
      <c r="SYI165" s="153"/>
      <c r="SYJ165" s="153"/>
      <c r="SYK165" s="153"/>
      <c r="SYL165" s="153"/>
      <c r="SYM165" s="153"/>
      <c r="SYN165" s="153"/>
      <c r="SYO165" s="153"/>
      <c r="SYP165" s="153"/>
      <c r="SYQ165" s="153"/>
      <c r="SYR165" s="153"/>
      <c r="SYS165" s="153"/>
      <c r="SYT165" s="153"/>
      <c r="SYU165" s="153"/>
      <c r="SYV165" s="153"/>
      <c r="SYW165" s="153"/>
      <c r="SYX165" s="153"/>
      <c r="SYY165" s="153"/>
      <c r="SYZ165" s="153"/>
      <c r="SZA165" s="153"/>
      <c r="SZB165" s="153"/>
      <c r="SZC165" s="153"/>
      <c r="SZD165" s="153"/>
      <c r="SZE165" s="153"/>
      <c r="SZF165" s="153"/>
      <c r="SZG165" s="153"/>
      <c r="SZH165" s="153"/>
      <c r="SZI165" s="153"/>
      <c r="SZJ165" s="153"/>
      <c r="SZK165" s="153"/>
      <c r="SZL165" s="153"/>
      <c r="SZM165" s="153"/>
      <c r="SZN165" s="153"/>
      <c r="SZO165" s="153"/>
      <c r="SZP165" s="153"/>
      <c r="SZQ165" s="153"/>
      <c r="SZR165" s="153"/>
      <c r="SZS165" s="153"/>
      <c r="SZT165" s="153"/>
      <c r="SZU165" s="153"/>
      <c r="SZV165" s="153"/>
      <c r="SZW165" s="153"/>
      <c r="SZX165" s="153"/>
      <c r="SZY165" s="153"/>
      <c r="SZZ165" s="153"/>
      <c r="TAA165" s="153"/>
      <c r="TAB165" s="153"/>
      <c r="TAC165" s="153"/>
      <c r="TAD165" s="153"/>
      <c r="TAE165" s="153"/>
      <c r="TAF165" s="153"/>
      <c r="TAG165" s="153"/>
      <c r="TAH165" s="153"/>
      <c r="TAI165" s="153"/>
      <c r="TAJ165" s="153"/>
      <c r="TAK165" s="153"/>
      <c r="TAL165" s="153"/>
      <c r="TAM165" s="153"/>
      <c r="TAN165" s="153"/>
      <c r="TAO165" s="153"/>
      <c r="TAP165" s="153"/>
      <c r="TAQ165" s="153"/>
      <c r="TAR165" s="153"/>
      <c r="TAS165" s="153"/>
      <c r="TAT165" s="153"/>
      <c r="TAU165" s="153"/>
      <c r="TAV165" s="153"/>
      <c r="TAW165" s="153"/>
      <c r="TAX165" s="153"/>
      <c r="TAY165" s="153"/>
      <c r="TAZ165" s="153"/>
      <c r="TBA165" s="153"/>
      <c r="TBB165" s="153"/>
      <c r="TBC165" s="153"/>
      <c r="TBD165" s="153"/>
      <c r="TBE165" s="153"/>
      <c r="TBF165" s="153"/>
      <c r="TBG165" s="153"/>
      <c r="TBH165" s="153"/>
      <c r="TBI165" s="153"/>
      <c r="TBJ165" s="153"/>
      <c r="TBK165" s="153"/>
      <c r="TBL165" s="153"/>
      <c r="TBM165" s="153"/>
      <c r="TBN165" s="153"/>
      <c r="TBO165" s="153"/>
      <c r="TBP165" s="153"/>
      <c r="TBQ165" s="153"/>
      <c r="TBR165" s="153"/>
      <c r="TBS165" s="153"/>
      <c r="TBT165" s="153"/>
      <c r="TBU165" s="153"/>
      <c r="TBV165" s="153"/>
      <c r="TBW165" s="153"/>
      <c r="TBX165" s="153"/>
      <c r="TBY165" s="153"/>
      <c r="TBZ165" s="153"/>
      <c r="TCA165" s="153"/>
      <c r="TCB165" s="153"/>
      <c r="TCC165" s="153"/>
      <c r="TCD165" s="153"/>
      <c r="TCE165" s="153"/>
      <c r="TCF165" s="153"/>
      <c r="TCG165" s="153"/>
      <c r="TCH165" s="153"/>
      <c r="TCI165" s="153"/>
      <c r="TCJ165" s="153"/>
      <c r="TCK165" s="153"/>
      <c r="TCL165" s="153"/>
      <c r="TCM165" s="153"/>
      <c r="TCN165" s="153"/>
      <c r="TCO165" s="153"/>
      <c r="TCP165" s="153"/>
      <c r="TCQ165" s="153"/>
      <c r="TCR165" s="153"/>
      <c r="TCS165" s="153"/>
      <c r="TCT165" s="153"/>
      <c r="TCU165" s="153"/>
      <c r="TCV165" s="153"/>
      <c r="TCW165" s="153"/>
      <c r="TCX165" s="153"/>
      <c r="TCY165" s="153"/>
      <c r="TCZ165" s="153"/>
      <c r="TDA165" s="153"/>
      <c r="TDB165" s="153"/>
      <c r="TDC165" s="153"/>
      <c r="TDD165" s="153"/>
      <c r="TDE165" s="153"/>
      <c r="TDF165" s="153"/>
      <c r="TDG165" s="153"/>
      <c r="TDH165" s="153"/>
      <c r="TDI165" s="153"/>
      <c r="TDJ165" s="153"/>
      <c r="TDK165" s="153"/>
      <c r="TDL165" s="153"/>
      <c r="TDM165" s="153"/>
      <c r="TDN165" s="153"/>
      <c r="TDO165" s="153"/>
      <c r="TDP165" s="153"/>
      <c r="TDQ165" s="153"/>
      <c r="TDR165" s="153"/>
      <c r="TDS165" s="153"/>
      <c r="TDT165" s="153"/>
      <c r="TDU165" s="153"/>
      <c r="TDV165" s="153"/>
      <c r="TDW165" s="153"/>
      <c r="TDX165" s="153"/>
      <c r="TDY165" s="153"/>
      <c r="TDZ165" s="153"/>
      <c r="TEA165" s="153"/>
      <c r="TEB165" s="153"/>
      <c r="TEC165" s="153"/>
      <c r="TED165" s="153"/>
      <c r="TEE165" s="153"/>
      <c r="TEF165" s="153"/>
      <c r="TEG165" s="153"/>
      <c r="TEH165" s="153"/>
      <c r="TEI165" s="153"/>
      <c r="TEJ165" s="153"/>
      <c r="TEK165" s="153"/>
      <c r="TEL165" s="153"/>
      <c r="TEM165" s="153"/>
      <c r="TEN165" s="153"/>
      <c r="TEO165" s="153"/>
      <c r="TEP165" s="153"/>
      <c r="TEQ165" s="153"/>
      <c r="TER165" s="153"/>
      <c r="TES165" s="153"/>
      <c r="TET165" s="153"/>
      <c r="TEU165" s="153"/>
      <c r="TEV165" s="153"/>
      <c r="TEW165" s="153"/>
      <c r="TEX165" s="153"/>
      <c r="TEY165" s="153"/>
      <c r="TEZ165" s="153"/>
      <c r="TFA165" s="153"/>
      <c r="TFB165" s="153"/>
      <c r="TFC165" s="153"/>
      <c r="TFD165" s="153"/>
      <c r="TFE165" s="153"/>
      <c r="TFF165" s="153"/>
      <c r="TFG165" s="153"/>
      <c r="TFH165" s="153"/>
      <c r="TFI165" s="153"/>
      <c r="TFJ165" s="153"/>
      <c r="TFK165" s="153"/>
      <c r="TFL165" s="153"/>
      <c r="TFM165" s="153"/>
      <c r="TFN165" s="153"/>
      <c r="TFO165" s="153"/>
      <c r="TFP165" s="153"/>
      <c r="TFQ165" s="153"/>
      <c r="TFR165" s="153"/>
      <c r="TFS165" s="153"/>
      <c r="TFT165" s="153"/>
      <c r="TFU165" s="153"/>
      <c r="TFV165" s="153"/>
      <c r="TFW165" s="153"/>
      <c r="TFX165" s="153"/>
      <c r="TFY165" s="153"/>
      <c r="TFZ165" s="153"/>
      <c r="TGA165" s="153"/>
      <c r="TGB165" s="153"/>
      <c r="TGC165" s="153"/>
      <c r="TGD165" s="153"/>
      <c r="TGE165" s="153"/>
      <c r="TGF165" s="153"/>
      <c r="TGG165" s="153"/>
      <c r="TGH165" s="153"/>
      <c r="TGI165" s="153"/>
      <c r="TGJ165" s="153"/>
      <c r="TGK165" s="153"/>
      <c r="TGL165" s="153"/>
      <c r="TGM165" s="153"/>
      <c r="TGN165" s="153"/>
      <c r="TGO165" s="153"/>
      <c r="TGP165" s="153"/>
      <c r="TGQ165" s="153"/>
      <c r="TGR165" s="153"/>
      <c r="TGS165" s="153"/>
      <c r="TGT165" s="153"/>
      <c r="TGU165" s="153"/>
      <c r="TGV165" s="153"/>
      <c r="TGW165" s="153"/>
      <c r="TGX165" s="153"/>
      <c r="TGY165" s="153"/>
      <c r="TGZ165" s="153"/>
      <c r="THA165" s="153"/>
      <c r="THB165" s="153"/>
      <c r="THC165" s="153"/>
      <c r="THD165" s="153"/>
      <c r="THE165" s="153"/>
      <c r="THF165" s="153"/>
      <c r="THG165" s="153"/>
      <c r="THH165" s="153"/>
      <c r="THI165" s="153"/>
      <c r="THJ165" s="153"/>
      <c r="THK165" s="153"/>
      <c r="THL165" s="153"/>
      <c r="THM165" s="153"/>
      <c r="THN165" s="153"/>
      <c r="THO165" s="153"/>
      <c r="THP165" s="153"/>
      <c r="THQ165" s="153"/>
      <c r="THR165" s="153"/>
      <c r="THS165" s="153"/>
      <c r="THT165" s="153"/>
      <c r="THU165" s="153"/>
      <c r="THV165" s="153"/>
      <c r="THW165" s="153"/>
      <c r="THX165" s="153"/>
      <c r="THY165" s="153"/>
      <c r="THZ165" s="153"/>
      <c r="TIA165" s="153"/>
      <c r="TIB165" s="153"/>
      <c r="TIC165" s="153"/>
      <c r="TID165" s="153"/>
      <c r="TIE165" s="153"/>
      <c r="TIF165" s="153"/>
      <c r="TIG165" s="153"/>
      <c r="TIH165" s="153"/>
      <c r="TII165" s="153"/>
      <c r="TIJ165" s="153"/>
      <c r="TIK165" s="153"/>
      <c r="TIL165" s="153"/>
      <c r="TIM165" s="153"/>
      <c r="TIN165" s="153"/>
      <c r="TIO165" s="153"/>
      <c r="TIP165" s="153"/>
      <c r="TIQ165" s="153"/>
      <c r="TIR165" s="153"/>
      <c r="TIS165" s="153"/>
      <c r="TIT165" s="153"/>
      <c r="TIU165" s="153"/>
      <c r="TIV165" s="153"/>
      <c r="TIW165" s="153"/>
      <c r="TIX165" s="153"/>
      <c r="TIY165" s="153"/>
      <c r="TIZ165" s="153"/>
      <c r="TJA165" s="153"/>
      <c r="TJB165" s="153"/>
      <c r="TJC165" s="153"/>
      <c r="TJD165" s="153"/>
      <c r="TJE165" s="153"/>
      <c r="TJF165" s="153"/>
      <c r="TJG165" s="153"/>
      <c r="TJH165" s="153"/>
      <c r="TJI165" s="153"/>
      <c r="TJJ165" s="153"/>
      <c r="TJK165" s="153"/>
      <c r="TJL165" s="153"/>
      <c r="TJM165" s="153"/>
      <c r="TJN165" s="153"/>
      <c r="TJO165" s="153"/>
      <c r="TJP165" s="153"/>
      <c r="TJQ165" s="153"/>
      <c r="TJR165" s="153"/>
      <c r="TJS165" s="153"/>
      <c r="TJT165" s="153"/>
      <c r="TJU165" s="153"/>
      <c r="TJV165" s="153"/>
      <c r="TJW165" s="153"/>
      <c r="TJX165" s="153"/>
      <c r="TJY165" s="153"/>
      <c r="TJZ165" s="153"/>
      <c r="TKA165" s="153"/>
      <c r="TKB165" s="153"/>
      <c r="TKC165" s="153"/>
      <c r="TKD165" s="153"/>
      <c r="TKE165" s="153"/>
      <c r="TKF165" s="153"/>
      <c r="TKG165" s="153"/>
      <c r="TKH165" s="153"/>
      <c r="TKI165" s="153"/>
      <c r="TKJ165" s="153"/>
      <c r="TKK165" s="153"/>
      <c r="TKL165" s="153"/>
      <c r="TKM165" s="153"/>
      <c r="TKN165" s="153"/>
      <c r="TKO165" s="153"/>
      <c r="TKP165" s="153"/>
      <c r="TKQ165" s="153"/>
      <c r="TKR165" s="153"/>
      <c r="TKS165" s="153"/>
      <c r="TKT165" s="153"/>
      <c r="TKU165" s="153"/>
      <c r="TKV165" s="153"/>
      <c r="TKW165" s="153"/>
      <c r="TKX165" s="153"/>
      <c r="TKY165" s="153"/>
      <c r="TKZ165" s="153"/>
      <c r="TLA165" s="153"/>
      <c r="TLB165" s="153"/>
      <c r="TLC165" s="153"/>
      <c r="TLD165" s="153"/>
      <c r="TLE165" s="153"/>
      <c r="TLF165" s="153"/>
      <c r="TLG165" s="153"/>
      <c r="TLH165" s="153"/>
      <c r="TLI165" s="153"/>
      <c r="TLJ165" s="153"/>
      <c r="TLK165" s="153"/>
      <c r="TLL165" s="153"/>
      <c r="TLM165" s="153"/>
      <c r="TLN165" s="153"/>
      <c r="TLO165" s="153"/>
      <c r="TLP165" s="153"/>
      <c r="TLQ165" s="153"/>
      <c r="TLR165" s="153"/>
      <c r="TLS165" s="153"/>
      <c r="TLT165" s="153"/>
      <c r="TLU165" s="153"/>
      <c r="TLV165" s="153"/>
      <c r="TLW165" s="153"/>
      <c r="TLX165" s="153"/>
      <c r="TLY165" s="153"/>
      <c r="TLZ165" s="153"/>
      <c r="TMA165" s="153"/>
      <c r="TMB165" s="153"/>
      <c r="TMC165" s="153"/>
      <c r="TMD165" s="153"/>
      <c r="TME165" s="153"/>
      <c r="TMF165" s="153"/>
      <c r="TMG165" s="153"/>
      <c r="TMH165" s="153"/>
      <c r="TMI165" s="153"/>
      <c r="TMJ165" s="153"/>
      <c r="TMK165" s="153"/>
      <c r="TML165" s="153"/>
      <c r="TMM165" s="153"/>
      <c r="TMN165" s="153"/>
      <c r="TMO165" s="153"/>
      <c r="TMP165" s="153"/>
      <c r="TMQ165" s="153"/>
      <c r="TMR165" s="153"/>
      <c r="TMS165" s="153"/>
      <c r="TMT165" s="153"/>
      <c r="TMU165" s="153"/>
      <c r="TMV165" s="153"/>
      <c r="TMW165" s="153"/>
      <c r="TMX165" s="153"/>
      <c r="TMY165" s="153"/>
      <c r="TMZ165" s="153"/>
      <c r="TNA165" s="153"/>
      <c r="TNB165" s="153"/>
      <c r="TNC165" s="153"/>
      <c r="TND165" s="153"/>
      <c r="TNE165" s="153"/>
      <c r="TNF165" s="153"/>
      <c r="TNG165" s="153"/>
      <c r="TNH165" s="153"/>
      <c r="TNI165" s="153"/>
      <c r="TNJ165" s="153"/>
      <c r="TNK165" s="153"/>
      <c r="TNL165" s="153"/>
      <c r="TNM165" s="153"/>
      <c r="TNN165" s="153"/>
      <c r="TNO165" s="153"/>
      <c r="TNP165" s="153"/>
      <c r="TNQ165" s="153"/>
      <c r="TNR165" s="153"/>
      <c r="TNS165" s="153"/>
      <c r="TNT165" s="153"/>
      <c r="TNU165" s="153"/>
      <c r="TNV165" s="153"/>
      <c r="TNW165" s="153"/>
      <c r="TNX165" s="153"/>
      <c r="TNY165" s="153"/>
      <c r="TNZ165" s="153"/>
      <c r="TOA165" s="153"/>
      <c r="TOB165" s="153"/>
      <c r="TOC165" s="153"/>
      <c r="TOD165" s="153"/>
      <c r="TOE165" s="153"/>
      <c r="TOF165" s="153"/>
      <c r="TOG165" s="153"/>
      <c r="TOH165" s="153"/>
      <c r="TOI165" s="153"/>
      <c r="TOJ165" s="153"/>
      <c r="TOK165" s="153"/>
      <c r="TOL165" s="153"/>
      <c r="TOM165" s="153"/>
      <c r="TON165" s="153"/>
      <c r="TOO165" s="153"/>
      <c r="TOP165" s="153"/>
      <c r="TOQ165" s="153"/>
      <c r="TOR165" s="153"/>
      <c r="TOS165" s="153"/>
      <c r="TOT165" s="153"/>
      <c r="TOU165" s="153"/>
      <c r="TOV165" s="153"/>
      <c r="TOW165" s="153"/>
      <c r="TOX165" s="153"/>
      <c r="TOY165" s="153"/>
      <c r="TOZ165" s="153"/>
      <c r="TPA165" s="153"/>
      <c r="TPB165" s="153"/>
      <c r="TPC165" s="153"/>
      <c r="TPD165" s="153"/>
      <c r="TPE165" s="153"/>
      <c r="TPF165" s="153"/>
      <c r="TPG165" s="153"/>
      <c r="TPH165" s="153"/>
      <c r="TPI165" s="153"/>
      <c r="TPJ165" s="153"/>
      <c r="TPK165" s="153"/>
      <c r="TPL165" s="153"/>
      <c r="TPM165" s="153"/>
      <c r="TPN165" s="153"/>
      <c r="TPO165" s="153"/>
      <c r="TPP165" s="153"/>
      <c r="TPQ165" s="153"/>
      <c r="TPR165" s="153"/>
      <c r="TPS165" s="153"/>
      <c r="TPT165" s="153"/>
      <c r="TPU165" s="153"/>
      <c r="TPV165" s="153"/>
      <c r="TPW165" s="153"/>
      <c r="TPX165" s="153"/>
      <c r="TPY165" s="153"/>
      <c r="TPZ165" s="153"/>
      <c r="TQA165" s="153"/>
      <c r="TQB165" s="153"/>
      <c r="TQC165" s="153"/>
      <c r="TQD165" s="153"/>
      <c r="TQE165" s="153"/>
      <c r="TQF165" s="153"/>
      <c r="TQG165" s="153"/>
      <c r="TQH165" s="153"/>
      <c r="TQI165" s="153"/>
      <c r="TQJ165" s="153"/>
      <c r="TQK165" s="153"/>
      <c r="TQL165" s="153"/>
      <c r="TQM165" s="153"/>
      <c r="TQN165" s="153"/>
      <c r="TQO165" s="153"/>
      <c r="TQP165" s="153"/>
      <c r="TQQ165" s="153"/>
      <c r="TQR165" s="153"/>
      <c r="TQS165" s="153"/>
      <c r="TQT165" s="153"/>
      <c r="TQU165" s="153"/>
      <c r="TQV165" s="153"/>
      <c r="TQW165" s="153"/>
      <c r="TQX165" s="153"/>
      <c r="TQY165" s="153"/>
      <c r="TQZ165" s="153"/>
      <c r="TRA165" s="153"/>
      <c r="TRB165" s="153"/>
      <c r="TRC165" s="153"/>
      <c r="TRD165" s="153"/>
      <c r="TRE165" s="153"/>
      <c r="TRF165" s="153"/>
      <c r="TRG165" s="153"/>
      <c r="TRH165" s="153"/>
      <c r="TRI165" s="153"/>
      <c r="TRJ165" s="153"/>
      <c r="TRK165" s="153"/>
      <c r="TRL165" s="153"/>
      <c r="TRM165" s="153"/>
      <c r="TRN165" s="153"/>
      <c r="TRO165" s="153"/>
      <c r="TRP165" s="153"/>
      <c r="TRQ165" s="153"/>
      <c r="TRR165" s="153"/>
      <c r="TRS165" s="153"/>
      <c r="TRT165" s="153"/>
      <c r="TRU165" s="153"/>
      <c r="TRV165" s="153"/>
      <c r="TRW165" s="153"/>
      <c r="TRX165" s="153"/>
      <c r="TRY165" s="153"/>
      <c r="TRZ165" s="153"/>
      <c r="TSA165" s="153"/>
      <c r="TSB165" s="153"/>
      <c r="TSC165" s="153"/>
      <c r="TSD165" s="153"/>
      <c r="TSE165" s="153"/>
      <c r="TSF165" s="153"/>
      <c r="TSG165" s="153"/>
      <c r="TSH165" s="153"/>
      <c r="TSI165" s="153"/>
      <c r="TSJ165" s="153"/>
      <c r="TSK165" s="153"/>
      <c r="TSL165" s="153"/>
      <c r="TSM165" s="153"/>
      <c r="TSN165" s="153"/>
      <c r="TSO165" s="153"/>
      <c r="TSP165" s="153"/>
      <c r="TSQ165" s="153"/>
      <c r="TSR165" s="153"/>
      <c r="TSS165" s="153"/>
      <c r="TST165" s="153"/>
      <c r="TSU165" s="153"/>
      <c r="TSV165" s="153"/>
      <c r="TSW165" s="153"/>
      <c r="TSX165" s="153"/>
      <c r="TSY165" s="153"/>
      <c r="TSZ165" s="153"/>
      <c r="TTA165" s="153"/>
      <c r="TTB165" s="153"/>
      <c r="TTC165" s="153"/>
      <c r="TTD165" s="153"/>
      <c r="TTE165" s="153"/>
      <c r="TTF165" s="153"/>
      <c r="TTG165" s="153"/>
      <c r="TTH165" s="153"/>
      <c r="TTI165" s="153"/>
      <c r="TTJ165" s="153"/>
      <c r="TTK165" s="153"/>
      <c r="TTL165" s="153"/>
      <c r="TTM165" s="153"/>
      <c r="TTN165" s="153"/>
      <c r="TTO165" s="153"/>
      <c r="TTP165" s="153"/>
      <c r="TTQ165" s="153"/>
      <c r="TTR165" s="153"/>
      <c r="TTS165" s="153"/>
      <c r="TTT165" s="153"/>
      <c r="TTU165" s="153"/>
      <c r="TTV165" s="153"/>
      <c r="TTW165" s="153"/>
      <c r="TTX165" s="153"/>
      <c r="TTY165" s="153"/>
      <c r="TTZ165" s="153"/>
      <c r="TUA165" s="153"/>
      <c r="TUB165" s="153"/>
      <c r="TUC165" s="153"/>
      <c r="TUD165" s="153"/>
      <c r="TUE165" s="153"/>
      <c r="TUF165" s="153"/>
      <c r="TUG165" s="153"/>
      <c r="TUH165" s="153"/>
      <c r="TUI165" s="153"/>
      <c r="TUJ165" s="153"/>
      <c r="TUK165" s="153"/>
      <c r="TUL165" s="153"/>
      <c r="TUM165" s="153"/>
      <c r="TUN165" s="153"/>
      <c r="TUO165" s="153"/>
      <c r="TUP165" s="153"/>
      <c r="TUQ165" s="153"/>
      <c r="TUR165" s="153"/>
      <c r="TUS165" s="153"/>
      <c r="TUT165" s="153"/>
      <c r="TUU165" s="153"/>
      <c r="TUV165" s="153"/>
      <c r="TUW165" s="153"/>
      <c r="TUX165" s="153"/>
      <c r="TUY165" s="153"/>
      <c r="TUZ165" s="153"/>
      <c r="TVA165" s="153"/>
      <c r="TVB165" s="153"/>
      <c r="TVC165" s="153"/>
      <c r="TVD165" s="153"/>
      <c r="TVE165" s="153"/>
      <c r="TVF165" s="153"/>
      <c r="TVG165" s="153"/>
      <c r="TVH165" s="153"/>
      <c r="TVI165" s="153"/>
      <c r="TVJ165" s="153"/>
      <c r="TVK165" s="153"/>
      <c r="TVL165" s="153"/>
      <c r="TVM165" s="153"/>
      <c r="TVN165" s="153"/>
      <c r="TVO165" s="153"/>
      <c r="TVP165" s="153"/>
      <c r="TVQ165" s="153"/>
      <c r="TVR165" s="153"/>
      <c r="TVS165" s="153"/>
      <c r="TVT165" s="153"/>
      <c r="TVU165" s="153"/>
      <c r="TVV165" s="153"/>
      <c r="TVW165" s="153"/>
      <c r="TVX165" s="153"/>
      <c r="TVY165" s="153"/>
      <c r="TVZ165" s="153"/>
      <c r="TWA165" s="153"/>
      <c r="TWB165" s="153"/>
      <c r="TWC165" s="153"/>
      <c r="TWD165" s="153"/>
      <c r="TWE165" s="153"/>
      <c r="TWF165" s="153"/>
      <c r="TWG165" s="153"/>
      <c r="TWH165" s="153"/>
      <c r="TWI165" s="153"/>
      <c r="TWJ165" s="153"/>
      <c r="TWK165" s="153"/>
      <c r="TWL165" s="153"/>
      <c r="TWM165" s="153"/>
      <c r="TWN165" s="153"/>
      <c r="TWO165" s="153"/>
      <c r="TWP165" s="153"/>
      <c r="TWQ165" s="153"/>
      <c r="TWR165" s="153"/>
      <c r="TWS165" s="153"/>
      <c r="TWT165" s="153"/>
      <c r="TWU165" s="153"/>
      <c r="TWV165" s="153"/>
      <c r="TWW165" s="153"/>
      <c r="TWX165" s="153"/>
      <c r="TWY165" s="153"/>
      <c r="TWZ165" s="153"/>
      <c r="TXA165" s="153"/>
      <c r="TXB165" s="153"/>
      <c r="TXC165" s="153"/>
      <c r="TXD165" s="153"/>
      <c r="TXE165" s="153"/>
      <c r="TXF165" s="153"/>
      <c r="TXG165" s="153"/>
      <c r="TXH165" s="153"/>
      <c r="TXI165" s="153"/>
      <c r="TXJ165" s="153"/>
      <c r="TXK165" s="153"/>
      <c r="TXL165" s="153"/>
      <c r="TXM165" s="153"/>
      <c r="TXN165" s="153"/>
      <c r="TXO165" s="153"/>
      <c r="TXP165" s="153"/>
      <c r="TXQ165" s="153"/>
      <c r="TXR165" s="153"/>
      <c r="TXS165" s="153"/>
      <c r="TXT165" s="153"/>
      <c r="TXU165" s="153"/>
      <c r="TXV165" s="153"/>
      <c r="TXW165" s="153"/>
      <c r="TXX165" s="153"/>
      <c r="TXY165" s="153"/>
      <c r="TXZ165" s="153"/>
      <c r="TYA165" s="153"/>
      <c r="TYB165" s="153"/>
      <c r="TYC165" s="153"/>
      <c r="TYD165" s="153"/>
      <c r="TYE165" s="153"/>
      <c r="TYF165" s="153"/>
      <c r="TYG165" s="153"/>
      <c r="TYH165" s="153"/>
      <c r="TYI165" s="153"/>
      <c r="TYJ165" s="153"/>
      <c r="TYK165" s="153"/>
      <c r="TYL165" s="153"/>
      <c r="TYM165" s="153"/>
      <c r="TYN165" s="153"/>
      <c r="TYO165" s="153"/>
      <c r="TYP165" s="153"/>
      <c r="TYQ165" s="153"/>
      <c r="TYR165" s="153"/>
      <c r="TYS165" s="153"/>
      <c r="TYT165" s="153"/>
      <c r="TYU165" s="153"/>
      <c r="TYV165" s="153"/>
      <c r="TYW165" s="153"/>
      <c r="TYX165" s="153"/>
      <c r="TYY165" s="153"/>
      <c r="TYZ165" s="153"/>
      <c r="TZA165" s="153"/>
      <c r="TZB165" s="153"/>
      <c r="TZC165" s="153"/>
      <c r="TZD165" s="153"/>
      <c r="TZE165" s="153"/>
      <c r="TZF165" s="153"/>
      <c r="TZG165" s="153"/>
      <c r="TZH165" s="153"/>
      <c r="TZI165" s="153"/>
      <c r="TZJ165" s="153"/>
      <c r="TZK165" s="153"/>
      <c r="TZL165" s="153"/>
      <c r="TZM165" s="153"/>
      <c r="TZN165" s="153"/>
      <c r="TZO165" s="153"/>
      <c r="TZP165" s="153"/>
      <c r="TZQ165" s="153"/>
      <c r="TZR165" s="153"/>
      <c r="TZS165" s="153"/>
      <c r="TZT165" s="153"/>
      <c r="TZU165" s="153"/>
      <c r="TZV165" s="153"/>
      <c r="TZW165" s="153"/>
      <c r="TZX165" s="153"/>
      <c r="TZY165" s="153"/>
      <c r="TZZ165" s="153"/>
      <c r="UAA165" s="153"/>
      <c r="UAB165" s="153"/>
      <c r="UAC165" s="153"/>
      <c r="UAD165" s="153"/>
      <c r="UAE165" s="153"/>
      <c r="UAF165" s="153"/>
      <c r="UAG165" s="153"/>
      <c r="UAH165" s="153"/>
      <c r="UAI165" s="153"/>
      <c r="UAJ165" s="153"/>
      <c r="UAK165" s="153"/>
      <c r="UAL165" s="153"/>
      <c r="UAM165" s="153"/>
      <c r="UAN165" s="153"/>
      <c r="UAO165" s="153"/>
      <c r="UAP165" s="153"/>
      <c r="UAQ165" s="153"/>
      <c r="UAR165" s="153"/>
      <c r="UAS165" s="153"/>
      <c r="UAT165" s="153"/>
      <c r="UAU165" s="153"/>
      <c r="UAV165" s="153"/>
      <c r="UAW165" s="153"/>
      <c r="UAX165" s="153"/>
      <c r="UAY165" s="153"/>
      <c r="UAZ165" s="153"/>
      <c r="UBA165" s="153"/>
      <c r="UBB165" s="153"/>
      <c r="UBC165" s="153"/>
      <c r="UBD165" s="153"/>
      <c r="UBE165" s="153"/>
      <c r="UBF165" s="153"/>
      <c r="UBG165" s="153"/>
      <c r="UBH165" s="153"/>
      <c r="UBI165" s="153"/>
      <c r="UBJ165" s="153"/>
      <c r="UBK165" s="153"/>
      <c r="UBL165" s="153"/>
      <c r="UBM165" s="153"/>
      <c r="UBN165" s="153"/>
      <c r="UBO165" s="153"/>
      <c r="UBP165" s="153"/>
      <c r="UBQ165" s="153"/>
      <c r="UBR165" s="153"/>
      <c r="UBS165" s="153"/>
      <c r="UBT165" s="153"/>
      <c r="UBU165" s="153"/>
      <c r="UBV165" s="153"/>
      <c r="UBW165" s="153"/>
      <c r="UBX165" s="153"/>
      <c r="UBY165" s="153"/>
      <c r="UBZ165" s="153"/>
      <c r="UCA165" s="153"/>
      <c r="UCB165" s="153"/>
      <c r="UCC165" s="153"/>
      <c r="UCD165" s="153"/>
      <c r="UCE165" s="153"/>
      <c r="UCF165" s="153"/>
      <c r="UCG165" s="153"/>
      <c r="UCH165" s="153"/>
      <c r="UCI165" s="153"/>
      <c r="UCJ165" s="153"/>
      <c r="UCK165" s="153"/>
      <c r="UCL165" s="153"/>
      <c r="UCM165" s="153"/>
      <c r="UCN165" s="153"/>
      <c r="UCO165" s="153"/>
      <c r="UCP165" s="153"/>
      <c r="UCQ165" s="153"/>
      <c r="UCR165" s="153"/>
      <c r="UCS165" s="153"/>
      <c r="UCT165" s="153"/>
      <c r="UCU165" s="153"/>
      <c r="UCV165" s="153"/>
      <c r="UCW165" s="153"/>
      <c r="UCX165" s="153"/>
      <c r="UCY165" s="153"/>
      <c r="UCZ165" s="153"/>
      <c r="UDA165" s="153"/>
      <c r="UDB165" s="153"/>
      <c r="UDC165" s="153"/>
      <c r="UDD165" s="153"/>
      <c r="UDE165" s="153"/>
      <c r="UDF165" s="153"/>
      <c r="UDG165" s="153"/>
      <c r="UDH165" s="153"/>
      <c r="UDI165" s="153"/>
      <c r="UDJ165" s="153"/>
      <c r="UDK165" s="153"/>
      <c r="UDL165" s="153"/>
      <c r="UDM165" s="153"/>
      <c r="UDN165" s="153"/>
      <c r="UDO165" s="153"/>
      <c r="UDP165" s="153"/>
      <c r="UDQ165" s="153"/>
      <c r="UDR165" s="153"/>
      <c r="UDS165" s="153"/>
      <c r="UDT165" s="153"/>
      <c r="UDU165" s="153"/>
      <c r="UDV165" s="153"/>
      <c r="UDW165" s="153"/>
      <c r="UDX165" s="153"/>
      <c r="UDY165" s="153"/>
      <c r="UDZ165" s="153"/>
      <c r="UEA165" s="153"/>
      <c r="UEB165" s="153"/>
      <c r="UEC165" s="153"/>
      <c r="UED165" s="153"/>
      <c r="UEE165" s="153"/>
      <c r="UEF165" s="153"/>
      <c r="UEG165" s="153"/>
      <c r="UEH165" s="153"/>
      <c r="UEI165" s="153"/>
      <c r="UEJ165" s="153"/>
      <c r="UEK165" s="153"/>
      <c r="UEL165" s="153"/>
      <c r="UEM165" s="153"/>
      <c r="UEN165" s="153"/>
      <c r="UEO165" s="153"/>
      <c r="UEP165" s="153"/>
      <c r="UEQ165" s="153"/>
      <c r="UER165" s="153"/>
      <c r="UES165" s="153"/>
      <c r="UET165" s="153"/>
      <c r="UEU165" s="153"/>
      <c r="UEV165" s="153"/>
      <c r="UEW165" s="153"/>
      <c r="UEX165" s="153"/>
      <c r="UEY165" s="153"/>
      <c r="UEZ165" s="153"/>
      <c r="UFA165" s="153"/>
      <c r="UFB165" s="153"/>
      <c r="UFC165" s="153"/>
      <c r="UFD165" s="153"/>
      <c r="UFE165" s="153"/>
      <c r="UFF165" s="153"/>
      <c r="UFG165" s="153"/>
      <c r="UFH165" s="153"/>
      <c r="UFI165" s="153"/>
      <c r="UFJ165" s="153"/>
      <c r="UFK165" s="153"/>
      <c r="UFL165" s="153"/>
      <c r="UFM165" s="153"/>
      <c r="UFN165" s="153"/>
      <c r="UFO165" s="153"/>
      <c r="UFP165" s="153"/>
      <c r="UFQ165" s="153"/>
      <c r="UFR165" s="153"/>
      <c r="UFS165" s="153"/>
      <c r="UFT165" s="153"/>
      <c r="UFU165" s="153"/>
      <c r="UFV165" s="153"/>
      <c r="UFW165" s="153"/>
      <c r="UFX165" s="153"/>
      <c r="UFY165" s="153"/>
      <c r="UFZ165" s="153"/>
      <c r="UGA165" s="153"/>
      <c r="UGB165" s="153"/>
      <c r="UGC165" s="153"/>
      <c r="UGD165" s="153"/>
      <c r="UGE165" s="153"/>
      <c r="UGF165" s="153"/>
      <c r="UGG165" s="153"/>
      <c r="UGH165" s="153"/>
      <c r="UGI165" s="153"/>
      <c r="UGJ165" s="153"/>
      <c r="UGK165" s="153"/>
      <c r="UGL165" s="153"/>
      <c r="UGM165" s="153"/>
      <c r="UGN165" s="153"/>
      <c r="UGO165" s="153"/>
      <c r="UGP165" s="153"/>
      <c r="UGQ165" s="153"/>
      <c r="UGR165" s="153"/>
      <c r="UGS165" s="153"/>
      <c r="UGT165" s="153"/>
      <c r="UGU165" s="153"/>
      <c r="UGV165" s="153"/>
      <c r="UGW165" s="153"/>
      <c r="UGX165" s="153"/>
      <c r="UGY165" s="153"/>
      <c r="UGZ165" s="153"/>
      <c r="UHA165" s="153"/>
      <c r="UHB165" s="153"/>
      <c r="UHC165" s="153"/>
      <c r="UHD165" s="153"/>
      <c r="UHE165" s="153"/>
      <c r="UHF165" s="153"/>
      <c r="UHG165" s="153"/>
      <c r="UHH165" s="153"/>
      <c r="UHI165" s="153"/>
      <c r="UHJ165" s="153"/>
      <c r="UHK165" s="153"/>
      <c r="UHL165" s="153"/>
      <c r="UHM165" s="153"/>
      <c r="UHN165" s="153"/>
      <c r="UHO165" s="153"/>
      <c r="UHP165" s="153"/>
      <c r="UHQ165" s="153"/>
      <c r="UHR165" s="153"/>
      <c r="UHS165" s="153"/>
      <c r="UHT165" s="153"/>
      <c r="UHU165" s="153"/>
      <c r="UHV165" s="153"/>
      <c r="UHW165" s="153"/>
      <c r="UHX165" s="153"/>
      <c r="UHY165" s="153"/>
      <c r="UHZ165" s="153"/>
      <c r="UIA165" s="153"/>
      <c r="UIB165" s="153"/>
      <c r="UIC165" s="153"/>
      <c r="UID165" s="153"/>
      <c r="UIE165" s="153"/>
      <c r="UIF165" s="153"/>
      <c r="UIG165" s="153"/>
      <c r="UIH165" s="153"/>
      <c r="UII165" s="153"/>
      <c r="UIJ165" s="153"/>
      <c r="UIK165" s="153"/>
      <c r="UIL165" s="153"/>
      <c r="UIM165" s="153"/>
      <c r="UIN165" s="153"/>
      <c r="UIO165" s="153"/>
      <c r="UIP165" s="153"/>
      <c r="UIQ165" s="153"/>
      <c r="UIR165" s="153"/>
      <c r="UIS165" s="153"/>
      <c r="UIT165" s="153"/>
      <c r="UIU165" s="153"/>
      <c r="UIV165" s="153"/>
      <c r="UIW165" s="153"/>
      <c r="UIX165" s="153"/>
      <c r="UIY165" s="153"/>
      <c r="UIZ165" s="153"/>
      <c r="UJA165" s="153"/>
      <c r="UJB165" s="153"/>
      <c r="UJC165" s="153"/>
      <c r="UJD165" s="153"/>
      <c r="UJE165" s="153"/>
      <c r="UJF165" s="153"/>
      <c r="UJG165" s="153"/>
      <c r="UJH165" s="153"/>
      <c r="UJI165" s="153"/>
      <c r="UJJ165" s="153"/>
      <c r="UJK165" s="153"/>
      <c r="UJL165" s="153"/>
      <c r="UJM165" s="153"/>
      <c r="UJN165" s="153"/>
      <c r="UJO165" s="153"/>
      <c r="UJP165" s="153"/>
      <c r="UJQ165" s="153"/>
      <c r="UJR165" s="153"/>
      <c r="UJS165" s="153"/>
      <c r="UJT165" s="153"/>
      <c r="UJU165" s="153"/>
      <c r="UJV165" s="153"/>
      <c r="UJW165" s="153"/>
      <c r="UJX165" s="153"/>
      <c r="UJY165" s="153"/>
      <c r="UJZ165" s="153"/>
      <c r="UKA165" s="153"/>
      <c r="UKB165" s="153"/>
      <c r="UKC165" s="153"/>
      <c r="UKD165" s="153"/>
      <c r="UKE165" s="153"/>
      <c r="UKF165" s="153"/>
      <c r="UKG165" s="153"/>
      <c r="UKH165" s="153"/>
      <c r="UKI165" s="153"/>
      <c r="UKJ165" s="153"/>
      <c r="UKK165" s="153"/>
      <c r="UKL165" s="153"/>
      <c r="UKM165" s="153"/>
      <c r="UKN165" s="153"/>
      <c r="UKO165" s="153"/>
      <c r="UKP165" s="153"/>
      <c r="UKQ165" s="153"/>
      <c r="UKR165" s="153"/>
      <c r="UKS165" s="153"/>
      <c r="UKT165" s="153"/>
      <c r="UKU165" s="153"/>
      <c r="UKV165" s="153"/>
      <c r="UKW165" s="153"/>
      <c r="UKX165" s="153"/>
      <c r="UKY165" s="153"/>
      <c r="UKZ165" s="153"/>
      <c r="ULA165" s="153"/>
      <c r="ULB165" s="153"/>
      <c r="ULC165" s="153"/>
      <c r="ULD165" s="153"/>
      <c r="ULE165" s="153"/>
      <c r="ULF165" s="153"/>
      <c r="ULG165" s="153"/>
      <c r="ULH165" s="153"/>
      <c r="ULI165" s="153"/>
      <c r="ULJ165" s="153"/>
      <c r="ULK165" s="153"/>
      <c r="ULL165" s="153"/>
      <c r="ULM165" s="153"/>
      <c r="ULN165" s="153"/>
      <c r="ULO165" s="153"/>
      <c r="ULP165" s="153"/>
      <c r="ULQ165" s="153"/>
      <c r="ULR165" s="153"/>
      <c r="ULS165" s="153"/>
      <c r="ULT165" s="153"/>
      <c r="ULU165" s="153"/>
      <c r="ULV165" s="153"/>
      <c r="ULW165" s="153"/>
      <c r="ULX165" s="153"/>
      <c r="ULY165" s="153"/>
      <c r="ULZ165" s="153"/>
      <c r="UMA165" s="153"/>
      <c r="UMB165" s="153"/>
      <c r="UMC165" s="153"/>
      <c r="UMD165" s="153"/>
      <c r="UME165" s="153"/>
      <c r="UMF165" s="153"/>
      <c r="UMG165" s="153"/>
      <c r="UMH165" s="153"/>
      <c r="UMI165" s="153"/>
      <c r="UMJ165" s="153"/>
      <c r="UMK165" s="153"/>
      <c r="UML165" s="153"/>
      <c r="UMM165" s="153"/>
      <c r="UMN165" s="153"/>
      <c r="UMO165" s="153"/>
      <c r="UMP165" s="153"/>
      <c r="UMQ165" s="153"/>
      <c r="UMR165" s="153"/>
      <c r="UMS165" s="153"/>
      <c r="UMT165" s="153"/>
      <c r="UMU165" s="153"/>
      <c r="UMV165" s="153"/>
      <c r="UMW165" s="153"/>
      <c r="UMX165" s="153"/>
      <c r="UMY165" s="153"/>
      <c r="UMZ165" s="153"/>
      <c r="UNA165" s="153"/>
      <c r="UNB165" s="153"/>
      <c r="UNC165" s="153"/>
      <c r="UND165" s="153"/>
      <c r="UNE165" s="153"/>
      <c r="UNF165" s="153"/>
      <c r="UNG165" s="153"/>
      <c r="UNH165" s="153"/>
      <c r="UNI165" s="153"/>
      <c r="UNJ165" s="153"/>
      <c r="UNK165" s="153"/>
      <c r="UNL165" s="153"/>
      <c r="UNM165" s="153"/>
      <c r="UNN165" s="153"/>
      <c r="UNO165" s="153"/>
      <c r="UNP165" s="153"/>
      <c r="UNQ165" s="153"/>
      <c r="UNR165" s="153"/>
      <c r="UNS165" s="153"/>
      <c r="UNT165" s="153"/>
      <c r="UNU165" s="153"/>
      <c r="UNV165" s="153"/>
      <c r="UNW165" s="153"/>
      <c r="UNX165" s="153"/>
      <c r="UNY165" s="153"/>
      <c r="UNZ165" s="153"/>
      <c r="UOA165" s="153"/>
      <c r="UOB165" s="153"/>
      <c r="UOC165" s="153"/>
      <c r="UOD165" s="153"/>
      <c r="UOE165" s="153"/>
      <c r="UOF165" s="153"/>
      <c r="UOG165" s="153"/>
      <c r="UOH165" s="153"/>
      <c r="UOI165" s="153"/>
      <c r="UOJ165" s="153"/>
      <c r="UOK165" s="153"/>
      <c r="UOL165" s="153"/>
      <c r="UOM165" s="153"/>
      <c r="UON165" s="153"/>
      <c r="UOO165" s="153"/>
      <c r="UOP165" s="153"/>
      <c r="UOQ165" s="153"/>
      <c r="UOR165" s="153"/>
      <c r="UOS165" s="153"/>
      <c r="UOT165" s="153"/>
      <c r="UOU165" s="153"/>
      <c r="UOV165" s="153"/>
      <c r="UOW165" s="153"/>
      <c r="UOX165" s="153"/>
      <c r="UOY165" s="153"/>
      <c r="UOZ165" s="153"/>
      <c r="UPA165" s="153"/>
      <c r="UPB165" s="153"/>
      <c r="UPC165" s="153"/>
      <c r="UPD165" s="153"/>
      <c r="UPE165" s="153"/>
      <c r="UPF165" s="153"/>
      <c r="UPG165" s="153"/>
      <c r="UPH165" s="153"/>
      <c r="UPI165" s="153"/>
      <c r="UPJ165" s="153"/>
      <c r="UPK165" s="153"/>
      <c r="UPL165" s="153"/>
      <c r="UPM165" s="153"/>
      <c r="UPN165" s="153"/>
      <c r="UPO165" s="153"/>
      <c r="UPP165" s="153"/>
      <c r="UPQ165" s="153"/>
      <c r="UPR165" s="153"/>
      <c r="UPS165" s="153"/>
      <c r="UPT165" s="153"/>
      <c r="UPU165" s="153"/>
      <c r="UPV165" s="153"/>
      <c r="UPW165" s="153"/>
      <c r="UPX165" s="153"/>
      <c r="UPY165" s="153"/>
      <c r="UPZ165" s="153"/>
      <c r="UQA165" s="153"/>
      <c r="UQB165" s="153"/>
      <c r="UQC165" s="153"/>
      <c r="UQD165" s="153"/>
      <c r="UQE165" s="153"/>
      <c r="UQF165" s="153"/>
      <c r="UQG165" s="153"/>
      <c r="UQH165" s="153"/>
      <c r="UQI165" s="153"/>
      <c r="UQJ165" s="153"/>
      <c r="UQK165" s="153"/>
      <c r="UQL165" s="153"/>
      <c r="UQM165" s="153"/>
      <c r="UQN165" s="153"/>
      <c r="UQO165" s="153"/>
      <c r="UQP165" s="153"/>
      <c r="UQQ165" s="153"/>
      <c r="UQR165" s="153"/>
      <c r="UQS165" s="153"/>
      <c r="UQT165" s="153"/>
      <c r="UQU165" s="153"/>
      <c r="UQV165" s="153"/>
      <c r="UQW165" s="153"/>
      <c r="UQX165" s="153"/>
      <c r="UQY165" s="153"/>
      <c r="UQZ165" s="153"/>
      <c r="URA165" s="153"/>
      <c r="URB165" s="153"/>
      <c r="URC165" s="153"/>
      <c r="URD165" s="153"/>
      <c r="URE165" s="153"/>
      <c r="URF165" s="153"/>
      <c r="URG165" s="153"/>
      <c r="URH165" s="153"/>
      <c r="URI165" s="153"/>
      <c r="URJ165" s="153"/>
      <c r="URK165" s="153"/>
      <c r="URL165" s="153"/>
      <c r="URM165" s="153"/>
      <c r="URN165" s="153"/>
      <c r="URO165" s="153"/>
      <c r="URP165" s="153"/>
      <c r="URQ165" s="153"/>
      <c r="URR165" s="153"/>
      <c r="URS165" s="153"/>
      <c r="URT165" s="153"/>
      <c r="URU165" s="153"/>
      <c r="URV165" s="153"/>
      <c r="URW165" s="153"/>
      <c r="URX165" s="153"/>
      <c r="URY165" s="153"/>
      <c r="URZ165" s="153"/>
      <c r="USA165" s="153"/>
      <c r="USB165" s="153"/>
      <c r="USC165" s="153"/>
      <c r="USD165" s="153"/>
      <c r="USE165" s="153"/>
      <c r="USF165" s="153"/>
      <c r="USG165" s="153"/>
      <c r="USH165" s="153"/>
      <c r="USI165" s="153"/>
      <c r="USJ165" s="153"/>
      <c r="USK165" s="153"/>
      <c r="USL165" s="153"/>
      <c r="USM165" s="153"/>
      <c r="USN165" s="153"/>
      <c r="USO165" s="153"/>
      <c r="USP165" s="153"/>
      <c r="USQ165" s="153"/>
      <c r="USR165" s="153"/>
      <c r="USS165" s="153"/>
      <c r="UST165" s="153"/>
      <c r="USU165" s="153"/>
      <c r="USV165" s="153"/>
      <c r="USW165" s="153"/>
      <c r="USX165" s="153"/>
      <c r="USY165" s="153"/>
      <c r="USZ165" s="153"/>
      <c r="UTA165" s="153"/>
      <c r="UTB165" s="153"/>
      <c r="UTC165" s="153"/>
      <c r="UTD165" s="153"/>
      <c r="UTE165" s="153"/>
      <c r="UTF165" s="153"/>
      <c r="UTG165" s="153"/>
      <c r="UTH165" s="153"/>
      <c r="UTI165" s="153"/>
      <c r="UTJ165" s="153"/>
      <c r="UTK165" s="153"/>
      <c r="UTL165" s="153"/>
      <c r="UTM165" s="153"/>
      <c r="UTN165" s="153"/>
      <c r="UTO165" s="153"/>
      <c r="UTP165" s="153"/>
      <c r="UTQ165" s="153"/>
      <c r="UTR165" s="153"/>
      <c r="UTS165" s="153"/>
      <c r="UTT165" s="153"/>
      <c r="UTU165" s="153"/>
      <c r="UTV165" s="153"/>
      <c r="UTW165" s="153"/>
      <c r="UTX165" s="153"/>
      <c r="UTY165" s="153"/>
      <c r="UTZ165" s="153"/>
      <c r="UUA165" s="153"/>
      <c r="UUB165" s="153"/>
      <c r="UUC165" s="153"/>
      <c r="UUD165" s="153"/>
      <c r="UUE165" s="153"/>
      <c r="UUF165" s="153"/>
      <c r="UUG165" s="153"/>
      <c r="UUH165" s="153"/>
      <c r="UUI165" s="153"/>
      <c r="UUJ165" s="153"/>
      <c r="UUK165" s="153"/>
      <c r="UUL165" s="153"/>
      <c r="UUM165" s="153"/>
      <c r="UUN165" s="153"/>
      <c r="UUO165" s="153"/>
      <c r="UUP165" s="153"/>
      <c r="UUQ165" s="153"/>
      <c r="UUR165" s="153"/>
      <c r="UUS165" s="153"/>
      <c r="UUT165" s="153"/>
      <c r="UUU165" s="153"/>
      <c r="UUV165" s="153"/>
      <c r="UUW165" s="153"/>
      <c r="UUX165" s="153"/>
      <c r="UUY165" s="153"/>
      <c r="UUZ165" s="153"/>
      <c r="UVA165" s="153"/>
      <c r="UVB165" s="153"/>
      <c r="UVC165" s="153"/>
      <c r="UVD165" s="153"/>
      <c r="UVE165" s="153"/>
      <c r="UVF165" s="153"/>
      <c r="UVG165" s="153"/>
      <c r="UVH165" s="153"/>
      <c r="UVI165" s="153"/>
      <c r="UVJ165" s="153"/>
      <c r="UVK165" s="153"/>
      <c r="UVL165" s="153"/>
      <c r="UVM165" s="153"/>
      <c r="UVN165" s="153"/>
      <c r="UVO165" s="153"/>
      <c r="UVP165" s="153"/>
      <c r="UVQ165" s="153"/>
      <c r="UVR165" s="153"/>
      <c r="UVS165" s="153"/>
      <c r="UVT165" s="153"/>
      <c r="UVU165" s="153"/>
      <c r="UVV165" s="153"/>
      <c r="UVW165" s="153"/>
      <c r="UVX165" s="153"/>
      <c r="UVY165" s="153"/>
      <c r="UVZ165" s="153"/>
      <c r="UWA165" s="153"/>
      <c r="UWB165" s="153"/>
      <c r="UWC165" s="153"/>
      <c r="UWD165" s="153"/>
      <c r="UWE165" s="153"/>
      <c r="UWF165" s="153"/>
      <c r="UWG165" s="153"/>
      <c r="UWH165" s="153"/>
      <c r="UWI165" s="153"/>
      <c r="UWJ165" s="153"/>
      <c r="UWK165" s="153"/>
      <c r="UWL165" s="153"/>
      <c r="UWM165" s="153"/>
      <c r="UWN165" s="153"/>
      <c r="UWO165" s="153"/>
      <c r="UWP165" s="153"/>
      <c r="UWQ165" s="153"/>
      <c r="UWR165" s="153"/>
      <c r="UWS165" s="153"/>
      <c r="UWT165" s="153"/>
      <c r="UWU165" s="153"/>
      <c r="UWV165" s="153"/>
      <c r="UWW165" s="153"/>
      <c r="UWX165" s="153"/>
      <c r="UWY165" s="153"/>
      <c r="UWZ165" s="153"/>
      <c r="UXA165" s="153"/>
      <c r="UXB165" s="153"/>
      <c r="UXC165" s="153"/>
      <c r="UXD165" s="153"/>
      <c r="UXE165" s="153"/>
      <c r="UXF165" s="153"/>
      <c r="UXG165" s="153"/>
      <c r="UXH165" s="153"/>
      <c r="UXI165" s="153"/>
      <c r="UXJ165" s="153"/>
      <c r="UXK165" s="153"/>
      <c r="UXL165" s="153"/>
      <c r="UXM165" s="153"/>
      <c r="UXN165" s="153"/>
      <c r="UXO165" s="153"/>
      <c r="UXP165" s="153"/>
      <c r="UXQ165" s="153"/>
      <c r="UXR165" s="153"/>
      <c r="UXS165" s="153"/>
      <c r="UXT165" s="153"/>
      <c r="UXU165" s="153"/>
      <c r="UXV165" s="153"/>
      <c r="UXW165" s="153"/>
      <c r="UXX165" s="153"/>
      <c r="UXY165" s="153"/>
      <c r="UXZ165" s="153"/>
      <c r="UYA165" s="153"/>
      <c r="UYB165" s="153"/>
      <c r="UYC165" s="153"/>
      <c r="UYD165" s="153"/>
      <c r="UYE165" s="153"/>
      <c r="UYF165" s="153"/>
      <c r="UYG165" s="153"/>
      <c r="UYH165" s="153"/>
      <c r="UYI165" s="153"/>
      <c r="UYJ165" s="153"/>
      <c r="UYK165" s="153"/>
      <c r="UYL165" s="153"/>
      <c r="UYM165" s="153"/>
      <c r="UYN165" s="153"/>
      <c r="UYO165" s="153"/>
      <c r="UYP165" s="153"/>
      <c r="UYQ165" s="153"/>
      <c r="UYR165" s="153"/>
      <c r="UYS165" s="153"/>
      <c r="UYT165" s="153"/>
      <c r="UYU165" s="153"/>
      <c r="UYV165" s="153"/>
      <c r="UYW165" s="153"/>
      <c r="UYX165" s="153"/>
      <c r="UYY165" s="153"/>
      <c r="UYZ165" s="153"/>
      <c r="UZA165" s="153"/>
      <c r="UZB165" s="153"/>
      <c r="UZC165" s="153"/>
      <c r="UZD165" s="153"/>
      <c r="UZE165" s="153"/>
      <c r="UZF165" s="153"/>
      <c r="UZG165" s="153"/>
      <c r="UZH165" s="153"/>
      <c r="UZI165" s="153"/>
      <c r="UZJ165" s="153"/>
      <c r="UZK165" s="153"/>
      <c r="UZL165" s="153"/>
      <c r="UZM165" s="153"/>
      <c r="UZN165" s="153"/>
      <c r="UZO165" s="153"/>
      <c r="UZP165" s="153"/>
      <c r="UZQ165" s="153"/>
      <c r="UZR165" s="153"/>
      <c r="UZS165" s="153"/>
      <c r="UZT165" s="153"/>
      <c r="UZU165" s="153"/>
      <c r="UZV165" s="153"/>
      <c r="UZW165" s="153"/>
      <c r="UZX165" s="153"/>
      <c r="UZY165" s="153"/>
      <c r="UZZ165" s="153"/>
      <c r="VAA165" s="153"/>
      <c r="VAB165" s="153"/>
      <c r="VAC165" s="153"/>
      <c r="VAD165" s="153"/>
      <c r="VAE165" s="153"/>
      <c r="VAF165" s="153"/>
      <c r="VAG165" s="153"/>
      <c r="VAH165" s="153"/>
      <c r="VAI165" s="153"/>
      <c r="VAJ165" s="153"/>
      <c r="VAK165" s="153"/>
      <c r="VAL165" s="153"/>
      <c r="VAM165" s="153"/>
      <c r="VAN165" s="153"/>
      <c r="VAO165" s="153"/>
      <c r="VAP165" s="153"/>
      <c r="VAQ165" s="153"/>
      <c r="VAR165" s="153"/>
      <c r="VAS165" s="153"/>
      <c r="VAT165" s="153"/>
      <c r="VAU165" s="153"/>
      <c r="VAV165" s="153"/>
      <c r="VAW165" s="153"/>
      <c r="VAX165" s="153"/>
      <c r="VAY165" s="153"/>
      <c r="VAZ165" s="153"/>
      <c r="VBA165" s="153"/>
      <c r="VBB165" s="153"/>
      <c r="VBC165" s="153"/>
      <c r="VBD165" s="153"/>
      <c r="VBE165" s="153"/>
      <c r="VBF165" s="153"/>
      <c r="VBG165" s="153"/>
      <c r="VBH165" s="153"/>
      <c r="VBI165" s="153"/>
      <c r="VBJ165" s="153"/>
      <c r="VBK165" s="153"/>
      <c r="VBL165" s="153"/>
      <c r="VBM165" s="153"/>
      <c r="VBN165" s="153"/>
      <c r="VBO165" s="153"/>
      <c r="VBP165" s="153"/>
      <c r="VBQ165" s="153"/>
      <c r="VBR165" s="153"/>
      <c r="VBS165" s="153"/>
      <c r="VBT165" s="153"/>
      <c r="VBU165" s="153"/>
      <c r="VBV165" s="153"/>
      <c r="VBW165" s="153"/>
      <c r="VBX165" s="153"/>
      <c r="VBY165" s="153"/>
      <c r="VBZ165" s="153"/>
      <c r="VCA165" s="153"/>
      <c r="VCB165" s="153"/>
      <c r="VCC165" s="153"/>
      <c r="VCD165" s="153"/>
      <c r="VCE165" s="153"/>
      <c r="VCF165" s="153"/>
      <c r="VCG165" s="153"/>
      <c r="VCH165" s="153"/>
      <c r="VCI165" s="153"/>
      <c r="VCJ165" s="153"/>
      <c r="VCK165" s="153"/>
      <c r="VCL165" s="153"/>
      <c r="VCM165" s="153"/>
      <c r="VCN165" s="153"/>
      <c r="VCO165" s="153"/>
      <c r="VCP165" s="153"/>
      <c r="VCQ165" s="153"/>
      <c r="VCR165" s="153"/>
      <c r="VCS165" s="153"/>
      <c r="VCT165" s="153"/>
      <c r="VCU165" s="153"/>
      <c r="VCV165" s="153"/>
      <c r="VCW165" s="153"/>
      <c r="VCX165" s="153"/>
      <c r="VCY165" s="153"/>
      <c r="VCZ165" s="153"/>
      <c r="VDA165" s="153"/>
      <c r="VDB165" s="153"/>
      <c r="VDC165" s="153"/>
      <c r="VDD165" s="153"/>
      <c r="VDE165" s="153"/>
      <c r="VDF165" s="153"/>
      <c r="VDG165" s="153"/>
      <c r="VDH165" s="153"/>
      <c r="VDI165" s="153"/>
      <c r="VDJ165" s="153"/>
      <c r="VDK165" s="153"/>
      <c r="VDL165" s="153"/>
      <c r="VDM165" s="153"/>
      <c r="VDN165" s="153"/>
      <c r="VDO165" s="153"/>
      <c r="VDP165" s="153"/>
      <c r="VDQ165" s="153"/>
      <c r="VDR165" s="153"/>
      <c r="VDS165" s="153"/>
      <c r="VDT165" s="153"/>
      <c r="VDU165" s="153"/>
      <c r="VDV165" s="153"/>
      <c r="VDW165" s="153"/>
      <c r="VDX165" s="153"/>
      <c r="VDY165" s="153"/>
      <c r="VDZ165" s="153"/>
      <c r="VEA165" s="153"/>
      <c r="VEB165" s="153"/>
      <c r="VEC165" s="153"/>
      <c r="VED165" s="153"/>
      <c r="VEE165" s="153"/>
      <c r="VEF165" s="153"/>
      <c r="VEG165" s="153"/>
      <c r="VEH165" s="153"/>
      <c r="VEI165" s="153"/>
      <c r="VEJ165" s="153"/>
      <c r="VEK165" s="153"/>
      <c r="VEL165" s="153"/>
      <c r="VEM165" s="153"/>
      <c r="VEN165" s="153"/>
      <c r="VEO165" s="153"/>
      <c r="VEP165" s="153"/>
      <c r="VEQ165" s="153"/>
      <c r="VER165" s="153"/>
      <c r="VES165" s="153"/>
      <c r="VET165" s="153"/>
      <c r="VEU165" s="153"/>
      <c r="VEV165" s="153"/>
      <c r="VEW165" s="153"/>
      <c r="VEX165" s="153"/>
      <c r="VEY165" s="153"/>
      <c r="VEZ165" s="153"/>
      <c r="VFA165" s="153"/>
      <c r="VFB165" s="153"/>
      <c r="VFC165" s="153"/>
      <c r="VFD165" s="153"/>
      <c r="VFE165" s="153"/>
      <c r="VFF165" s="153"/>
      <c r="VFG165" s="153"/>
      <c r="VFH165" s="153"/>
      <c r="VFI165" s="153"/>
      <c r="VFJ165" s="153"/>
      <c r="VFK165" s="153"/>
      <c r="VFL165" s="153"/>
      <c r="VFM165" s="153"/>
      <c r="VFN165" s="153"/>
      <c r="VFO165" s="153"/>
      <c r="VFP165" s="153"/>
      <c r="VFQ165" s="153"/>
      <c r="VFR165" s="153"/>
      <c r="VFS165" s="153"/>
      <c r="VFT165" s="153"/>
      <c r="VFU165" s="153"/>
      <c r="VFV165" s="153"/>
      <c r="VFW165" s="153"/>
      <c r="VFX165" s="153"/>
      <c r="VFY165" s="153"/>
      <c r="VFZ165" s="153"/>
      <c r="VGA165" s="153"/>
      <c r="VGB165" s="153"/>
      <c r="VGC165" s="153"/>
      <c r="VGD165" s="153"/>
      <c r="VGE165" s="153"/>
      <c r="VGF165" s="153"/>
      <c r="VGG165" s="153"/>
      <c r="VGH165" s="153"/>
      <c r="VGI165" s="153"/>
      <c r="VGJ165" s="153"/>
      <c r="VGK165" s="153"/>
      <c r="VGL165" s="153"/>
      <c r="VGM165" s="153"/>
      <c r="VGN165" s="153"/>
      <c r="VGO165" s="153"/>
      <c r="VGP165" s="153"/>
      <c r="VGQ165" s="153"/>
      <c r="VGR165" s="153"/>
      <c r="VGS165" s="153"/>
      <c r="VGT165" s="153"/>
      <c r="VGU165" s="153"/>
      <c r="VGV165" s="153"/>
      <c r="VGW165" s="153"/>
      <c r="VGX165" s="153"/>
      <c r="VGY165" s="153"/>
      <c r="VGZ165" s="153"/>
      <c r="VHA165" s="153"/>
      <c r="VHB165" s="153"/>
      <c r="VHC165" s="153"/>
      <c r="VHD165" s="153"/>
      <c r="VHE165" s="153"/>
      <c r="VHF165" s="153"/>
      <c r="VHG165" s="153"/>
      <c r="VHH165" s="153"/>
      <c r="VHI165" s="153"/>
      <c r="VHJ165" s="153"/>
      <c r="VHK165" s="153"/>
      <c r="VHL165" s="153"/>
      <c r="VHM165" s="153"/>
      <c r="VHN165" s="153"/>
      <c r="VHO165" s="153"/>
      <c r="VHP165" s="153"/>
      <c r="VHQ165" s="153"/>
      <c r="VHR165" s="153"/>
      <c r="VHS165" s="153"/>
      <c r="VHT165" s="153"/>
      <c r="VHU165" s="153"/>
      <c r="VHV165" s="153"/>
      <c r="VHW165" s="153"/>
      <c r="VHX165" s="153"/>
      <c r="VHY165" s="153"/>
      <c r="VHZ165" s="153"/>
      <c r="VIA165" s="153"/>
      <c r="VIB165" s="153"/>
      <c r="VIC165" s="153"/>
      <c r="VID165" s="153"/>
      <c r="VIE165" s="153"/>
      <c r="VIF165" s="153"/>
      <c r="VIG165" s="153"/>
      <c r="VIH165" s="153"/>
      <c r="VII165" s="153"/>
      <c r="VIJ165" s="153"/>
      <c r="VIK165" s="153"/>
      <c r="VIL165" s="153"/>
      <c r="VIM165" s="153"/>
      <c r="VIN165" s="153"/>
      <c r="VIO165" s="153"/>
      <c r="VIP165" s="153"/>
      <c r="VIQ165" s="153"/>
      <c r="VIR165" s="153"/>
      <c r="VIS165" s="153"/>
      <c r="VIT165" s="153"/>
      <c r="VIU165" s="153"/>
      <c r="VIV165" s="153"/>
      <c r="VIW165" s="153"/>
      <c r="VIX165" s="153"/>
      <c r="VIY165" s="153"/>
      <c r="VIZ165" s="153"/>
      <c r="VJA165" s="153"/>
      <c r="VJB165" s="153"/>
      <c r="VJC165" s="153"/>
      <c r="VJD165" s="153"/>
      <c r="VJE165" s="153"/>
      <c r="VJF165" s="153"/>
      <c r="VJG165" s="153"/>
      <c r="VJH165" s="153"/>
      <c r="VJI165" s="153"/>
      <c r="VJJ165" s="153"/>
      <c r="VJK165" s="153"/>
      <c r="VJL165" s="153"/>
      <c r="VJM165" s="153"/>
      <c r="VJN165" s="153"/>
      <c r="VJO165" s="153"/>
      <c r="VJP165" s="153"/>
      <c r="VJQ165" s="153"/>
      <c r="VJR165" s="153"/>
      <c r="VJS165" s="153"/>
      <c r="VJT165" s="153"/>
      <c r="VJU165" s="153"/>
      <c r="VJV165" s="153"/>
      <c r="VJW165" s="153"/>
      <c r="VJX165" s="153"/>
      <c r="VJY165" s="153"/>
      <c r="VJZ165" s="153"/>
      <c r="VKA165" s="153"/>
      <c r="VKB165" s="153"/>
      <c r="VKC165" s="153"/>
      <c r="VKD165" s="153"/>
      <c r="VKE165" s="153"/>
      <c r="VKF165" s="153"/>
      <c r="VKG165" s="153"/>
      <c r="VKH165" s="153"/>
      <c r="VKI165" s="153"/>
      <c r="VKJ165" s="153"/>
      <c r="VKK165" s="153"/>
      <c r="VKL165" s="153"/>
      <c r="VKM165" s="153"/>
      <c r="VKN165" s="153"/>
      <c r="VKO165" s="153"/>
      <c r="VKP165" s="153"/>
      <c r="VKQ165" s="153"/>
      <c r="VKR165" s="153"/>
      <c r="VKS165" s="153"/>
      <c r="VKT165" s="153"/>
      <c r="VKU165" s="153"/>
      <c r="VKV165" s="153"/>
      <c r="VKW165" s="153"/>
      <c r="VKX165" s="153"/>
      <c r="VKY165" s="153"/>
      <c r="VKZ165" s="153"/>
      <c r="VLA165" s="153"/>
      <c r="VLB165" s="153"/>
      <c r="VLC165" s="153"/>
      <c r="VLD165" s="153"/>
      <c r="VLE165" s="153"/>
      <c r="VLF165" s="153"/>
      <c r="VLG165" s="153"/>
      <c r="VLH165" s="153"/>
      <c r="VLI165" s="153"/>
      <c r="VLJ165" s="153"/>
      <c r="VLK165" s="153"/>
      <c r="VLL165" s="153"/>
      <c r="VLM165" s="153"/>
      <c r="VLN165" s="153"/>
      <c r="VLO165" s="153"/>
      <c r="VLP165" s="153"/>
      <c r="VLQ165" s="153"/>
      <c r="VLR165" s="153"/>
      <c r="VLS165" s="153"/>
      <c r="VLT165" s="153"/>
      <c r="VLU165" s="153"/>
      <c r="VLV165" s="153"/>
      <c r="VLW165" s="153"/>
      <c r="VLX165" s="153"/>
      <c r="VLY165" s="153"/>
      <c r="VLZ165" s="153"/>
      <c r="VMA165" s="153"/>
      <c r="VMB165" s="153"/>
      <c r="VMC165" s="153"/>
      <c r="VMD165" s="153"/>
      <c r="VME165" s="153"/>
      <c r="VMF165" s="153"/>
      <c r="VMG165" s="153"/>
      <c r="VMH165" s="153"/>
      <c r="VMI165" s="153"/>
      <c r="VMJ165" s="153"/>
      <c r="VMK165" s="153"/>
      <c r="VML165" s="153"/>
      <c r="VMM165" s="153"/>
      <c r="VMN165" s="153"/>
      <c r="VMO165" s="153"/>
      <c r="VMP165" s="153"/>
      <c r="VMQ165" s="153"/>
      <c r="VMR165" s="153"/>
      <c r="VMS165" s="153"/>
      <c r="VMT165" s="153"/>
      <c r="VMU165" s="153"/>
      <c r="VMV165" s="153"/>
      <c r="VMW165" s="153"/>
      <c r="VMX165" s="153"/>
      <c r="VMY165" s="153"/>
      <c r="VMZ165" s="153"/>
      <c r="VNA165" s="153"/>
      <c r="VNB165" s="153"/>
      <c r="VNC165" s="153"/>
      <c r="VND165" s="153"/>
      <c r="VNE165" s="153"/>
      <c r="VNF165" s="153"/>
      <c r="VNG165" s="153"/>
      <c r="VNH165" s="153"/>
      <c r="VNI165" s="153"/>
      <c r="VNJ165" s="153"/>
      <c r="VNK165" s="153"/>
      <c r="VNL165" s="153"/>
      <c r="VNM165" s="153"/>
      <c r="VNN165" s="153"/>
      <c r="VNO165" s="153"/>
      <c r="VNP165" s="153"/>
      <c r="VNQ165" s="153"/>
      <c r="VNR165" s="153"/>
      <c r="VNS165" s="153"/>
      <c r="VNT165" s="153"/>
      <c r="VNU165" s="153"/>
      <c r="VNV165" s="153"/>
      <c r="VNW165" s="153"/>
      <c r="VNX165" s="153"/>
      <c r="VNY165" s="153"/>
      <c r="VNZ165" s="153"/>
      <c r="VOA165" s="153"/>
      <c r="VOB165" s="153"/>
      <c r="VOC165" s="153"/>
      <c r="VOD165" s="153"/>
      <c r="VOE165" s="153"/>
      <c r="VOF165" s="153"/>
      <c r="VOG165" s="153"/>
      <c r="VOH165" s="153"/>
      <c r="VOI165" s="153"/>
      <c r="VOJ165" s="153"/>
      <c r="VOK165" s="153"/>
      <c r="VOL165" s="153"/>
      <c r="VOM165" s="153"/>
      <c r="VON165" s="153"/>
      <c r="VOO165" s="153"/>
      <c r="VOP165" s="153"/>
      <c r="VOQ165" s="153"/>
      <c r="VOR165" s="153"/>
      <c r="VOS165" s="153"/>
      <c r="VOT165" s="153"/>
      <c r="VOU165" s="153"/>
      <c r="VOV165" s="153"/>
      <c r="VOW165" s="153"/>
      <c r="VOX165" s="153"/>
      <c r="VOY165" s="153"/>
      <c r="VOZ165" s="153"/>
      <c r="VPA165" s="153"/>
      <c r="VPB165" s="153"/>
      <c r="VPC165" s="153"/>
      <c r="VPD165" s="153"/>
      <c r="VPE165" s="153"/>
      <c r="VPF165" s="153"/>
      <c r="VPG165" s="153"/>
      <c r="VPH165" s="153"/>
      <c r="VPI165" s="153"/>
      <c r="VPJ165" s="153"/>
      <c r="VPK165" s="153"/>
      <c r="VPL165" s="153"/>
      <c r="VPM165" s="153"/>
      <c r="VPN165" s="153"/>
      <c r="VPO165" s="153"/>
      <c r="VPP165" s="153"/>
      <c r="VPQ165" s="153"/>
      <c r="VPR165" s="153"/>
      <c r="VPS165" s="153"/>
      <c r="VPT165" s="153"/>
      <c r="VPU165" s="153"/>
      <c r="VPV165" s="153"/>
      <c r="VPW165" s="153"/>
      <c r="VPX165" s="153"/>
      <c r="VPY165" s="153"/>
      <c r="VPZ165" s="153"/>
      <c r="VQA165" s="153"/>
      <c r="VQB165" s="153"/>
      <c r="VQC165" s="153"/>
      <c r="VQD165" s="153"/>
      <c r="VQE165" s="153"/>
      <c r="VQF165" s="153"/>
      <c r="VQG165" s="153"/>
      <c r="VQH165" s="153"/>
      <c r="VQI165" s="153"/>
      <c r="VQJ165" s="153"/>
      <c r="VQK165" s="153"/>
      <c r="VQL165" s="153"/>
      <c r="VQM165" s="153"/>
      <c r="VQN165" s="153"/>
      <c r="VQO165" s="153"/>
      <c r="VQP165" s="153"/>
      <c r="VQQ165" s="153"/>
      <c r="VQR165" s="153"/>
      <c r="VQS165" s="153"/>
      <c r="VQT165" s="153"/>
      <c r="VQU165" s="153"/>
      <c r="VQV165" s="153"/>
      <c r="VQW165" s="153"/>
      <c r="VQX165" s="153"/>
      <c r="VQY165" s="153"/>
      <c r="VQZ165" s="153"/>
      <c r="VRA165" s="153"/>
      <c r="VRB165" s="153"/>
      <c r="VRC165" s="153"/>
      <c r="VRD165" s="153"/>
      <c r="VRE165" s="153"/>
      <c r="VRF165" s="153"/>
      <c r="VRG165" s="153"/>
      <c r="VRH165" s="153"/>
      <c r="VRI165" s="153"/>
      <c r="VRJ165" s="153"/>
      <c r="VRK165" s="153"/>
      <c r="VRL165" s="153"/>
      <c r="VRM165" s="153"/>
      <c r="VRN165" s="153"/>
      <c r="VRO165" s="153"/>
      <c r="VRP165" s="153"/>
      <c r="VRQ165" s="153"/>
      <c r="VRR165" s="153"/>
      <c r="VRS165" s="153"/>
      <c r="VRT165" s="153"/>
      <c r="VRU165" s="153"/>
      <c r="VRV165" s="153"/>
      <c r="VRW165" s="153"/>
      <c r="VRX165" s="153"/>
      <c r="VRY165" s="153"/>
      <c r="VRZ165" s="153"/>
      <c r="VSA165" s="153"/>
      <c r="VSB165" s="153"/>
      <c r="VSC165" s="153"/>
      <c r="VSD165" s="153"/>
      <c r="VSE165" s="153"/>
      <c r="VSF165" s="153"/>
      <c r="VSG165" s="153"/>
      <c r="VSH165" s="153"/>
      <c r="VSI165" s="153"/>
      <c r="VSJ165" s="153"/>
      <c r="VSK165" s="153"/>
      <c r="VSL165" s="153"/>
      <c r="VSM165" s="153"/>
      <c r="VSN165" s="153"/>
      <c r="VSO165" s="153"/>
      <c r="VSP165" s="153"/>
      <c r="VSQ165" s="153"/>
      <c r="VSR165" s="153"/>
      <c r="VSS165" s="153"/>
      <c r="VST165" s="153"/>
      <c r="VSU165" s="153"/>
      <c r="VSV165" s="153"/>
      <c r="VSW165" s="153"/>
      <c r="VSX165" s="153"/>
      <c r="VSY165" s="153"/>
      <c r="VSZ165" s="153"/>
      <c r="VTA165" s="153"/>
      <c r="VTB165" s="153"/>
      <c r="VTC165" s="153"/>
      <c r="VTD165" s="153"/>
      <c r="VTE165" s="153"/>
      <c r="VTF165" s="153"/>
      <c r="VTG165" s="153"/>
      <c r="VTH165" s="153"/>
      <c r="VTI165" s="153"/>
      <c r="VTJ165" s="153"/>
      <c r="VTK165" s="153"/>
      <c r="VTL165" s="153"/>
      <c r="VTM165" s="153"/>
      <c r="VTN165" s="153"/>
      <c r="VTO165" s="153"/>
      <c r="VTP165" s="153"/>
      <c r="VTQ165" s="153"/>
      <c r="VTR165" s="153"/>
      <c r="VTS165" s="153"/>
      <c r="VTT165" s="153"/>
      <c r="VTU165" s="153"/>
      <c r="VTV165" s="153"/>
      <c r="VTW165" s="153"/>
      <c r="VTX165" s="153"/>
      <c r="VTY165" s="153"/>
      <c r="VTZ165" s="153"/>
      <c r="VUA165" s="153"/>
      <c r="VUB165" s="153"/>
      <c r="VUC165" s="153"/>
      <c r="VUD165" s="153"/>
      <c r="VUE165" s="153"/>
      <c r="VUF165" s="153"/>
      <c r="VUG165" s="153"/>
      <c r="VUH165" s="153"/>
      <c r="VUI165" s="153"/>
      <c r="VUJ165" s="153"/>
      <c r="VUK165" s="153"/>
      <c r="VUL165" s="153"/>
      <c r="VUM165" s="153"/>
      <c r="VUN165" s="153"/>
      <c r="VUO165" s="153"/>
      <c r="VUP165" s="153"/>
      <c r="VUQ165" s="153"/>
      <c r="VUR165" s="153"/>
      <c r="VUS165" s="153"/>
      <c r="VUT165" s="153"/>
      <c r="VUU165" s="153"/>
      <c r="VUV165" s="153"/>
      <c r="VUW165" s="153"/>
      <c r="VUX165" s="153"/>
      <c r="VUY165" s="153"/>
      <c r="VUZ165" s="153"/>
      <c r="VVA165" s="153"/>
      <c r="VVB165" s="153"/>
      <c r="VVC165" s="153"/>
      <c r="VVD165" s="153"/>
      <c r="VVE165" s="153"/>
      <c r="VVF165" s="153"/>
      <c r="VVG165" s="153"/>
      <c r="VVH165" s="153"/>
      <c r="VVI165" s="153"/>
      <c r="VVJ165" s="153"/>
      <c r="VVK165" s="153"/>
      <c r="VVL165" s="153"/>
      <c r="VVM165" s="153"/>
      <c r="VVN165" s="153"/>
      <c r="VVO165" s="153"/>
      <c r="VVP165" s="153"/>
      <c r="VVQ165" s="153"/>
      <c r="VVR165" s="153"/>
      <c r="VVS165" s="153"/>
      <c r="VVT165" s="153"/>
      <c r="VVU165" s="153"/>
      <c r="VVV165" s="153"/>
      <c r="VVW165" s="153"/>
      <c r="VVX165" s="153"/>
      <c r="VVY165" s="153"/>
      <c r="VVZ165" s="153"/>
      <c r="VWA165" s="153"/>
      <c r="VWB165" s="153"/>
      <c r="VWC165" s="153"/>
      <c r="VWD165" s="153"/>
      <c r="VWE165" s="153"/>
      <c r="VWF165" s="153"/>
      <c r="VWG165" s="153"/>
      <c r="VWH165" s="153"/>
      <c r="VWI165" s="153"/>
      <c r="VWJ165" s="153"/>
      <c r="VWK165" s="153"/>
      <c r="VWL165" s="153"/>
      <c r="VWM165" s="153"/>
      <c r="VWN165" s="153"/>
      <c r="VWO165" s="153"/>
      <c r="VWP165" s="153"/>
      <c r="VWQ165" s="153"/>
      <c r="VWR165" s="153"/>
      <c r="VWS165" s="153"/>
      <c r="VWT165" s="153"/>
      <c r="VWU165" s="153"/>
      <c r="VWV165" s="153"/>
      <c r="VWW165" s="153"/>
      <c r="VWX165" s="153"/>
      <c r="VWY165" s="153"/>
      <c r="VWZ165" s="153"/>
      <c r="VXA165" s="153"/>
      <c r="VXB165" s="153"/>
      <c r="VXC165" s="153"/>
      <c r="VXD165" s="153"/>
      <c r="VXE165" s="153"/>
      <c r="VXF165" s="153"/>
      <c r="VXG165" s="153"/>
      <c r="VXH165" s="153"/>
      <c r="VXI165" s="153"/>
      <c r="VXJ165" s="153"/>
      <c r="VXK165" s="153"/>
      <c r="VXL165" s="153"/>
      <c r="VXM165" s="153"/>
      <c r="VXN165" s="153"/>
      <c r="VXO165" s="153"/>
      <c r="VXP165" s="153"/>
      <c r="VXQ165" s="153"/>
      <c r="VXR165" s="153"/>
      <c r="VXS165" s="153"/>
      <c r="VXT165" s="153"/>
      <c r="VXU165" s="153"/>
      <c r="VXV165" s="153"/>
      <c r="VXW165" s="153"/>
      <c r="VXX165" s="153"/>
      <c r="VXY165" s="153"/>
      <c r="VXZ165" s="153"/>
      <c r="VYA165" s="153"/>
      <c r="VYB165" s="153"/>
      <c r="VYC165" s="153"/>
      <c r="VYD165" s="153"/>
      <c r="VYE165" s="153"/>
      <c r="VYF165" s="153"/>
      <c r="VYG165" s="153"/>
      <c r="VYH165" s="153"/>
      <c r="VYI165" s="153"/>
      <c r="VYJ165" s="153"/>
      <c r="VYK165" s="153"/>
      <c r="VYL165" s="153"/>
      <c r="VYM165" s="153"/>
      <c r="VYN165" s="153"/>
      <c r="VYO165" s="153"/>
      <c r="VYP165" s="153"/>
      <c r="VYQ165" s="153"/>
      <c r="VYR165" s="153"/>
      <c r="VYS165" s="153"/>
      <c r="VYT165" s="153"/>
      <c r="VYU165" s="153"/>
      <c r="VYV165" s="153"/>
      <c r="VYW165" s="153"/>
      <c r="VYX165" s="153"/>
      <c r="VYY165" s="153"/>
      <c r="VYZ165" s="153"/>
      <c r="VZA165" s="153"/>
      <c r="VZB165" s="153"/>
      <c r="VZC165" s="153"/>
      <c r="VZD165" s="153"/>
      <c r="VZE165" s="153"/>
      <c r="VZF165" s="153"/>
      <c r="VZG165" s="153"/>
      <c r="VZH165" s="153"/>
      <c r="VZI165" s="153"/>
      <c r="VZJ165" s="153"/>
      <c r="VZK165" s="153"/>
      <c r="VZL165" s="153"/>
      <c r="VZM165" s="153"/>
      <c r="VZN165" s="153"/>
      <c r="VZO165" s="153"/>
      <c r="VZP165" s="153"/>
      <c r="VZQ165" s="153"/>
      <c r="VZR165" s="153"/>
      <c r="VZS165" s="153"/>
      <c r="VZT165" s="153"/>
      <c r="VZU165" s="153"/>
      <c r="VZV165" s="153"/>
      <c r="VZW165" s="153"/>
      <c r="VZX165" s="153"/>
      <c r="VZY165" s="153"/>
      <c r="VZZ165" s="153"/>
      <c r="WAA165" s="153"/>
      <c r="WAB165" s="153"/>
      <c r="WAC165" s="153"/>
      <c r="WAD165" s="153"/>
      <c r="WAE165" s="153"/>
      <c r="WAF165" s="153"/>
      <c r="WAG165" s="153"/>
      <c r="WAH165" s="153"/>
      <c r="WAI165" s="153"/>
      <c r="WAJ165" s="153"/>
      <c r="WAK165" s="153"/>
      <c r="WAL165" s="153"/>
      <c r="WAM165" s="153"/>
      <c r="WAN165" s="153"/>
      <c r="WAO165" s="153"/>
      <c r="WAP165" s="153"/>
      <c r="WAQ165" s="153"/>
      <c r="WAR165" s="153"/>
      <c r="WAS165" s="153"/>
      <c r="WAT165" s="153"/>
      <c r="WAU165" s="153"/>
      <c r="WAV165" s="153"/>
      <c r="WAW165" s="153"/>
      <c r="WAX165" s="153"/>
      <c r="WAY165" s="153"/>
      <c r="WAZ165" s="153"/>
      <c r="WBA165" s="153"/>
      <c r="WBB165" s="153"/>
      <c r="WBC165" s="153"/>
      <c r="WBD165" s="153"/>
      <c r="WBE165" s="153"/>
      <c r="WBF165" s="153"/>
      <c r="WBG165" s="153"/>
      <c r="WBH165" s="153"/>
      <c r="WBI165" s="153"/>
      <c r="WBJ165" s="153"/>
      <c r="WBK165" s="153"/>
      <c r="WBL165" s="153"/>
      <c r="WBM165" s="153"/>
      <c r="WBN165" s="153"/>
      <c r="WBO165" s="153"/>
      <c r="WBP165" s="153"/>
      <c r="WBQ165" s="153"/>
      <c r="WBR165" s="153"/>
      <c r="WBS165" s="153"/>
      <c r="WBT165" s="153"/>
      <c r="WBU165" s="153"/>
      <c r="WBV165" s="153"/>
      <c r="WBW165" s="153"/>
      <c r="WBX165" s="153"/>
      <c r="WBY165" s="153"/>
      <c r="WBZ165" s="153"/>
      <c r="WCA165" s="153"/>
      <c r="WCB165" s="153"/>
      <c r="WCC165" s="153"/>
      <c r="WCD165" s="153"/>
      <c r="WCE165" s="153"/>
      <c r="WCF165" s="153"/>
      <c r="WCG165" s="153"/>
      <c r="WCH165" s="153"/>
      <c r="WCI165" s="153"/>
      <c r="WCJ165" s="153"/>
      <c r="WCK165" s="153"/>
      <c r="WCL165" s="153"/>
      <c r="WCM165" s="153"/>
      <c r="WCN165" s="153"/>
      <c r="WCO165" s="153"/>
      <c r="WCP165" s="153"/>
      <c r="WCQ165" s="153"/>
      <c r="WCR165" s="153"/>
      <c r="WCS165" s="153"/>
      <c r="WCT165" s="153"/>
      <c r="WCU165" s="153"/>
      <c r="WCV165" s="153"/>
      <c r="WCW165" s="153"/>
      <c r="WCX165" s="153"/>
      <c r="WCY165" s="153"/>
      <c r="WCZ165" s="153"/>
      <c r="WDA165" s="153"/>
      <c r="WDB165" s="153"/>
      <c r="WDC165" s="153"/>
      <c r="WDD165" s="153"/>
      <c r="WDE165" s="153"/>
      <c r="WDF165" s="153"/>
      <c r="WDG165" s="153"/>
      <c r="WDH165" s="153"/>
      <c r="WDI165" s="153"/>
      <c r="WDJ165" s="153"/>
      <c r="WDK165" s="153"/>
      <c r="WDL165" s="153"/>
      <c r="WDM165" s="153"/>
      <c r="WDN165" s="153"/>
      <c r="WDO165" s="153"/>
      <c r="WDP165" s="153"/>
      <c r="WDQ165" s="153"/>
      <c r="WDR165" s="153"/>
      <c r="WDS165" s="153"/>
      <c r="WDT165" s="153"/>
      <c r="WDU165" s="153"/>
      <c r="WDV165" s="153"/>
      <c r="WDW165" s="153"/>
      <c r="WDX165" s="153"/>
      <c r="WDY165" s="153"/>
      <c r="WDZ165" s="153"/>
      <c r="WEA165" s="153"/>
      <c r="WEB165" s="153"/>
      <c r="WEC165" s="153"/>
      <c r="WED165" s="153"/>
      <c r="WEE165" s="153"/>
      <c r="WEF165" s="153"/>
      <c r="WEG165" s="153"/>
      <c r="WEH165" s="153"/>
      <c r="WEI165" s="153"/>
      <c r="WEJ165" s="153"/>
      <c r="WEK165" s="153"/>
      <c r="WEL165" s="153"/>
      <c r="WEM165" s="153"/>
      <c r="WEN165" s="153"/>
      <c r="WEO165" s="153"/>
      <c r="WEP165" s="153"/>
      <c r="WEQ165" s="153"/>
      <c r="WER165" s="153"/>
      <c r="WES165" s="153"/>
      <c r="WET165" s="153"/>
      <c r="WEU165" s="153"/>
      <c r="WEV165" s="153"/>
      <c r="WEW165" s="153"/>
      <c r="WEX165" s="153"/>
      <c r="WEY165" s="153"/>
      <c r="WEZ165" s="153"/>
      <c r="WFA165" s="153"/>
      <c r="WFB165" s="153"/>
      <c r="WFC165" s="153"/>
      <c r="WFD165" s="153"/>
      <c r="WFE165" s="153"/>
      <c r="WFF165" s="153"/>
      <c r="WFG165" s="153"/>
      <c r="WFH165" s="153"/>
      <c r="WFI165" s="153"/>
      <c r="WFJ165" s="153"/>
      <c r="WFK165" s="153"/>
      <c r="WFL165" s="153"/>
      <c r="WFM165" s="153"/>
      <c r="WFN165" s="153"/>
      <c r="WFO165" s="153"/>
      <c r="WFP165" s="153"/>
      <c r="WFQ165" s="153"/>
      <c r="WFR165" s="153"/>
      <c r="WFS165" s="153"/>
      <c r="WFT165" s="153"/>
      <c r="WFU165" s="153"/>
      <c r="WFV165" s="153"/>
      <c r="WFW165" s="153"/>
      <c r="WFX165" s="153"/>
      <c r="WFY165" s="153"/>
      <c r="WFZ165" s="153"/>
      <c r="WGA165" s="153"/>
      <c r="WGB165" s="153"/>
      <c r="WGC165" s="153"/>
      <c r="WGD165" s="153"/>
      <c r="WGE165" s="153"/>
      <c r="WGF165" s="153"/>
      <c r="WGG165" s="153"/>
      <c r="WGH165" s="153"/>
      <c r="WGI165" s="153"/>
      <c r="WGJ165" s="153"/>
      <c r="WGK165" s="153"/>
      <c r="WGL165" s="153"/>
      <c r="WGM165" s="153"/>
      <c r="WGN165" s="153"/>
      <c r="WGO165" s="153"/>
      <c r="WGP165" s="153"/>
      <c r="WGQ165" s="153"/>
      <c r="WGR165" s="153"/>
      <c r="WGS165" s="153"/>
      <c r="WGT165" s="153"/>
      <c r="WGU165" s="153"/>
      <c r="WGV165" s="153"/>
      <c r="WGW165" s="153"/>
      <c r="WGX165" s="153"/>
      <c r="WGY165" s="153"/>
      <c r="WGZ165" s="153"/>
      <c r="WHA165" s="153"/>
      <c r="WHB165" s="153"/>
      <c r="WHC165" s="153"/>
      <c r="WHD165" s="153"/>
      <c r="WHE165" s="153"/>
      <c r="WHF165" s="153"/>
      <c r="WHG165" s="153"/>
      <c r="WHH165" s="153"/>
      <c r="WHI165" s="153"/>
      <c r="WHJ165" s="153"/>
      <c r="WHK165" s="153"/>
      <c r="WHL165" s="153"/>
      <c r="WHM165" s="153"/>
      <c r="WHN165" s="153"/>
      <c r="WHO165" s="153"/>
      <c r="WHP165" s="153"/>
      <c r="WHQ165" s="153"/>
      <c r="WHR165" s="153"/>
      <c r="WHS165" s="153"/>
      <c r="WHT165" s="153"/>
      <c r="WHU165" s="153"/>
      <c r="WHV165" s="153"/>
      <c r="WHW165" s="153"/>
      <c r="WHX165" s="153"/>
      <c r="WHY165" s="153"/>
      <c r="WHZ165" s="153"/>
      <c r="WIA165" s="153"/>
      <c r="WIB165" s="153"/>
      <c r="WIC165" s="153"/>
      <c r="WID165" s="153"/>
      <c r="WIE165" s="153"/>
      <c r="WIF165" s="153"/>
      <c r="WIG165" s="153"/>
      <c r="WIH165" s="153"/>
      <c r="WII165" s="153"/>
      <c r="WIJ165" s="153"/>
      <c r="WIK165" s="153"/>
      <c r="WIL165" s="153"/>
      <c r="WIM165" s="153"/>
      <c r="WIN165" s="153"/>
      <c r="WIO165" s="153"/>
      <c r="WIP165" s="153"/>
      <c r="WIQ165" s="153"/>
      <c r="WIR165" s="153"/>
      <c r="WIS165" s="153"/>
      <c r="WIT165" s="153"/>
      <c r="WIU165" s="153"/>
      <c r="WIV165" s="153"/>
      <c r="WIW165" s="153"/>
      <c r="WIX165" s="153"/>
      <c r="WIY165" s="153"/>
      <c r="WIZ165" s="153"/>
      <c r="WJA165" s="153"/>
      <c r="WJB165" s="153"/>
      <c r="WJC165" s="153"/>
      <c r="WJD165" s="153"/>
      <c r="WJE165" s="153"/>
      <c r="WJF165" s="153"/>
      <c r="WJG165" s="153"/>
      <c r="WJH165" s="153"/>
      <c r="WJI165" s="153"/>
      <c r="WJJ165" s="153"/>
      <c r="WJK165" s="153"/>
      <c r="WJL165" s="153"/>
      <c r="WJM165" s="153"/>
      <c r="WJN165" s="153"/>
      <c r="WJO165" s="153"/>
      <c r="WJP165" s="153"/>
      <c r="WJQ165" s="153"/>
      <c r="WJR165" s="153"/>
      <c r="WJS165" s="153"/>
      <c r="WJT165" s="153"/>
      <c r="WJU165" s="153"/>
      <c r="WJV165" s="153"/>
      <c r="WJW165" s="153"/>
      <c r="WJX165" s="153"/>
      <c r="WJY165" s="153"/>
      <c r="WJZ165" s="153"/>
      <c r="WKA165" s="153"/>
      <c r="WKB165" s="153"/>
      <c r="WKC165" s="153"/>
      <c r="WKD165" s="153"/>
      <c r="WKE165" s="153"/>
      <c r="WKF165" s="153"/>
      <c r="WKG165" s="153"/>
      <c r="WKH165" s="153"/>
      <c r="WKI165" s="153"/>
      <c r="WKJ165" s="153"/>
      <c r="WKK165" s="153"/>
      <c r="WKL165" s="153"/>
      <c r="WKM165" s="153"/>
      <c r="WKN165" s="153"/>
      <c r="WKO165" s="153"/>
      <c r="WKP165" s="153"/>
      <c r="WKQ165" s="153"/>
      <c r="WKR165" s="153"/>
      <c r="WKS165" s="153"/>
      <c r="WKT165" s="153"/>
      <c r="WKU165" s="153"/>
      <c r="WKV165" s="153"/>
      <c r="WKW165" s="153"/>
      <c r="WKX165" s="153"/>
      <c r="WKY165" s="153"/>
      <c r="WKZ165" s="153"/>
      <c r="WLA165" s="153"/>
      <c r="WLB165" s="153"/>
      <c r="WLC165" s="153"/>
      <c r="WLD165" s="153"/>
      <c r="WLE165" s="153"/>
      <c r="WLF165" s="153"/>
      <c r="WLG165" s="153"/>
      <c r="WLH165" s="153"/>
      <c r="WLI165" s="153"/>
      <c r="WLJ165" s="153"/>
      <c r="WLK165" s="153"/>
      <c r="WLL165" s="153"/>
      <c r="WLM165" s="153"/>
      <c r="WLN165" s="153"/>
      <c r="WLO165" s="153"/>
      <c r="WLP165" s="153"/>
      <c r="WLQ165" s="153"/>
      <c r="WLR165" s="153"/>
      <c r="WLS165" s="153"/>
      <c r="WLT165" s="153"/>
      <c r="WLU165" s="153"/>
      <c r="WLV165" s="153"/>
      <c r="WLW165" s="153"/>
      <c r="WLX165" s="153"/>
      <c r="WLY165" s="153"/>
      <c r="WLZ165" s="153"/>
      <c r="WMA165" s="153"/>
      <c r="WMB165" s="153"/>
      <c r="WMC165" s="153"/>
      <c r="WMD165" s="153"/>
      <c r="WME165" s="153"/>
      <c r="WMF165" s="153"/>
      <c r="WMG165" s="153"/>
      <c r="WMH165" s="153"/>
      <c r="WMI165" s="153"/>
      <c r="WMJ165" s="153"/>
      <c r="WMK165" s="153"/>
      <c r="WML165" s="153"/>
      <c r="WMM165" s="153"/>
      <c r="WMN165" s="153"/>
      <c r="WMO165" s="153"/>
      <c r="WMP165" s="153"/>
      <c r="WMQ165" s="153"/>
      <c r="WMR165" s="153"/>
      <c r="WMS165" s="153"/>
      <c r="WMT165" s="153"/>
      <c r="WMU165" s="153"/>
      <c r="WMV165" s="153"/>
      <c r="WMW165" s="153"/>
      <c r="WMX165" s="153"/>
      <c r="WMY165" s="153"/>
      <c r="WMZ165" s="153"/>
      <c r="WNA165" s="153"/>
      <c r="WNB165" s="153"/>
      <c r="WNC165" s="153"/>
      <c r="WND165" s="153"/>
      <c r="WNE165" s="153"/>
      <c r="WNF165" s="153"/>
      <c r="WNG165" s="153"/>
      <c r="WNH165" s="153"/>
      <c r="WNI165" s="153"/>
      <c r="WNJ165" s="153"/>
      <c r="WNK165" s="153"/>
      <c r="WNL165" s="153"/>
      <c r="WNM165" s="153"/>
      <c r="WNN165" s="153"/>
      <c r="WNO165" s="153"/>
      <c r="WNP165" s="153"/>
      <c r="WNQ165" s="153"/>
      <c r="WNR165" s="153"/>
      <c r="WNS165" s="153"/>
      <c r="WNT165" s="153"/>
      <c r="WNU165" s="153"/>
      <c r="WNV165" s="153"/>
      <c r="WNW165" s="153"/>
      <c r="WNX165" s="153"/>
      <c r="WNY165" s="153"/>
      <c r="WNZ165" s="153"/>
      <c r="WOA165" s="153"/>
      <c r="WOB165" s="153"/>
      <c r="WOC165" s="153"/>
      <c r="WOD165" s="153"/>
      <c r="WOE165" s="153"/>
      <c r="WOF165" s="153"/>
      <c r="WOG165" s="153"/>
      <c r="WOH165" s="153"/>
      <c r="WOI165" s="153"/>
      <c r="WOJ165" s="153"/>
      <c r="WOK165" s="153"/>
      <c r="WOL165" s="153"/>
      <c r="WOM165" s="153"/>
      <c r="WON165" s="153"/>
      <c r="WOO165" s="153"/>
      <c r="WOP165" s="153"/>
      <c r="WOQ165" s="153"/>
      <c r="WOR165" s="153"/>
      <c r="WOS165" s="153"/>
      <c r="WOT165" s="153"/>
      <c r="WOU165" s="153"/>
      <c r="WOV165" s="153"/>
      <c r="WOW165" s="153"/>
      <c r="WOX165" s="153"/>
      <c r="WOY165" s="153"/>
      <c r="WOZ165" s="153"/>
      <c r="WPA165" s="153"/>
      <c r="WPB165" s="153"/>
      <c r="WPC165" s="153"/>
      <c r="WPD165" s="153"/>
      <c r="WPE165" s="153"/>
      <c r="WPF165" s="153"/>
      <c r="WPG165" s="153"/>
      <c r="WPH165" s="153"/>
      <c r="WPI165" s="153"/>
      <c r="WPJ165" s="153"/>
      <c r="WPK165" s="153"/>
      <c r="WPL165" s="153"/>
      <c r="WPM165" s="153"/>
      <c r="WPN165" s="153"/>
      <c r="WPO165" s="153"/>
      <c r="WPP165" s="153"/>
      <c r="WPQ165" s="153"/>
      <c r="WPR165" s="153"/>
      <c r="WPS165" s="153"/>
      <c r="WPT165" s="153"/>
      <c r="WPU165" s="153"/>
      <c r="WPV165" s="153"/>
      <c r="WPW165" s="153"/>
      <c r="WPX165" s="153"/>
      <c r="WPY165" s="153"/>
      <c r="WPZ165" s="153"/>
      <c r="WQA165" s="153"/>
      <c r="WQB165" s="153"/>
      <c r="WQC165" s="153"/>
      <c r="WQD165" s="153"/>
      <c r="WQE165" s="153"/>
      <c r="WQF165" s="153"/>
      <c r="WQG165" s="153"/>
      <c r="WQH165" s="153"/>
      <c r="WQI165" s="153"/>
      <c r="WQJ165" s="153"/>
      <c r="WQK165" s="153"/>
      <c r="WQL165" s="153"/>
      <c r="WQM165" s="153"/>
      <c r="WQN165" s="153"/>
      <c r="WQO165" s="153"/>
      <c r="WQP165" s="153"/>
      <c r="WQQ165" s="153"/>
      <c r="WQR165" s="153"/>
      <c r="WQS165" s="153"/>
      <c r="WQT165" s="153"/>
      <c r="WQU165" s="153"/>
      <c r="WQV165" s="153"/>
      <c r="WQW165" s="153"/>
      <c r="WQX165" s="153"/>
      <c r="WQY165" s="153"/>
      <c r="WQZ165" s="153"/>
      <c r="WRA165" s="153"/>
      <c r="WRB165" s="153"/>
      <c r="WRC165" s="153"/>
      <c r="WRD165" s="153"/>
      <c r="WRE165" s="153"/>
      <c r="WRF165" s="153"/>
      <c r="WRG165" s="153"/>
      <c r="WRH165" s="153"/>
      <c r="WRI165" s="153"/>
      <c r="WRJ165" s="153"/>
      <c r="WRK165" s="153"/>
      <c r="WRL165" s="153"/>
      <c r="WRM165" s="153"/>
      <c r="WRN165" s="153"/>
      <c r="WRO165" s="153"/>
      <c r="WRP165" s="153"/>
      <c r="WRQ165" s="153"/>
      <c r="WRR165" s="153"/>
      <c r="WRS165" s="153"/>
      <c r="WRT165" s="153"/>
      <c r="WRU165" s="153"/>
      <c r="WRV165" s="153"/>
      <c r="WRW165" s="153"/>
      <c r="WRX165" s="153"/>
      <c r="WRY165" s="153"/>
      <c r="WRZ165" s="153"/>
      <c r="WSA165" s="153"/>
      <c r="WSB165" s="153"/>
      <c r="WSC165" s="153"/>
      <c r="WSD165" s="153"/>
      <c r="WSE165" s="153"/>
      <c r="WSF165" s="153"/>
      <c r="WSG165" s="153"/>
      <c r="WSH165" s="153"/>
      <c r="WSI165" s="153"/>
      <c r="WSJ165" s="153"/>
      <c r="WSK165" s="153"/>
      <c r="WSL165" s="153"/>
      <c r="WSM165" s="153"/>
      <c r="WSN165" s="153"/>
      <c r="WSO165" s="153"/>
      <c r="WSP165" s="153"/>
      <c r="WSQ165" s="153"/>
      <c r="WSR165" s="153"/>
      <c r="WSS165" s="153"/>
      <c r="WST165" s="153"/>
      <c r="WSU165" s="153"/>
      <c r="WSV165" s="153"/>
      <c r="WSW165" s="153"/>
      <c r="WSX165" s="153"/>
      <c r="WSY165" s="153"/>
      <c r="WSZ165" s="153"/>
      <c r="WTA165" s="153"/>
      <c r="WTB165" s="153"/>
      <c r="WTC165" s="153"/>
      <c r="WTD165" s="153"/>
      <c r="WTE165" s="153"/>
      <c r="WTF165" s="153"/>
      <c r="WTG165" s="153"/>
      <c r="WTH165" s="153"/>
      <c r="WTI165" s="153"/>
      <c r="WTJ165" s="153"/>
      <c r="WTK165" s="153"/>
      <c r="WTL165" s="153"/>
      <c r="WTM165" s="153"/>
      <c r="WTN165" s="153"/>
      <c r="WTO165" s="153"/>
      <c r="WTP165" s="153"/>
      <c r="WTQ165" s="153"/>
      <c r="WTR165" s="153"/>
      <c r="WTS165" s="153"/>
      <c r="WTT165" s="153"/>
      <c r="WTU165" s="153"/>
      <c r="WTV165" s="153"/>
      <c r="WTW165" s="153"/>
      <c r="WTX165" s="153"/>
      <c r="WTY165" s="153"/>
      <c r="WTZ165" s="153"/>
      <c r="WUA165" s="153"/>
      <c r="WUB165" s="153"/>
      <c r="WUC165" s="153"/>
      <c r="WUD165" s="153"/>
      <c r="WUE165" s="153"/>
      <c r="WUF165" s="153"/>
      <c r="WUG165" s="153"/>
      <c r="WUH165" s="153"/>
      <c r="WUI165" s="153"/>
      <c r="WUJ165" s="153"/>
      <c r="WUK165" s="153"/>
      <c r="WUL165" s="153"/>
      <c r="WUM165" s="153"/>
      <c r="WUN165" s="153"/>
      <c r="WUO165" s="153"/>
      <c r="WUP165" s="153"/>
      <c r="WUQ165" s="153"/>
      <c r="WUR165" s="153"/>
      <c r="WUS165" s="153"/>
      <c r="WUT165" s="153"/>
      <c r="WUU165" s="153"/>
      <c r="WUV165" s="153"/>
      <c r="WUW165" s="153"/>
      <c r="WUX165" s="153"/>
      <c r="WUY165" s="153"/>
      <c r="WUZ165" s="153"/>
      <c r="WVA165" s="153"/>
      <c r="WVB165" s="153"/>
      <c r="WVC165" s="153"/>
      <c r="WVD165" s="153"/>
      <c r="WVE165" s="153"/>
      <c r="WVF165" s="153"/>
      <c r="WVG165" s="153"/>
      <c r="WVH165" s="153"/>
      <c r="WVI165" s="153"/>
      <c r="WVJ165" s="153"/>
      <c r="WVK165" s="153"/>
      <c r="WVL165" s="153"/>
      <c r="WVM165" s="153"/>
      <c r="WVN165" s="153"/>
      <c r="WVO165" s="153"/>
      <c r="WVP165" s="153"/>
      <c r="WVQ165" s="153"/>
      <c r="WVR165" s="153"/>
      <c r="WVS165" s="153"/>
      <c r="WVT165" s="153"/>
      <c r="WVU165" s="153"/>
      <c r="WVV165" s="153"/>
      <c r="WVW165" s="153"/>
      <c r="WVX165" s="153"/>
      <c r="WVY165" s="153"/>
      <c r="WVZ165" s="153"/>
      <c r="WWA165" s="153"/>
      <c r="WWB165" s="153"/>
      <c r="WWC165" s="153"/>
      <c r="WWD165" s="153"/>
      <c r="WWE165" s="153"/>
      <c r="WWF165" s="153"/>
      <c r="WWG165" s="153"/>
      <c r="WWH165" s="153"/>
      <c r="WWI165" s="153"/>
      <c r="WWJ165" s="153"/>
      <c r="WWK165" s="153"/>
      <c r="WWL165" s="153"/>
      <c r="WWM165" s="153"/>
      <c r="WWN165" s="153"/>
      <c r="WWO165" s="153"/>
      <c r="WWP165" s="153"/>
      <c r="WWQ165" s="153"/>
      <c r="WWR165" s="153"/>
      <c r="WWS165" s="153"/>
      <c r="WWT165" s="153"/>
      <c r="WWU165" s="153"/>
      <c r="WWV165" s="153"/>
      <c r="WWW165" s="153"/>
      <c r="WWX165" s="153"/>
      <c r="WWY165" s="153"/>
      <c r="WWZ165" s="153"/>
      <c r="WXA165" s="153"/>
      <c r="WXB165" s="153"/>
      <c r="WXC165" s="153"/>
      <c r="WXD165" s="153"/>
      <c r="WXE165" s="153"/>
      <c r="WXF165" s="153"/>
      <c r="WXG165" s="153"/>
      <c r="WXH165" s="153"/>
      <c r="WXI165" s="153"/>
      <c r="WXJ165" s="153"/>
      <c r="WXK165" s="153"/>
      <c r="WXL165" s="153"/>
      <c r="WXM165" s="153"/>
      <c r="WXN165" s="153"/>
      <c r="WXO165" s="153"/>
      <c r="WXP165" s="153"/>
      <c r="WXQ165" s="153"/>
      <c r="WXR165" s="153"/>
      <c r="WXS165" s="153"/>
      <c r="WXT165" s="153"/>
      <c r="WXU165" s="153"/>
      <c r="WXV165" s="153"/>
      <c r="WXW165" s="153"/>
      <c r="WXX165" s="153"/>
      <c r="WXY165" s="153"/>
      <c r="WXZ165" s="153"/>
      <c r="WYA165" s="153"/>
      <c r="WYB165" s="153"/>
      <c r="WYC165" s="153"/>
      <c r="WYD165" s="153"/>
      <c r="WYE165" s="153"/>
      <c r="WYF165" s="153"/>
      <c r="WYG165" s="153"/>
      <c r="WYH165" s="153"/>
      <c r="WYI165" s="153"/>
      <c r="WYJ165" s="153"/>
      <c r="WYK165" s="153"/>
      <c r="WYL165" s="153"/>
      <c r="WYM165" s="153"/>
      <c r="WYN165" s="153"/>
      <c r="WYO165" s="153"/>
      <c r="WYP165" s="153"/>
      <c r="WYQ165" s="153"/>
      <c r="WYR165" s="153"/>
      <c r="WYS165" s="153"/>
      <c r="WYT165" s="153"/>
      <c r="WYU165" s="153"/>
      <c r="WYV165" s="153"/>
      <c r="WYW165" s="153"/>
      <c r="WYX165" s="153"/>
      <c r="WYY165" s="153"/>
      <c r="WYZ165" s="153"/>
      <c r="WZA165" s="153"/>
      <c r="WZB165" s="153"/>
      <c r="WZC165" s="153"/>
      <c r="WZD165" s="153"/>
      <c r="WZE165" s="153"/>
      <c r="WZF165" s="153"/>
      <c r="WZG165" s="153"/>
      <c r="WZH165" s="153"/>
      <c r="WZI165" s="153"/>
      <c r="WZJ165" s="153"/>
      <c r="WZK165" s="153"/>
      <c r="WZL165" s="153"/>
      <c r="WZM165" s="153"/>
      <c r="WZN165" s="153"/>
      <c r="WZO165" s="153"/>
      <c r="WZP165" s="153"/>
      <c r="WZQ165" s="153"/>
      <c r="WZR165" s="153"/>
      <c r="WZS165" s="153"/>
      <c r="WZT165" s="153"/>
      <c r="WZU165" s="153"/>
      <c r="WZV165" s="153"/>
      <c r="WZW165" s="153"/>
      <c r="WZX165" s="153"/>
      <c r="WZY165" s="153"/>
      <c r="WZZ165" s="153"/>
      <c r="XAA165" s="153"/>
      <c r="XAB165" s="153"/>
      <c r="XAC165" s="153"/>
      <c r="XAD165" s="153"/>
      <c r="XAE165" s="153"/>
      <c r="XAF165" s="153"/>
      <c r="XAG165" s="153"/>
      <c r="XAH165" s="153"/>
      <c r="XAI165" s="153"/>
      <c r="XAJ165" s="153"/>
      <c r="XAK165" s="153"/>
    </row>
    <row r="166" spans="1:16261" ht="12" customHeight="1">
      <c r="A166" s="139" t="s">
        <v>1731</v>
      </c>
      <c r="B166" s="139" t="s">
        <v>1685</v>
      </c>
      <c r="C166" s="139">
        <f>50-4-1+1-1-3-2</f>
        <v>40</v>
      </c>
      <c r="D166" s="140" t="s">
        <v>1818</v>
      </c>
      <c r="E166" s="141">
        <f>C166*D166</f>
        <v>792</v>
      </c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  <c r="X166" s="187"/>
      <c r="Y166" s="187"/>
      <c r="Z166" s="187"/>
      <c r="AA166" s="187"/>
      <c r="AB166" s="187"/>
      <c r="AC166" s="187"/>
      <c r="AD166" s="187"/>
      <c r="AE166" s="187"/>
      <c r="AF166" s="187"/>
      <c r="AG166" s="187"/>
      <c r="AH166" s="187"/>
      <c r="AI166" s="187"/>
      <c r="AJ166" s="187"/>
      <c r="AK166" s="187"/>
      <c r="AL166" s="187"/>
      <c r="AM166" s="187"/>
      <c r="AN166" s="187"/>
      <c r="AO166" s="187"/>
      <c r="AP166" s="187"/>
      <c r="AQ166" s="187"/>
      <c r="AR166" s="187"/>
      <c r="AS166" s="187"/>
      <c r="AT166" s="187"/>
      <c r="AU166" s="187"/>
      <c r="AV166" s="187"/>
      <c r="AW166" s="187"/>
      <c r="AX166" s="187"/>
      <c r="AY166" s="187"/>
      <c r="AZ166" s="187"/>
      <c r="BA166" s="187"/>
      <c r="BB166" s="187"/>
      <c r="BC166" s="187"/>
      <c r="BD166" s="187"/>
      <c r="BE166" s="187"/>
      <c r="BF166" s="187"/>
      <c r="BG166" s="187"/>
      <c r="BH166" s="187"/>
      <c r="BI166" s="187"/>
      <c r="BJ166" s="187"/>
      <c r="BK166" s="187"/>
      <c r="BL166" s="187"/>
      <c r="BM166" s="187"/>
      <c r="BN166" s="187"/>
      <c r="BO166" s="187"/>
      <c r="BP166" s="187"/>
      <c r="BQ166" s="187"/>
      <c r="BR166" s="187"/>
      <c r="BS166" s="187"/>
      <c r="BT166" s="187"/>
      <c r="BU166" s="187"/>
      <c r="BV166" s="187"/>
      <c r="BW166" s="187"/>
      <c r="BX166" s="187"/>
      <c r="BY166" s="187"/>
      <c r="BZ166" s="187"/>
      <c r="CA166" s="187"/>
      <c r="CB166" s="187"/>
      <c r="CC166" s="187"/>
      <c r="CD166" s="187"/>
      <c r="CE166" s="187"/>
      <c r="CF166" s="187"/>
      <c r="CG166" s="187"/>
      <c r="CH166" s="187"/>
      <c r="CI166" s="187"/>
      <c r="CJ166" s="187"/>
      <c r="CK166" s="187"/>
      <c r="CL166" s="187"/>
      <c r="CM166" s="187"/>
      <c r="CN166" s="187"/>
      <c r="CO166" s="187"/>
      <c r="CP166" s="187"/>
      <c r="CQ166" s="187"/>
      <c r="CR166" s="187"/>
      <c r="CS166" s="187"/>
      <c r="CT166" s="187"/>
      <c r="CU166" s="187"/>
      <c r="CV166" s="187"/>
      <c r="CW166" s="187"/>
      <c r="CX166" s="187"/>
      <c r="CY166" s="187"/>
      <c r="CZ166" s="187"/>
      <c r="DA166" s="187"/>
      <c r="DB166" s="187"/>
      <c r="DC166" s="187"/>
      <c r="DD166" s="187"/>
      <c r="DE166" s="187"/>
      <c r="DF166" s="187"/>
      <c r="DG166" s="187"/>
      <c r="DH166" s="187"/>
      <c r="DI166" s="187"/>
      <c r="DJ166" s="187"/>
      <c r="DK166" s="187"/>
      <c r="DL166" s="187"/>
      <c r="DM166" s="187"/>
      <c r="DN166" s="187"/>
      <c r="DO166" s="187"/>
      <c r="DP166" s="187"/>
      <c r="DQ166" s="187"/>
      <c r="DR166" s="187"/>
      <c r="DS166" s="187"/>
      <c r="DT166" s="187"/>
      <c r="DU166" s="187"/>
      <c r="DV166" s="187"/>
      <c r="DW166" s="187"/>
      <c r="DX166" s="187"/>
      <c r="DY166" s="187"/>
      <c r="DZ166" s="187"/>
      <c r="EA166" s="187"/>
      <c r="EB166" s="187"/>
      <c r="EC166" s="187"/>
      <c r="ED166" s="187"/>
      <c r="EE166" s="187"/>
      <c r="EF166" s="187"/>
      <c r="EG166" s="187"/>
      <c r="EH166" s="187"/>
      <c r="EI166" s="187"/>
      <c r="EJ166" s="187"/>
      <c r="EK166" s="187"/>
      <c r="EL166" s="187"/>
      <c r="EM166" s="187"/>
      <c r="EN166" s="187"/>
      <c r="EO166" s="187"/>
      <c r="EP166" s="187"/>
      <c r="EQ166" s="187"/>
      <c r="ER166" s="187"/>
      <c r="ES166" s="187"/>
      <c r="ET166" s="187"/>
      <c r="EU166" s="187"/>
      <c r="EV166" s="187"/>
      <c r="EW166" s="187"/>
      <c r="EX166" s="187"/>
      <c r="EY166" s="187"/>
      <c r="EZ166" s="187"/>
      <c r="FA166" s="187"/>
      <c r="FB166" s="187"/>
      <c r="FC166" s="187"/>
      <c r="FD166" s="187"/>
      <c r="FE166" s="187"/>
      <c r="FF166" s="187"/>
      <c r="FG166" s="187"/>
      <c r="FH166" s="187"/>
      <c r="FI166" s="187"/>
      <c r="FJ166" s="187"/>
      <c r="FK166" s="187"/>
      <c r="FL166" s="187"/>
      <c r="FM166" s="187"/>
      <c r="FN166" s="187"/>
      <c r="FO166" s="187"/>
      <c r="FP166" s="187"/>
      <c r="FQ166" s="187"/>
      <c r="FR166" s="187"/>
      <c r="FS166" s="187"/>
      <c r="FT166" s="187"/>
      <c r="FU166" s="187"/>
      <c r="FV166" s="187"/>
      <c r="FW166" s="187"/>
      <c r="FX166" s="187"/>
      <c r="FY166" s="187"/>
      <c r="FZ166" s="187"/>
      <c r="GA166" s="187"/>
      <c r="GB166" s="187"/>
      <c r="GC166" s="187"/>
      <c r="GD166" s="187"/>
      <c r="GE166" s="187"/>
      <c r="GF166" s="187"/>
      <c r="GG166" s="187"/>
      <c r="GH166" s="187"/>
      <c r="GI166" s="187"/>
      <c r="GJ166" s="187"/>
      <c r="GK166" s="187"/>
      <c r="GL166" s="187"/>
      <c r="GM166" s="187"/>
      <c r="GN166" s="187"/>
      <c r="GO166" s="187"/>
      <c r="GP166" s="187"/>
      <c r="GQ166" s="187"/>
      <c r="GR166" s="187"/>
      <c r="GS166" s="187"/>
      <c r="GT166" s="187"/>
      <c r="GU166" s="187"/>
      <c r="GV166" s="187"/>
      <c r="GW166" s="187"/>
      <c r="GX166" s="187"/>
      <c r="GY166" s="187"/>
      <c r="GZ166" s="187"/>
      <c r="HA166" s="187"/>
      <c r="HB166" s="187"/>
      <c r="HC166" s="187"/>
      <c r="HD166" s="187"/>
      <c r="HE166" s="187"/>
      <c r="HF166" s="187"/>
      <c r="HG166" s="187"/>
      <c r="HH166" s="187"/>
      <c r="HI166" s="187"/>
      <c r="HJ166" s="187"/>
      <c r="HK166" s="187"/>
      <c r="HL166" s="187"/>
      <c r="HM166" s="187"/>
      <c r="HN166" s="187"/>
      <c r="HO166" s="187"/>
      <c r="HP166" s="187"/>
      <c r="HQ166" s="187"/>
      <c r="HR166" s="187"/>
      <c r="HS166" s="187"/>
      <c r="HT166" s="187"/>
      <c r="HU166" s="187"/>
      <c r="HV166" s="187"/>
      <c r="HW166" s="187"/>
      <c r="HX166" s="187"/>
      <c r="HY166" s="187"/>
      <c r="HZ166" s="187"/>
      <c r="IA166" s="187"/>
      <c r="IB166" s="187"/>
      <c r="IC166" s="187"/>
      <c r="ID166" s="187"/>
      <c r="IE166" s="187"/>
      <c r="IF166" s="187"/>
      <c r="IG166" s="187"/>
      <c r="IH166" s="187"/>
      <c r="II166" s="187"/>
      <c r="IJ166" s="187"/>
      <c r="IK166" s="187"/>
      <c r="IL166" s="187"/>
      <c r="IM166" s="187"/>
      <c r="IN166" s="187"/>
      <c r="IO166" s="187"/>
      <c r="IP166" s="187"/>
      <c r="IQ166" s="187"/>
      <c r="IR166" s="187"/>
      <c r="IS166" s="187"/>
      <c r="IT166" s="187"/>
      <c r="IU166" s="187"/>
      <c r="IV166" s="187"/>
      <c r="IW166" s="187"/>
      <c r="IX166" s="187"/>
      <c r="IY166" s="187"/>
      <c r="IZ166" s="187"/>
      <c r="JA166" s="187"/>
      <c r="JB166" s="187"/>
      <c r="JC166" s="187"/>
      <c r="JD166" s="187"/>
      <c r="JE166" s="187"/>
      <c r="JF166" s="187"/>
      <c r="JG166" s="187"/>
      <c r="JH166" s="187"/>
      <c r="JI166" s="187"/>
      <c r="JJ166" s="187"/>
      <c r="JK166" s="187"/>
      <c r="JL166" s="187"/>
      <c r="JM166" s="187"/>
      <c r="JN166" s="187"/>
      <c r="JO166" s="187"/>
      <c r="JP166" s="187"/>
      <c r="JQ166" s="187"/>
      <c r="JR166" s="187"/>
      <c r="JS166" s="187"/>
      <c r="JT166" s="187"/>
      <c r="JU166" s="187"/>
      <c r="JV166" s="187"/>
      <c r="JW166" s="187"/>
      <c r="JX166" s="187"/>
      <c r="JY166" s="187"/>
      <c r="JZ166" s="187"/>
      <c r="KA166" s="187"/>
      <c r="KB166" s="187"/>
      <c r="KC166" s="187"/>
      <c r="KD166" s="187"/>
      <c r="KE166" s="187"/>
      <c r="KF166" s="187"/>
      <c r="KG166" s="187"/>
      <c r="KH166" s="187"/>
      <c r="KI166" s="187"/>
      <c r="KJ166" s="187"/>
      <c r="KK166" s="187"/>
      <c r="KL166" s="187"/>
      <c r="KM166" s="187"/>
      <c r="KN166" s="187"/>
      <c r="KO166" s="187"/>
      <c r="KP166" s="187"/>
      <c r="KQ166" s="187"/>
      <c r="KR166" s="187"/>
      <c r="KS166" s="187"/>
      <c r="KT166" s="187"/>
      <c r="KU166" s="187"/>
      <c r="KV166" s="187"/>
      <c r="KW166" s="187"/>
      <c r="KX166" s="187"/>
      <c r="KY166" s="187"/>
      <c r="KZ166" s="187"/>
      <c r="LA166" s="187"/>
      <c r="LB166" s="187"/>
      <c r="LC166" s="187"/>
      <c r="LD166" s="187"/>
      <c r="LE166" s="187"/>
      <c r="LF166" s="187"/>
      <c r="LG166" s="187"/>
      <c r="LH166" s="187"/>
      <c r="LI166" s="187"/>
      <c r="LJ166" s="187"/>
      <c r="LK166" s="187"/>
      <c r="LL166" s="187"/>
      <c r="LM166" s="187"/>
      <c r="LN166" s="187"/>
      <c r="LO166" s="187"/>
      <c r="LP166" s="187"/>
      <c r="LQ166" s="187"/>
      <c r="LR166" s="187"/>
      <c r="LS166" s="187"/>
      <c r="LT166" s="187"/>
      <c r="LU166" s="187"/>
      <c r="LV166" s="187"/>
      <c r="LW166" s="187"/>
      <c r="LX166" s="187"/>
      <c r="LY166" s="187"/>
      <c r="LZ166" s="187"/>
      <c r="MA166" s="187"/>
      <c r="MB166" s="187"/>
      <c r="MC166" s="187"/>
      <c r="MD166" s="187"/>
      <c r="ME166" s="187"/>
      <c r="MF166" s="187"/>
      <c r="MG166" s="187"/>
      <c r="MH166" s="187"/>
      <c r="MI166" s="187"/>
      <c r="MJ166" s="187"/>
      <c r="MK166" s="187"/>
      <c r="ML166" s="187"/>
      <c r="MM166" s="187"/>
      <c r="MN166" s="187"/>
      <c r="MO166" s="187"/>
      <c r="MP166" s="187"/>
      <c r="MQ166" s="187"/>
      <c r="MR166" s="187"/>
      <c r="MS166" s="187"/>
      <c r="MT166" s="187"/>
      <c r="MU166" s="187"/>
      <c r="MV166" s="187"/>
      <c r="MW166" s="187"/>
      <c r="MX166" s="187"/>
      <c r="MY166" s="187"/>
      <c r="MZ166" s="187"/>
      <c r="NA166" s="187"/>
      <c r="NB166" s="187"/>
      <c r="NC166" s="187"/>
      <c r="ND166" s="187"/>
      <c r="NE166" s="187"/>
      <c r="NF166" s="187"/>
      <c r="NG166" s="187"/>
      <c r="NH166" s="187"/>
      <c r="NI166" s="187"/>
      <c r="NJ166" s="187"/>
      <c r="NK166" s="187"/>
      <c r="NL166" s="187"/>
      <c r="NM166" s="187"/>
      <c r="NN166" s="187"/>
      <c r="NO166" s="187"/>
      <c r="NP166" s="187"/>
      <c r="NQ166" s="187"/>
      <c r="NR166" s="187"/>
      <c r="NS166" s="187"/>
      <c r="NT166" s="187"/>
      <c r="NU166" s="187"/>
      <c r="NV166" s="187"/>
      <c r="NW166" s="187"/>
      <c r="NX166" s="187"/>
      <c r="NY166" s="187"/>
      <c r="NZ166" s="187"/>
      <c r="OA166" s="187"/>
      <c r="OB166" s="187"/>
      <c r="OC166" s="187"/>
      <c r="OD166" s="187"/>
      <c r="OE166" s="187"/>
      <c r="OF166" s="187"/>
      <c r="OG166" s="187"/>
      <c r="OH166" s="187"/>
      <c r="OI166" s="187"/>
      <c r="OJ166" s="187"/>
      <c r="OK166" s="187"/>
      <c r="OL166" s="187"/>
      <c r="OM166" s="187"/>
      <c r="ON166" s="187"/>
      <c r="OO166" s="187"/>
      <c r="OP166" s="187"/>
      <c r="OQ166" s="187"/>
      <c r="OR166" s="187"/>
      <c r="OS166" s="187"/>
      <c r="OT166" s="187"/>
      <c r="OU166" s="187"/>
      <c r="OV166" s="187"/>
      <c r="OW166" s="187"/>
      <c r="OX166" s="187"/>
      <c r="OY166" s="187"/>
      <c r="OZ166" s="187"/>
      <c r="PA166" s="187"/>
      <c r="PB166" s="187"/>
      <c r="PC166" s="187"/>
      <c r="PD166" s="187"/>
      <c r="PE166" s="187"/>
      <c r="PF166" s="187"/>
      <c r="PG166" s="187"/>
      <c r="PH166" s="187"/>
      <c r="PI166" s="187"/>
      <c r="PJ166" s="187"/>
      <c r="PK166" s="187"/>
      <c r="PL166" s="187"/>
      <c r="PM166" s="187"/>
      <c r="PN166" s="187"/>
      <c r="PO166" s="187"/>
      <c r="PP166" s="187"/>
      <c r="PQ166" s="187"/>
      <c r="PR166" s="187"/>
      <c r="PS166" s="187"/>
      <c r="PT166" s="187"/>
      <c r="PU166" s="187"/>
      <c r="PV166" s="187"/>
      <c r="PW166" s="187"/>
      <c r="PX166" s="187"/>
      <c r="PY166" s="187"/>
      <c r="PZ166" s="187"/>
      <c r="QA166" s="187"/>
      <c r="QB166" s="187"/>
      <c r="QC166" s="187"/>
      <c r="QD166" s="187"/>
      <c r="QE166" s="187"/>
      <c r="QF166" s="187"/>
      <c r="QG166" s="187"/>
      <c r="QH166" s="187"/>
      <c r="QI166" s="187"/>
      <c r="QJ166" s="187"/>
      <c r="QK166" s="187"/>
      <c r="QL166" s="187"/>
      <c r="QM166" s="187"/>
      <c r="QN166" s="187"/>
      <c r="QO166" s="187"/>
      <c r="QP166" s="187"/>
      <c r="QQ166" s="187"/>
      <c r="QR166" s="187"/>
      <c r="QS166" s="187"/>
      <c r="QT166" s="187"/>
      <c r="QU166" s="187"/>
      <c r="QV166" s="187"/>
      <c r="QW166" s="187"/>
      <c r="QX166" s="187"/>
      <c r="QY166" s="187"/>
      <c r="QZ166" s="187"/>
      <c r="RA166" s="187"/>
      <c r="RB166" s="187"/>
      <c r="RC166" s="187"/>
      <c r="RD166" s="187"/>
      <c r="RE166" s="187"/>
      <c r="RF166" s="187"/>
      <c r="RG166" s="187"/>
      <c r="RH166" s="187"/>
      <c r="RI166" s="187"/>
      <c r="RJ166" s="187"/>
      <c r="RK166" s="187"/>
      <c r="RL166" s="187"/>
      <c r="RM166" s="187"/>
      <c r="RN166" s="187"/>
      <c r="RO166" s="187"/>
      <c r="RP166" s="187"/>
      <c r="RQ166" s="187"/>
      <c r="RR166" s="187"/>
      <c r="RS166" s="187"/>
      <c r="RT166" s="187"/>
      <c r="RU166" s="187"/>
      <c r="RV166" s="187"/>
      <c r="RW166" s="187"/>
      <c r="RX166" s="187"/>
      <c r="RY166" s="187"/>
      <c r="RZ166" s="187"/>
      <c r="SA166" s="187"/>
      <c r="SB166" s="187"/>
      <c r="SC166" s="187"/>
      <c r="SD166" s="187"/>
      <c r="SE166" s="187"/>
      <c r="SF166" s="187"/>
      <c r="SG166" s="187"/>
      <c r="SH166" s="187"/>
      <c r="SI166" s="187"/>
      <c r="SJ166" s="187"/>
      <c r="SK166" s="187"/>
      <c r="SL166" s="187"/>
      <c r="SM166" s="187"/>
      <c r="SN166" s="187"/>
      <c r="SO166" s="187"/>
      <c r="SP166" s="187"/>
      <c r="SQ166" s="187"/>
      <c r="SR166" s="187"/>
      <c r="SS166" s="187"/>
      <c r="ST166" s="187"/>
      <c r="SU166" s="187"/>
      <c r="SV166" s="187"/>
      <c r="SW166" s="187"/>
      <c r="SX166" s="187"/>
      <c r="SY166" s="187"/>
      <c r="SZ166" s="187"/>
      <c r="TA166" s="187"/>
      <c r="TB166" s="187"/>
      <c r="TC166" s="187"/>
      <c r="TD166" s="187"/>
      <c r="TE166" s="187"/>
      <c r="TF166" s="187"/>
      <c r="TG166" s="187"/>
      <c r="TH166" s="187"/>
      <c r="TI166" s="187"/>
      <c r="TJ166" s="187"/>
      <c r="TK166" s="187"/>
      <c r="TL166" s="187"/>
      <c r="TM166" s="187"/>
      <c r="TN166" s="187"/>
      <c r="TO166" s="187"/>
      <c r="TP166" s="187"/>
      <c r="TQ166" s="187"/>
      <c r="TR166" s="187"/>
      <c r="TS166" s="187"/>
      <c r="TT166" s="187"/>
      <c r="TU166" s="187"/>
      <c r="TV166" s="187"/>
      <c r="TW166" s="187"/>
      <c r="TX166" s="187"/>
      <c r="TY166" s="187"/>
      <c r="TZ166" s="187"/>
      <c r="UA166" s="187"/>
      <c r="UB166" s="187"/>
      <c r="UC166" s="187"/>
      <c r="UD166" s="187"/>
      <c r="UE166" s="187"/>
      <c r="UF166" s="187"/>
      <c r="UG166" s="187"/>
      <c r="UH166" s="187"/>
      <c r="UI166" s="187"/>
      <c r="UJ166" s="187"/>
      <c r="UK166" s="187"/>
      <c r="UL166" s="187"/>
      <c r="UM166" s="187"/>
      <c r="UN166" s="187"/>
      <c r="UO166" s="187"/>
      <c r="UP166" s="187"/>
      <c r="UQ166" s="187"/>
      <c r="UR166" s="187"/>
      <c r="US166" s="187"/>
      <c r="UT166" s="187"/>
      <c r="UU166" s="187"/>
      <c r="UV166" s="187"/>
      <c r="UW166" s="187"/>
      <c r="UX166" s="187"/>
      <c r="UY166" s="187"/>
      <c r="UZ166" s="187"/>
      <c r="VA166" s="187"/>
      <c r="VB166" s="187"/>
      <c r="VC166" s="187"/>
      <c r="VD166" s="187"/>
      <c r="VE166" s="187"/>
      <c r="VF166" s="187"/>
      <c r="VG166" s="187"/>
      <c r="VH166" s="187"/>
      <c r="VI166" s="187"/>
      <c r="VJ166" s="187"/>
      <c r="VK166" s="187"/>
      <c r="VL166" s="187"/>
      <c r="VM166" s="187"/>
      <c r="VN166" s="187"/>
      <c r="VO166" s="187"/>
      <c r="VP166" s="187"/>
      <c r="VQ166" s="187"/>
      <c r="VR166" s="187"/>
      <c r="VS166" s="187"/>
      <c r="VT166" s="187"/>
      <c r="VU166" s="187"/>
      <c r="VV166" s="187"/>
      <c r="VW166" s="187"/>
      <c r="VX166" s="187"/>
      <c r="VY166" s="187"/>
      <c r="VZ166" s="187"/>
      <c r="WA166" s="187"/>
      <c r="WB166" s="187"/>
      <c r="WC166" s="187"/>
      <c r="WD166" s="187"/>
      <c r="WE166" s="187"/>
      <c r="WF166" s="187"/>
      <c r="WG166" s="187"/>
      <c r="WH166" s="187"/>
      <c r="WI166" s="187"/>
      <c r="WJ166" s="187"/>
      <c r="WK166" s="187"/>
      <c r="WL166" s="187"/>
      <c r="WM166" s="187"/>
      <c r="WN166" s="187"/>
      <c r="WO166" s="187"/>
      <c r="WP166" s="187"/>
      <c r="WQ166" s="187"/>
      <c r="WR166" s="187"/>
      <c r="WS166" s="187"/>
      <c r="WT166" s="187"/>
      <c r="WU166" s="187"/>
      <c r="WV166" s="187"/>
      <c r="WW166" s="187"/>
      <c r="WX166" s="187"/>
      <c r="WY166" s="187"/>
      <c r="WZ166" s="187"/>
      <c r="XA166" s="187"/>
      <c r="XB166" s="187"/>
      <c r="XC166" s="187"/>
      <c r="XD166" s="187"/>
      <c r="XE166" s="187"/>
      <c r="XF166" s="187"/>
      <c r="XG166" s="187"/>
      <c r="XH166" s="187"/>
      <c r="XI166" s="187"/>
      <c r="XJ166" s="187"/>
      <c r="XK166" s="187"/>
      <c r="XL166" s="187"/>
      <c r="XM166" s="187"/>
      <c r="XN166" s="187"/>
      <c r="XO166" s="187"/>
      <c r="XP166" s="187"/>
      <c r="XQ166" s="187"/>
      <c r="XR166" s="187"/>
      <c r="XS166" s="187"/>
      <c r="XT166" s="187"/>
      <c r="XU166" s="187"/>
      <c r="XV166" s="187"/>
      <c r="XW166" s="187"/>
      <c r="XX166" s="187"/>
      <c r="XY166" s="187"/>
      <c r="XZ166" s="187"/>
      <c r="YA166" s="187"/>
      <c r="YB166" s="187"/>
      <c r="YC166" s="187"/>
      <c r="YD166" s="187"/>
      <c r="YE166" s="187"/>
      <c r="YF166" s="187"/>
      <c r="YG166" s="187"/>
      <c r="YH166" s="187"/>
      <c r="YI166" s="187"/>
      <c r="YJ166" s="187"/>
      <c r="YK166" s="187"/>
      <c r="YL166" s="187"/>
      <c r="YM166" s="187"/>
      <c r="YN166" s="187"/>
      <c r="YO166" s="187"/>
      <c r="YP166" s="187"/>
      <c r="YQ166" s="187"/>
      <c r="YR166" s="187"/>
      <c r="YS166" s="187"/>
      <c r="YT166" s="187"/>
      <c r="YU166" s="187"/>
      <c r="YV166" s="187"/>
      <c r="YW166" s="187"/>
      <c r="YX166" s="187"/>
      <c r="YY166" s="187"/>
      <c r="YZ166" s="187"/>
      <c r="ZA166" s="187"/>
      <c r="ZB166" s="187"/>
      <c r="ZC166" s="187"/>
      <c r="ZD166" s="187"/>
      <c r="ZE166" s="187"/>
      <c r="ZF166" s="187"/>
      <c r="ZG166" s="187"/>
      <c r="ZH166" s="187"/>
      <c r="ZI166" s="187"/>
      <c r="ZJ166" s="187"/>
      <c r="ZK166" s="187"/>
      <c r="ZL166" s="187"/>
      <c r="ZM166" s="187"/>
      <c r="ZN166" s="187"/>
      <c r="ZO166" s="187"/>
      <c r="ZP166" s="187"/>
      <c r="ZQ166" s="187"/>
      <c r="ZR166" s="187"/>
      <c r="ZS166" s="187"/>
      <c r="ZT166" s="187"/>
      <c r="ZU166" s="187"/>
      <c r="ZV166" s="187"/>
      <c r="ZW166" s="187"/>
      <c r="ZX166" s="187"/>
      <c r="ZY166" s="187"/>
      <c r="ZZ166" s="187"/>
      <c r="AAA166" s="187"/>
      <c r="AAB166" s="187"/>
      <c r="AAC166" s="187"/>
      <c r="AAD166" s="187"/>
      <c r="AAE166" s="187"/>
      <c r="AAF166" s="187"/>
      <c r="AAG166" s="187"/>
      <c r="AAH166" s="187"/>
      <c r="AAI166" s="187"/>
      <c r="AAJ166" s="187"/>
      <c r="AAK166" s="187"/>
      <c r="AAL166" s="187"/>
      <c r="AAM166" s="187"/>
      <c r="AAN166" s="187"/>
      <c r="AAO166" s="187"/>
      <c r="AAP166" s="187"/>
      <c r="AAQ166" s="187"/>
      <c r="AAR166" s="187"/>
      <c r="AAS166" s="187"/>
      <c r="AAT166" s="187"/>
      <c r="AAU166" s="187"/>
      <c r="AAV166" s="187"/>
      <c r="AAW166" s="187"/>
      <c r="AAX166" s="187"/>
      <c r="AAY166" s="187"/>
      <c r="AAZ166" s="187"/>
      <c r="ABA166" s="187"/>
      <c r="ABB166" s="187"/>
      <c r="ABC166" s="187"/>
      <c r="ABD166" s="187"/>
      <c r="ABE166" s="187"/>
      <c r="ABF166" s="187"/>
      <c r="ABG166" s="187"/>
      <c r="ABH166" s="187"/>
      <c r="ABI166" s="187"/>
      <c r="ABJ166" s="187"/>
      <c r="ABK166" s="187"/>
      <c r="ABL166" s="187"/>
      <c r="ABM166" s="187"/>
      <c r="ABN166" s="187"/>
      <c r="ABO166" s="187"/>
      <c r="ABP166" s="187"/>
      <c r="ABQ166" s="187"/>
      <c r="ABR166" s="187"/>
      <c r="ABS166" s="187"/>
      <c r="ABT166" s="187"/>
      <c r="ABU166" s="187"/>
      <c r="ABV166" s="187"/>
      <c r="ABW166" s="187"/>
      <c r="ABX166" s="187"/>
      <c r="ABY166" s="187"/>
      <c r="ABZ166" s="187"/>
      <c r="ACA166" s="187"/>
      <c r="ACB166" s="187"/>
      <c r="ACC166" s="187"/>
      <c r="ACD166" s="187"/>
      <c r="ACE166" s="187"/>
      <c r="ACF166" s="187"/>
      <c r="ACG166" s="187"/>
      <c r="ACH166" s="187"/>
      <c r="ACI166" s="187"/>
      <c r="ACJ166" s="187"/>
      <c r="ACK166" s="187"/>
      <c r="ACL166" s="187"/>
      <c r="ACM166" s="187"/>
      <c r="ACN166" s="187"/>
      <c r="ACO166" s="187"/>
      <c r="ACP166" s="187"/>
      <c r="ACQ166" s="187"/>
      <c r="ACR166" s="187"/>
      <c r="ACS166" s="187"/>
      <c r="ACT166" s="187"/>
      <c r="ACU166" s="187"/>
      <c r="ACV166" s="187"/>
      <c r="ACW166" s="187"/>
      <c r="ACX166" s="187"/>
      <c r="ACY166" s="187"/>
      <c r="ACZ166" s="187"/>
      <c r="ADA166" s="187"/>
      <c r="ADB166" s="187"/>
      <c r="ADC166" s="187"/>
      <c r="ADD166" s="187"/>
      <c r="ADE166" s="187"/>
      <c r="ADF166" s="187"/>
      <c r="ADG166" s="187"/>
      <c r="ADH166" s="187"/>
      <c r="ADI166" s="187"/>
      <c r="ADJ166" s="187"/>
      <c r="ADK166" s="187"/>
      <c r="ADL166" s="187"/>
      <c r="ADM166" s="187"/>
      <c r="ADN166" s="187"/>
      <c r="ADO166" s="187"/>
      <c r="ADP166" s="187"/>
      <c r="ADQ166" s="187"/>
      <c r="ADR166" s="187"/>
      <c r="ADS166" s="187"/>
      <c r="ADT166" s="187"/>
      <c r="ADU166" s="187"/>
      <c r="ADV166" s="187"/>
      <c r="ADW166" s="187"/>
      <c r="ADX166" s="187"/>
      <c r="ADY166" s="187"/>
      <c r="ADZ166" s="187"/>
      <c r="AEA166" s="187"/>
      <c r="AEB166" s="187"/>
      <c r="AEC166" s="187"/>
      <c r="AED166" s="187"/>
      <c r="AEE166" s="187"/>
      <c r="AEF166" s="187"/>
      <c r="AEG166" s="187"/>
      <c r="AEH166" s="187"/>
      <c r="AEI166" s="187"/>
      <c r="AEJ166" s="187"/>
      <c r="AEK166" s="187"/>
      <c r="AEL166" s="187"/>
      <c r="AEM166" s="187"/>
      <c r="AEN166" s="187"/>
      <c r="AEO166" s="187"/>
      <c r="AEP166" s="187"/>
      <c r="AEQ166" s="187"/>
      <c r="AER166" s="187"/>
      <c r="AES166" s="187"/>
      <c r="AET166" s="187"/>
      <c r="AEU166" s="187"/>
      <c r="AEV166" s="187"/>
      <c r="AEW166" s="187"/>
      <c r="AEX166" s="187"/>
      <c r="AEY166" s="187"/>
      <c r="AEZ166" s="187"/>
      <c r="AFA166" s="187"/>
      <c r="AFB166" s="187"/>
      <c r="AFC166" s="187"/>
      <c r="AFD166" s="187"/>
      <c r="AFE166" s="187"/>
      <c r="AFF166" s="187"/>
      <c r="AFG166" s="187"/>
      <c r="AFH166" s="187"/>
      <c r="AFI166" s="187"/>
      <c r="AFJ166" s="187"/>
      <c r="AFK166" s="187"/>
      <c r="AFL166" s="187"/>
      <c r="AFM166" s="187"/>
      <c r="AFN166" s="187"/>
      <c r="AFO166" s="187"/>
      <c r="AFP166" s="187"/>
      <c r="AFQ166" s="187"/>
      <c r="AFR166" s="187"/>
      <c r="AFS166" s="187"/>
      <c r="AFT166" s="187"/>
      <c r="AFU166" s="187"/>
      <c r="AFV166" s="187"/>
      <c r="AFW166" s="187"/>
      <c r="AFX166" s="187"/>
      <c r="AFY166" s="187"/>
      <c r="AFZ166" s="187"/>
      <c r="AGA166" s="187"/>
      <c r="AGB166" s="187"/>
      <c r="AGC166" s="187"/>
      <c r="AGD166" s="187"/>
      <c r="AGE166" s="187"/>
      <c r="AGF166" s="187"/>
      <c r="AGG166" s="187"/>
      <c r="AGH166" s="187"/>
      <c r="AGI166" s="187"/>
      <c r="AGJ166" s="187"/>
      <c r="AGK166" s="187"/>
      <c r="AGL166" s="187"/>
      <c r="AGM166" s="187"/>
      <c r="AGN166" s="187"/>
      <c r="AGO166" s="187"/>
      <c r="AGP166" s="187"/>
      <c r="AGQ166" s="187"/>
      <c r="AGR166" s="187"/>
      <c r="AGS166" s="187"/>
      <c r="AGT166" s="187"/>
      <c r="AGU166" s="187"/>
      <c r="AGV166" s="187"/>
      <c r="AGW166" s="187"/>
      <c r="AGX166" s="187"/>
      <c r="AGY166" s="187"/>
      <c r="AGZ166" s="187"/>
      <c r="AHA166" s="187"/>
      <c r="AHB166" s="187"/>
      <c r="AHC166" s="187"/>
      <c r="AHD166" s="187"/>
      <c r="AHE166" s="187"/>
      <c r="AHF166" s="187"/>
      <c r="AHG166" s="187"/>
      <c r="AHH166" s="187"/>
      <c r="AHI166" s="187"/>
      <c r="AHJ166" s="187"/>
      <c r="AHK166" s="187"/>
      <c r="AHL166" s="187"/>
      <c r="AHM166" s="187"/>
      <c r="AHN166" s="187"/>
      <c r="AHO166" s="187"/>
      <c r="AHP166" s="187"/>
      <c r="AHQ166" s="187"/>
      <c r="AHR166" s="187"/>
      <c r="AHS166" s="187"/>
      <c r="AHT166" s="187"/>
      <c r="AHU166" s="187"/>
      <c r="AHV166" s="187"/>
      <c r="AHW166" s="187"/>
      <c r="AHX166" s="187"/>
      <c r="AHY166" s="187"/>
      <c r="AHZ166" s="187"/>
      <c r="AIA166" s="187"/>
      <c r="AIB166" s="187"/>
      <c r="AIC166" s="187"/>
      <c r="AID166" s="187"/>
      <c r="AIE166" s="187"/>
      <c r="AIF166" s="187"/>
      <c r="AIG166" s="187"/>
      <c r="AIH166" s="187"/>
      <c r="AII166" s="187"/>
      <c r="AIJ166" s="187"/>
      <c r="AIK166" s="187"/>
      <c r="AIL166" s="187"/>
      <c r="AIM166" s="187"/>
      <c r="AIN166" s="187"/>
      <c r="AIO166" s="187"/>
      <c r="AIP166" s="187"/>
      <c r="AIQ166" s="187"/>
      <c r="AIR166" s="187"/>
      <c r="AIS166" s="187"/>
      <c r="AIT166" s="187"/>
      <c r="AIU166" s="187"/>
      <c r="AIV166" s="187"/>
      <c r="AIW166" s="187"/>
      <c r="AIX166" s="187"/>
      <c r="AIY166" s="187"/>
      <c r="AIZ166" s="187"/>
      <c r="AJA166" s="187"/>
      <c r="AJB166" s="187"/>
      <c r="AJC166" s="187"/>
      <c r="AJD166" s="187"/>
      <c r="AJE166" s="187"/>
      <c r="AJF166" s="187"/>
      <c r="AJG166" s="187"/>
      <c r="AJH166" s="187"/>
      <c r="AJI166" s="187"/>
      <c r="AJJ166" s="187"/>
      <c r="AJK166" s="187"/>
      <c r="AJL166" s="187"/>
      <c r="AJM166" s="187"/>
      <c r="AJN166" s="187"/>
      <c r="AJO166" s="187"/>
      <c r="AJP166" s="187"/>
      <c r="AJQ166" s="187"/>
      <c r="AJR166" s="187"/>
      <c r="AJS166" s="187"/>
      <c r="AJT166" s="187"/>
      <c r="AJU166" s="187"/>
      <c r="AJV166" s="187"/>
      <c r="AJW166" s="187"/>
      <c r="AJX166" s="187"/>
      <c r="AJY166" s="187"/>
      <c r="AJZ166" s="187"/>
      <c r="AKA166" s="187"/>
      <c r="AKB166" s="187"/>
      <c r="AKC166" s="187"/>
      <c r="AKD166" s="187"/>
      <c r="AKE166" s="187"/>
      <c r="AKF166" s="187"/>
      <c r="AKG166" s="187"/>
      <c r="AKH166" s="187"/>
      <c r="AKI166" s="187"/>
      <c r="AKJ166" s="187"/>
      <c r="AKK166" s="187"/>
      <c r="AKL166" s="187"/>
      <c r="AKM166" s="187"/>
      <c r="AKN166" s="187"/>
      <c r="AKO166" s="187"/>
      <c r="AKP166" s="187"/>
      <c r="AKQ166" s="187"/>
      <c r="AKR166" s="187"/>
      <c r="AKS166" s="187"/>
      <c r="AKT166" s="187"/>
      <c r="AKU166" s="187"/>
      <c r="AKV166" s="187"/>
      <c r="AKW166" s="187"/>
      <c r="AKX166" s="187"/>
      <c r="AKY166" s="187"/>
      <c r="AKZ166" s="187"/>
      <c r="ALA166" s="187"/>
      <c r="ALB166" s="187"/>
      <c r="ALC166" s="187"/>
      <c r="ALD166" s="187"/>
      <c r="ALE166" s="187"/>
      <c r="ALF166" s="187"/>
      <c r="ALG166" s="187"/>
      <c r="ALH166" s="187"/>
      <c r="ALI166" s="187"/>
      <c r="ALJ166" s="187"/>
      <c r="ALK166" s="187"/>
      <c r="ALL166" s="187"/>
      <c r="ALM166" s="187"/>
      <c r="ALN166" s="187"/>
      <c r="ALO166" s="187"/>
      <c r="ALP166" s="187"/>
      <c r="ALQ166" s="187"/>
      <c r="ALR166" s="187"/>
      <c r="ALS166" s="187"/>
      <c r="ALT166" s="187"/>
      <c r="ALU166" s="187"/>
      <c r="ALV166" s="187"/>
      <c r="ALW166" s="187"/>
      <c r="ALX166" s="187"/>
      <c r="ALY166" s="187"/>
      <c r="ALZ166" s="187"/>
      <c r="AMA166" s="187"/>
      <c r="AMB166" s="187"/>
      <c r="AMC166" s="187"/>
      <c r="AMD166" s="187"/>
      <c r="AME166" s="187"/>
      <c r="AMF166" s="187"/>
      <c r="AMG166" s="187"/>
      <c r="AMH166" s="187"/>
      <c r="AMI166" s="187"/>
      <c r="AMJ166" s="187"/>
      <c r="AMK166" s="187"/>
      <c r="AML166" s="187"/>
      <c r="AMM166" s="187"/>
      <c r="AMN166" s="187"/>
      <c r="AMO166" s="187"/>
      <c r="AMP166" s="187"/>
      <c r="AMQ166" s="187"/>
      <c r="AMR166" s="187"/>
      <c r="AMS166" s="187"/>
      <c r="AMT166" s="187"/>
      <c r="AMU166" s="187"/>
      <c r="AMV166" s="187"/>
      <c r="AMW166" s="187"/>
      <c r="AMX166" s="187"/>
      <c r="AMY166" s="187"/>
      <c r="AMZ166" s="187"/>
      <c r="ANA166" s="187"/>
      <c r="ANB166" s="187"/>
      <c r="ANC166" s="187"/>
      <c r="AND166" s="187"/>
      <c r="ANE166" s="187"/>
      <c r="ANF166" s="187"/>
      <c r="ANG166" s="187"/>
      <c r="ANH166" s="187"/>
      <c r="ANI166" s="187"/>
      <c r="ANJ166" s="187"/>
      <c r="ANK166" s="187"/>
      <c r="ANL166" s="187"/>
      <c r="ANM166" s="187"/>
      <c r="ANN166" s="187"/>
      <c r="ANO166" s="187"/>
      <c r="ANP166" s="187"/>
      <c r="ANQ166" s="187"/>
      <c r="ANR166" s="187"/>
      <c r="ANS166" s="187"/>
      <c r="ANT166" s="187"/>
      <c r="ANU166" s="187"/>
      <c r="ANV166" s="187"/>
      <c r="ANW166" s="187"/>
      <c r="ANX166" s="187"/>
      <c r="ANY166" s="187"/>
      <c r="ANZ166" s="187"/>
      <c r="AOA166" s="187"/>
      <c r="AOB166" s="187"/>
      <c r="AOC166" s="187"/>
      <c r="AOD166" s="187"/>
      <c r="AOE166" s="187"/>
      <c r="AOF166" s="187"/>
      <c r="AOG166" s="187"/>
      <c r="AOH166" s="187"/>
      <c r="AOI166" s="187"/>
      <c r="AOJ166" s="187"/>
      <c r="AOK166" s="187"/>
      <c r="AOL166" s="187"/>
      <c r="AOM166" s="187"/>
      <c r="AON166" s="187"/>
      <c r="AOO166" s="187"/>
      <c r="AOP166" s="187"/>
      <c r="AOQ166" s="187"/>
      <c r="AOR166" s="187"/>
      <c r="AOS166" s="187"/>
      <c r="AOT166" s="187"/>
      <c r="AOU166" s="187"/>
      <c r="AOV166" s="187"/>
      <c r="AOW166" s="187"/>
      <c r="AOX166" s="187"/>
      <c r="AOY166" s="187"/>
      <c r="AOZ166" s="187"/>
      <c r="APA166" s="187"/>
      <c r="APB166" s="187"/>
      <c r="APC166" s="187"/>
      <c r="APD166" s="187"/>
      <c r="APE166" s="187"/>
      <c r="APF166" s="187"/>
      <c r="APG166" s="187"/>
      <c r="APH166" s="187"/>
      <c r="API166" s="187"/>
      <c r="APJ166" s="187"/>
      <c r="APK166" s="187"/>
      <c r="APL166" s="187"/>
      <c r="APM166" s="187"/>
      <c r="APN166" s="187"/>
      <c r="APO166" s="187"/>
      <c r="APP166" s="187"/>
      <c r="APQ166" s="187"/>
      <c r="APR166" s="187"/>
      <c r="APS166" s="187"/>
      <c r="APT166" s="187"/>
      <c r="APU166" s="187"/>
      <c r="APV166" s="187"/>
      <c r="APW166" s="187"/>
      <c r="APX166" s="187"/>
      <c r="APY166" s="187"/>
      <c r="APZ166" s="187"/>
      <c r="AQA166" s="187"/>
      <c r="AQB166" s="187"/>
      <c r="AQC166" s="187"/>
      <c r="AQD166" s="187"/>
      <c r="AQE166" s="187"/>
      <c r="AQF166" s="187"/>
      <c r="AQG166" s="187"/>
      <c r="AQH166" s="187"/>
      <c r="AQI166" s="187"/>
      <c r="AQJ166" s="187"/>
      <c r="AQK166" s="187"/>
      <c r="AQL166" s="187"/>
      <c r="AQM166" s="187"/>
      <c r="AQN166" s="187"/>
      <c r="AQO166" s="187"/>
      <c r="AQP166" s="187"/>
      <c r="AQQ166" s="187"/>
      <c r="AQR166" s="187"/>
      <c r="AQS166" s="187"/>
      <c r="AQT166" s="187"/>
      <c r="AQU166" s="187"/>
      <c r="AQV166" s="187"/>
      <c r="AQW166" s="187"/>
      <c r="AQX166" s="187"/>
      <c r="AQY166" s="187"/>
      <c r="AQZ166" s="187"/>
      <c r="ARA166" s="187"/>
      <c r="ARB166" s="187"/>
      <c r="ARC166" s="187"/>
      <c r="ARD166" s="187"/>
      <c r="ARE166" s="187"/>
      <c r="ARF166" s="187"/>
      <c r="ARG166" s="187"/>
      <c r="ARH166" s="187"/>
      <c r="ARI166" s="187"/>
      <c r="ARJ166" s="187"/>
      <c r="ARK166" s="187"/>
      <c r="ARL166" s="187"/>
      <c r="ARM166" s="187"/>
      <c r="ARN166" s="187"/>
      <c r="ARO166" s="187"/>
      <c r="ARP166" s="187"/>
      <c r="ARQ166" s="187"/>
      <c r="ARR166" s="187"/>
      <c r="ARS166" s="187"/>
      <c r="ART166" s="187"/>
      <c r="ARU166" s="187"/>
      <c r="ARV166" s="187"/>
      <c r="ARW166" s="187"/>
      <c r="ARX166" s="187"/>
      <c r="ARY166" s="187"/>
      <c r="ARZ166" s="187"/>
      <c r="ASA166" s="187"/>
      <c r="ASB166" s="187"/>
      <c r="ASC166" s="187"/>
      <c r="ASD166" s="187"/>
      <c r="ASE166" s="187"/>
      <c r="ASF166" s="187"/>
      <c r="ASG166" s="187"/>
      <c r="ASH166" s="187"/>
      <c r="ASI166" s="187"/>
      <c r="ASJ166" s="187"/>
      <c r="ASK166" s="187"/>
      <c r="ASL166" s="187"/>
      <c r="ASM166" s="187"/>
      <c r="ASN166" s="187"/>
      <c r="ASO166" s="187"/>
      <c r="ASP166" s="187"/>
      <c r="ASQ166" s="187"/>
      <c r="ASR166" s="187"/>
      <c r="ASS166" s="187"/>
      <c r="AST166" s="187"/>
      <c r="ASU166" s="187"/>
      <c r="ASV166" s="187"/>
      <c r="ASW166" s="187"/>
      <c r="ASX166" s="187"/>
      <c r="ASY166" s="187"/>
      <c r="ASZ166" s="187"/>
      <c r="ATA166" s="187"/>
      <c r="ATB166" s="187"/>
      <c r="ATC166" s="187"/>
      <c r="ATD166" s="187"/>
      <c r="ATE166" s="187"/>
      <c r="ATF166" s="187"/>
      <c r="ATG166" s="187"/>
      <c r="ATH166" s="187"/>
      <c r="ATI166" s="187"/>
      <c r="ATJ166" s="187"/>
      <c r="ATK166" s="187"/>
      <c r="ATL166" s="187"/>
      <c r="ATM166" s="187"/>
      <c r="ATN166" s="187"/>
      <c r="ATO166" s="187"/>
      <c r="ATP166" s="187"/>
      <c r="ATQ166" s="187"/>
      <c r="ATR166" s="187"/>
      <c r="ATS166" s="187"/>
      <c r="ATT166" s="187"/>
      <c r="ATU166" s="187"/>
      <c r="ATV166" s="187"/>
      <c r="ATW166" s="187"/>
      <c r="ATX166" s="187"/>
      <c r="ATY166" s="187"/>
      <c r="ATZ166" s="187"/>
      <c r="AUA166" s="187"/>
      <c r="AUB166" s="187"/>
      <c r="AUC166" s="187"/>
      <c r="AUD166" s="187"/>
      <c r="AUE166" s="187"/>
      <c r="AUF166" s="187"/>
      <c r="AUG166" s="187"/>
      <c r="AUH166" s="187"/>
      <c r="AUI166" s="187"/>
      <c r="AUJ166" s="187"/>
      <c r="AUK166" s="187"/>
      <c r="AUL166" s="187"/>
      <c r="AUM166" s="187"/>
      <c r="AUN166" s="187"/>
      <c r="AUO166" s="187"/>
      <c r="AUP166" s="187"/>
      <c r="AUQ166" s="187"/>
      <c r="AUR166" s="187"/>
      <c r="AUS166" s="187"/>
      <c r="AUT166" s="187"/>
      <c r="AUU166" s="187"/>
      <c r="AUV166" s="187"/>
      <c r="AUW166" s="187"/>
      <c r="AUX166" s="187"/>
      <c r="AUY166" s="187"/>
      <c r="AUZ166" s="187"/>
      <c r="AVA166" s="187"/>
      <c r="AVB166" s="187"/>
      <c r="AVC166" s="187"/>
      <c r="AVD166" s="187"/>
      <c r="AVE166" s="187"/>
      <c r="AVF166" s="187"/>
      <c r="AVG166" s="187"/>
      <c r="AVH166" s="187"/>
      <c r="AVI166" s="187"/>
      <c r="AVJ166" s="187"/>
      <c r="AVK166" s="187"/>
      <c r="AVL166" s="187"/>
      <c r="AVM166" s="187"/>
      <c r="AVN166" s="187"/>
      <c r="AVO166" s="187"/>
      <c r="AVP166" s="187"/>
      <c r="AVQ166" s="187"/>
      <c r="AVR166" s="187"/>
      <c r="AVS166" s="187"/>
      <c r="AVT166" s="187"/>
      <c r="AVU166" s="187"/>
      <c r="AVV166" s="187"/>
      <c r="AVW166" s="187"/>
      <c r="AVX166" s="187"/>
      <c r="AVY166" s="187"/>
      <c r="AVZ166" s="187"/>
      <c r="AWA166" s="187"/>
      <c r="AWB166" s="187"/>
      <c r="AWC166" s="187"/>
      <c r="AWD166" s="187"/>
      <c r="AWE166" s="187"/>
      <c r="AWF166" s="187"/>
      <c r="AWG166" s="187"/>
      <c r="AWH166" s="187"/>
      <c r="AWI166" s="187"/>
      <c r="AWJ166" s="187"/>
      <c r="AWK166" s="187"/>
      <c r="AWL166" s="187"/>
      <c r="AWM166" s="187"/>
      <c r="AWN166" s="187"/>
      <c r="AWO166" s="187"/>
      <c r="AWP166" s="187"/>
      <c r="AWQ166" s="187"/>
      <c r="AWR166" s="187"/>
      <c r="AWS166" s="187"/>
      <c r="AWT166" s="187"/>
      <c r="AWU166" s="187"/>
      <c r="AWV166" s="187"/>
      <c r="AWW166" s="187"/>
      <c r="AWX166" s="187"/>
      <c r="AWY166" s="187"/>
      <c r="AWZ166" s="187"/>
      <c r="AXA166" s="187"/>
      <c r="AXB166" s="187"/>
      <c r="AXC166" s="187"/>
      <c r="AXD166" s="187"/>
      <c r="AXE166" s="187"/>
      <c r="AXF166" s="187"/>
      <c r="AXG166" s="187"/>
      <c r="AXH166" s="187"/>
      <c r="AXI166" s="187"/>
      <c r="AXJ166" s="187"/>
      <c r="AXK166" s="187"/>
      <c r="AXL166" s="187"/>
      <c r="AXM166" s="187"/>
      <c r="AXN166" s="187"/>
      <c r="AXO166" s="187"/>
      <c r="AXP166" s="187"/>
      <c r="AXQ166" s="187"/>
      <c r="AXR166" s="187"/>
      <c r="AXS166" s="187"/>
      <c r="AXT166" s="187"/>
      <c r="AXU166" s="187"/>
      <c r="AXV166" s="187"/>
      <c r="AXW166" s="187"/>
      <c r="AXX166" s="187"/>
      <c r="AXY166" s="187"/>
      <c r="AXZ166" s="187"/>
      <c r="AYA166" s="187"/>
      <c r="AYB166" s="187"/>
      <c r="AYC166" s="187"/>
      <c r="AYD166" s="187"/>
      <c r="AYE166" s="187"/>
      <c r="AYF166" s="187"/>
      <c r="AYG166" s="187"/>
      <c r="AYH166" s="187"/>
      <c r="AYI166" s="187"/>
      <c r="AYJ166" s="187"/>
      <c r="AYK166" s="187"/>
      <c r="AYL166" s="187"/>
      <c r="AYM166" s="187"/>
      <c r="AYN166" s="187"/>
      <c r="AYO166" s="187"/>
      <c r="AYP166" s="187"/>
      <c r="AYQ166" s="187"/>
      <c r="AYR166" s="187"/>
      <c r="AYS166" s="187"/>
      <c r="AYT166" s="187"/>
      <c r="AYU166" s="187"/>
      <c r="AYV166" s="187"/>
      <c r="AYW166" s="187"/>
      <c r="AYX166" s="187"/>
      <c r="AYY166" s="187"/>
      <c r="AYZ166" s="187"/>
      <c r="AZA166" s="187"/>
      <c r="AZB166" s="187"/>
      <c r="AZC166" s="187"/>
      <c r="AZD166" s="187"/>
      <c r="AZE166" s="187"/>
      <c r="AZF166" s="187"/>
      <c r="AZG166" s="187"/>
      <c r="AZH166" s="187"/>
      <c r="AZI166" s="187"/>
      <c r="AZJ166" s="187"/>
      <c r="AZK166" s="187"/>
      <c r="AZL166" s="187"/>
      <c r="AZM166" s="187"/>
      <c r="AZN166" s="187"/>
      <c r="AZO166" s="187"/>
      <c r="AZP166" s="187"/>
      <c r="AZQ166" s="187"/>
      <c r="AZR166" s="187"/>
      <c r="AZS166" s="187"/>
      <c r="AZT166" s="187"/>
      <c r="AZU166" s="187"/>
      <c r="AZV166" s="187"/>
      <c r="AZW166" s="187"/>
      <c r="AZX166" s="187"/>
      <c r="AZY166" s="187"/>
      <c r="AZZ166" s="187"/>
      <c r="BAA166" s="187"/>
      <c r="BAB166" s="187"/>
      <c r="BAC166" s="187"/>
      <c r="BAD166" s="187"/>
      <c r="BAE166" s="187"/>
      <c r="BAF166" s="187"/>
      <c r="BAG166" s="187"/>
      <c r="BAH166" s="187"/>
      <c r="BAI166" s="187"/>
      <c r="BAJ166" s="187"/>
      <c r="BAK166" s="187"/>
      <c r="BAL166" s="187"/>
      <c r="BAM166" s="187"/>
      <c r="BAN166" s="187"/>
      <c r="BAO166" s="187"/>
      <c r="BAP166" s="187"/>
      <c r="BAQ166" s="187"/>
      <c r="BAR166" s="187"/>
      <c r="BAS166" s="187"/>
      <c r="BAT166" s="187"/>
      <c r="BAU166" s="187"/>
      <c r="BAV166" s="187"/>
      <c r="BAW166" s="187"/>
      <c r="BAX166" s="187"/>
      <c r="BAY166" s="187"/>
      <c r="BAZ166" s="187"/>
      <c r="BBA166" s="187"/>
      <c r="BBB166" s="187"/>
      <c r="BBC166" s="187"/>
      <c r="BBD166" s="187"/>
      <c r="BBE166" s="187"/>
      <c r="BBF166" s="187"/>
      <c r="BBG166" s="187"/>
      <c r="BBH166" s="187"/>
      <c r="BBI166" s="187"/>
      <c r="BBJ166" s="187"/>
      <c r="BBK166" s="187"/>
      <c r="BBL166" s="187"/>
      <c r="BBM166" s="187"/>
      <c r="BBN166" s="187"/>
      <c r="BBO166" s="187"/>
      <c r="BBP166" s="187"/>
      <c r="BBQ166" s="187"/>
      <c r="BBR166" s="187"/>
      <c r="BBS166" s="187"/>
      <c r="BBT166" s="187"/>
      <c r="BBU166" s="187"/>
      <c r="BBV166" s="187"/>
      <c r="BBW166" s="187"/>
      <c r="BBX166" s="187"/>
      <c r="BBY166" s="187"/>
      <c r="BBZ166" s="187"/>
      <c r="BCA166" s="187"/>
      <c r="BCB166" s="187"/>
      <c r="BCC166" s="187"/>
      <c r="BCD166" s="187"/>
      <c r="BCE166" s="187"/>
      <c r="BCF166" s="187"/>
      <c r="BCG166" s="187"/>
      <c r="BCH166" s="187"/>
      <c r="BCI166" s="187"/>
      <c r="BCJ166" s="187"/>
      <c r="BCK166" s="187"/>
      <c r="BCL166" s="187"/>
      <c r="BCM166" s="187"/>
      <c r="BCN166" s="187"/>
      <c r="BCO166" s="187"/>
      <c r="BCP166" s="187"/>
      <c r="BCQ166" s="187"/>
      <c r="BCR166" s="187"/>
      <c r="BCS166" s="187"/>
      <c r="BCT166" s="187"/>
      <c r="BCU166" s="187"/>
      <c r="BCV166" s="187"/>
      <c r="BCW166" s="187"/>
      <c r="BCX166" s="187"/>
      <c r="BCY166" s="187"/>
      <c r="BCZ166" s="187"/>
      <c r="BDA166" s="187"/>
      <c r="BDB166" s="187"/>
      <c r="BDC166" s="187"/>
      <c r="BDD166" s="187"/>
      <c r="BDE166" s="187"/>
      <c r="BDF166" s="187"/>
      <c r="BDG166" s="187"/>
      <c r="BDH166" s="187"/>
      <c r="BDI166" s="187"/>
      <c r="BDJ166" s="187"/>
      <c r="BDK166" s="187"/>
      <c r="BDL166" s="187"/>
      <c r="BDM166" s="187"/>
      <c r="BDN166" s="187"/>
      <c r="BDO166" s="187"/>
      <c r="BDP166" s="187"/>
      <c r="BDQ166" s="187"/>
      <c r="BDR166" s="187"/>
      <c r="BDS166" s="187"/>
      <c r="BDT166" s="187"/>
      <c r="BDU166" s="187"/>
      <c r="BDV166" s="187"/>
      <c r="BDW166" s="187"/>
      <c r="BDX166" s="187"/>
      <c r="BDY166" s="187"/>
      <c r="BDZ166" s="187"/>
      <c r="BEA166" s="187"/>
      <c r="BEB166" s="187"/>
      <c r="BEC166" s="187"/>
      <c r="BED166" s="187"/>
      <c r="BEE166" s="187"/>
      <c r="BEF166" s="187"/>
      <c r="BEG166" s="187"/>
      <c r="BEH166" s="187"/>
      <c r="BEI166" s="187"/>
      <c r="BEJ166" s="187"/>
      <c r="BEK166" s="187"/>
      <c r="BEL166" s="187"/>
      <c r="BEM166" s="187"/>
      <c r="BEN166" s="187"/>
      <c r="BEO166" s="187"/>
      <c r="BEP166" s="187"/>
      <c r="BEQ166" s="187"/>
      <c r="BER166" s="187"/>
      <c r="BES166" s="187"/>
      <c r="BET166" s="187"/>
      <c r="BEU166" s="187"/>
      <c r="BEV166" s="187"/>
      <c r="BEW166" s="187"/>
      <c r="BEX166" s="187"/>
      <c r="BEY166" s="187"/>
      <c r="BEZ166" s="187"/>
      <c r="BFA166" s="187"/>
      <c r="BFB166" s="187"/>
      <c r="BFC166" s="187"/>
      <c r="BFD166" s="187"/>
      <c r="BFE166" s="187"/>
      <c r="BFF166" s="187"/>
      <c r="BFG166" s="187"/>
      <c r="BFH166" s="187"/>
      <c r="BFI166" s="187"/>
      <c r="BFJ166" s="187"/>
      <c r="BFK166" s="187"/>
      <c r="BFL166" s="187"/>
      <c r="BFM166" s="187"/>
      <c r="BFN166" s="187"/>
      <c r="BFO166" s="187"/>
      <c r="BFP166" s="187"/>
      <c r="BFQ166" s="187"/>
      <c r="BFR166" s="187"/>
      <c r="BFS166" s="187"/>
      <c r="BFT166" s="187"/>
      <c r="BFU166" s="187"/>
      <c r="BFV166" s="187"/>
      <c r="BFW166" s="187"/>
      <c r="BFX166" s="187"/>
      <c r="BFY166" s="187"/>
      <c r="BFZ166" s="187"/>
      <c r="BGA166" s="187"/>
      <c r="BGB166" s="187"/>
      <c r="BGC166" s="187"/>
      <c r="BGD166" s="187"/>
      <c r="BGE166" s="187"/>
      <c r="BGF166" s="187"/>
      <c r="BGG166" s="187"/>
      <c r="BGH166" s="187"/>
      <c r="BGI166" s="187"/>
      <c r="BGJ166" s="187"/>
      <c r="BGK166" s="187"/>
      <c r="BGL166" s="187"/>
      <c r="BGM166" s="187"/>
      <c r="BGN166" s="187"/>
      <c r="BGO166" s="187"/>
      <c r="BGP166" s="187"/>
      <c r="BGQ166" s="187"/>
      <c r="BGR166" s="187"/>
      <c r="BGS166" s="187"/>
      <c r="BGT166" s="187"/>
      <c r="BGU166" s="187"/>
      <c r="BGV166" s="187"/>
      <c r="BGW166" s="187"/>
      <c r="BGX166" s="187"/>
      <c r="BGY166" s="187"/>
      <c r="BGZ166" s="187"/>
      <c r="BHA166" s="187"/>
      <c r="BHB166" s="187"/>
      <c r="BHC166" s="187"/>
      <c r="BHD166" s="187"/>
      <c r="BHE166" s="187"/>
      <c r="BHF166" s="187"/>
      <c r="BHG166" s="187"/>
      <c r="BHH166" s="187"/>
      <c r="BHI166" s="187"/>
      <c r="BHJ166" s="187"/>
      <c r="BHK166" s="187"/>
      <c r="BHL166" s="187"/>
      <c r="BHM166" s="187"/>
      <c r="BHN166" s="187"/>
      <c r="BHO166" s="187"/>
      <c r="BHP166" s="187"/>
      <c r="BHQ166" s="187"/>
      <c r="BHR166" s="187"/>
      <c r="BHS166" s="187"/>
      <c r="BHT166" s="187"/>
      <c r="BHU166" s="187"/>
      <c r="BHV166" s="187"/>
      <c r="BHW166" s="187"/>
      <c r="BHX166" s="187"/>
      <c r="BHY166" s="187"/>
      <c r="BHZ166" s="187"/>
      <c r="BIA166" s="187"/>
      <c r="BIB166" s="187"/>
      <c r="BIC166" s="187"/>
      <c r="BID166" s="187"/>
      <c r="BIE166" s="187"/>
      <c r="BIF166" s="187"/>
      <c r="BIG166" s="187"/>
      <c r="BIH166" s="187"/>
      <c r="BII166" s="187"/>
      <c r="BIJ166" s="187"/>
      <c r="BIK166" s="187"/>
      <c r="BIL166" s="187"/>
      <c r="BIM166" s="187"/>
      <c r="BIN166" s="187"/>
      <c r="BIO166" s="187"/>
      <c r="BIP166" s="187"/>
      <c r="BIQ166" s="187"/>
      <c r="BIR166" s="187"/>
      <c r="BIS166" s="187"/>
      <c r="BIT166" s="187"/>
      <c r="BIU166" s="187"/>
      <c r="BIV166" s="187"/>
      <c r="BIW166" s="187"/>
      <c r="BIX166" s="187"/>
      <c r="BIY166" s="187"/>
      <c r="BIZ166" s="187"/>
      <c r="BJA166" s="187"/>
      <c r="BJB166" s="187"/>
      <c r="BJC166" s="187"/>
      <c r="BJD166" s="187"/>
      <c r="BJE166" s="187"/>
      <c r="BJF166" s="187"/>
      <c r="BJG166" s="187"/>
      <c r="BJH166" s="187"/>
      <c r="BJI166" s="187"/>
      <c r="BJJ166" s="187"/>
      <c r="BJK166" s="187"/>
      <c r="BJL166" s="187"/>
      <c r="BJM166" s="187"/>
      <c r="BJN166" s="187"/>
      <c r="BJO166" s="187"/>
      <c r="BJP166" s="187"/>
      <c r="BJQ166" s="187"/>
      <c r="BJR166" s="187"/>
      <c r="BJS166" s="187"/>
      <c r="BJT166" s="187"/>
      <c r="BJU166" s="187"/>
      <c r="BJV166" s="187"/>
      <c r="BJW166" s="187"/>
      <c r="BJX166" s="187"/>
      <c r="BJY166" s="187"/>
      <c r="BJZ166" s="187"/>
      <c r="BKA166" s="187"/>
      <c r="BKB166" s="187"/>
      <c r="BKC166" s="187"/>
      <c r="BKD166" s="187"/>
      <c r="BKE166" s="187"/>
      <c r="BKF166" s="187"/>
      <c r="BKG166" s="187"/>
      <c r="BKH166" s="187"/>
      <c r="BKI166" s="187"/>
      <c r="BKJ166" s="187"/>
      <c r="BKK166" s="187"/>
      <c r="BKL166" s="187"/>
      <c r="BKM166" s="187"/>
      <c r="BKN166" s="187"/>
      <c r="BKO166" s="187"/>
      <c r="BKP166" s="187"/>
      <c r="BKQ166" s="187"/>
      <c r="BKR166" s="187"/>
      <c r="BKS166" s="187"/>
      <c r="BKT166" s="187"/>
      <c r="BKU166" s="187"/>
      <c r="BKV166" s="187"/>
      <c r="BKW166" s="187"/>
      <c r="BKX166" s="187"/>
      <c r="BKY166" s="187"/>
      <c r="BKZ166" s="187"/>
      <c r="BLA166" s="187"/>
      <c r="BLB166" s="187"/>
      <c r="BLC166" s="187"/>
      <c r="BLD166" s="187"/>
      <c r="BLE166" s="187"/>
      <c r="BLF166" s="187"/>
      <c r="BLG166" s="187"/>
      <c r="BLH166" s="187"/>
      <c r="BLI166" s="187"/>
      <c r="BLJ166" s="187"/>
      <c r="BLK166" s="187"/>
      <c r="BLL166" s="187"/>
      <c r="BLM166" s="187"/>
      <c r="BLN166" s="187"/>
      <c r="BLO166" s="187"/>
      <c r="BLP166" s="187"/>
      <c r="BLQ166" s="187"/>
      <c r="BLR166" s="187"/>
      <c r="BLS166" s="187"/>
      <c r="BLT166" s="187"/>
      <c r="BLU166" s="187"/>
      <c r="BLV166" s="187"/>
      <c r="BLW166" s="187"/>
      <c r="BLX166" s="187"/>
      <c r="BLY166" s="187"/>
      <c r="BLZ166" s="187"/>
      <c r="BMA166" s="187"/>
      <c r="BMB166" s="187"/>
      <c r="BMC166" s="187"/>
      <c r="BMD166" s="187"/>
      <c r="BME166" s="187"/>
      <c r="BMF166" s="187"/>
      <c r="BMG166" s="187"/>
      <c r="BMH166" s="187"/>
      <c r="BMI166" s="187"/>
      <c r="BMJ166" s="187"/>
      <c r="BMK166" s="187"/>
      <c r="BML166" s="187"/>
      <c r="BMM166" s="187"/>
      <c r="BMN166" s="187"/>
      <c r="BMO166" s="187"/>
      <c r="BMP166" s="187"/>
      <c r="BMQ166" s="187"/>
      <c r="BMR166" s="187"/>
      <c r="BMS166" s="187"/>
      <c r="BMT166" s="187"/>
      <c r="BMU166" s="187"/>
      <c r="BMV166" s="187"/>
      <c r="BMW166" s="187"/>
      <c r="BMX166" s="187"/>
      <c r="BMY166" s="187"/>
      <c r="BMZ166" s="187"/>
      <c r="BNA166" s="187"/>
      <c r="BNB166" s="187"/>
      <c r="BNC166" s="187"/>
      <c r="BND166" s="187"/>
      <c r="BNE166" s="187"/>
      <c r="BNF166" s="187"/>
      <c r="BNG166" s="187"/>
      <c r="BNH166" s="187"/>
      <c r="BNI166" s="187"/>
      <c r="BNJ166" s="187"/>
      <c r="BNK166" s="187"/>
      <c r="BNL166" s="187"/>
      <c r="BNM166" s="187"/>
      <c r="BNN166" s="187"/>
      <c r="BNO166" s="187"/>
      <c r="BNP166" s="187"/>
      <c r="BNQ166" s="187"/>
      <c r="BNR166" s="187"/>
      <c r="BNS166" s="187"/>
      <c r="BNT166" s="187"/>
      <c r="BNU166" s="187"/>
      <c r="BNV166" s="187"/>
      <c r="BNW166" s="187"/>
      <c r="BNX166" s="187"/>
      <c r="BNY166" s="187"/>
      <c r="BNZ166" s="187"/>
      <c r="BOA166" s="187"/>
      <c r="BOB166" s="187"/>
      <c r="BOC166" s="187"/>
      <c r="BOD166" s="187"/>
      <c r="BOE166" s="187"/>
      <c r="BOF166" s="187"/>
      <c r="BOG166" s="187"/>
      <c r="BOH166" s="187"/>
      <c r="BOI166" s="187"/>
      <c r="BOJ166" s="187"/>
      <c r="BOK166" s="187"/>
      <c r="BOL166" s="187"/>
      <c r="BOM166" s="187"/>
      <c r="BON166" s="187"/>
      <c r="BOO166" s="187"/>
      <c r="BOP166" s="187"/>
      <c r="BOQ166" s="187"/>
      <c r="BOR166" s="187"/>
      <c r="BOS166" s="187"/>
      <c r="BOT166" s="187"/>
      <c r="BOU166" s="187"/>
      <c r="BOV166" s="187"/>
      <c r="BOW166" s="187"/>
      <c r="BOX166" s="187"/>
      <c r="BOY166" s="187"/>
      <c r="BOZ166" s="187"/>
      <c r="BPA166" s="187"/>
      <c r="BPB166" s="187"/>
      <c r="BPC166" s="187"/>
      <c r="BPD166" s="187"/>
      <c r="BPE166" s="187"/>
      <c r="BPF166" s="187"/>
      <c r="BPG166" s="187"/>
      <c r="BPH166" s="187"/>
      <c r="BPI166" s="187"/>
      <c r="BPJ166" s="187"/>
      <c r="BPK166" s="187"/>
      <c r="BPL166" s="187"/>
      <c r="BPM166" s="187"/>
      <c r="BPN166" s="187"/>
      <c r="BPO166" s="187"/>
      <c r="BPP166" s="187"/>
      <c r="BPQ166" s="187"/>
      <c r="BPR166" s="187"/>
      <c r="BPS166" s="187"/>
      <c r="BPT166" s="187"/>
      <c r="BPU166" s="187"/>
      <c r="BPV166" s="187"/>
      <c r="BPW166" s="187"/>
      <c r="BPX166" s="187"/>
      <c r="BPY166" s="187"/>
      <c r="BPZ166" s="187"/>
      <c r="BQA166" s="187"/>
      <c r="BQB166" s="187"/>
      <c r="BQC166" s="187"/>
      <c r="BQD166" s="187"/>
      <c r="BQE166" s="187"/>
      <c r="BQF166" s="187"/>
      <c r="BQG166" s="187"/>
      <c r="BQH166" s="187"/>
      <c r="BQI166" s="187"/>
      <c r="BQJ166" s="187"/>
      <c r="BQK166" s="187"/>
      <c r="BQL166" s="187"/>
      <c r="BQM166" s="187"/>
      <c r="BQN166" s="187"/>
      <c r="BQO166" s="187"/>
      <c r="BQP166" s="187"/>
      <c r="BQQ166" s="187"/>
      <c r="BQR166" s="187"/>
      <c r="BQS166" s="187"/>
      <c r="BQT166" s="187"/>
      <c r="BQU166" s="187"/>
      <c r="BQV166" s="187"/>
      <c r="BQW166" s="187"/>
      <c r="BQX166" s="187"/>
      <c r="BQY166" s="187"/>
      <c r="BQZ166" s="187"/>
      <c r="BRA166" s="187"/>
      <c r="BRB166" s="187"/>
      <c r="BRC166" s="187"/>
      <c r="BRD166" s="187"/>
      <c r="BRE166" s="187"/>
      <c r="BRF166" s="187"/>
      <c r="BRG166" s="187"/>
      <c r="BRH166" s="187"/>
      <c r="BRI166" s="187"/>
      <c r="BRJ166" s="187"/>
      <c r="BRK166" s="187"/>
      <c r="BRL166" s="187"/>
      <c r="BRM166" s="187"/>
      <c r="BRN166" s="187"/>
      <c r="BRO166" s="187"/>
      <c r="BRP166" s="187"/>
      <c r="BRQ166" s="187"/>
      <c r="BRR166" s="187"/>
      <c r="BRS166" s="187"/>
      <c r="BRT166" s="187"/>
      <c r="BRU166" s="187"/>
      <c r="BRV166" s="187"/>
      <c r="BRW166" s="187"/>
      <c r="BRX166" s="187"/>
      <c r="BRY166" s="187"/>
      <c r="BRZ166" s="187"/>
      <c r="BSA166" s="187"/>
      <c r="BSB166" s="187"/>
      <c r="BSC166" s="187"/>
      <c r="BSD166" s="187"/>
      <c r="BSE166" s="187"/>
      <c r="BSF166" s="187"/>
      <c r="BSG166" s="187"/>
      <c r="BSH166" s="187"/>
      <c r="BSI166" s="187"/>
      <c r="BSJ166" s="187"/>
      <c r="BSK166" s="187"/>
      <c r="BSL166" s="187"/>
      <c r="BSM166" s="187"/>
      <c r="BSN166" s="187"/>
      <c r="BSO166" s="187"/>
      <c r="BSP166" s="187"/>
      <c r="BSQ166" s="187"/>
      <c r="BSR166" s="187"/>
      <c r="BSS166" s="187"/>
      <c r="BST166" s="187"/>
      <c r="BSU166" s="187"/>
      <c r="BSV166" s="187"/>
      <c r="BSW166" s="187"/>
      <c r="BSX166" s="187"/>
      <c r="BSY166" s="187"/>
      <c r="BSZ166" s="187"/>
      <c r="BTA166" s="187"/>
      <c r="BTB166" s="187"/>
      <c r="BTC166" s="187"/>
      <c r="BTD166" s="187"/>
      <c r="BTE166" s="187"/>
      <c r="BTF166" s="187"/>
      <c r="BTG166" s="187"/>
      <c r="BTH166" s="187"/>
      <c r="BTI166" s="187"/>
      <c r="BTJ166" s="187"/>
      <c r="BTK166" s="187"/>
      <c r="BTL166" s="187"/>
      <c r="BTM166" s="187"/>
      <c r="BTN166" s="187"/>
      <c r="BTO166" s="187"/>
      <c r="BTP166" s="187"/>
      <c r="BTQ166" s="187"/>
      <c r="BTR166" s="187"/>
      <c r="BTS166" s="187"/>
      <c r="BTT166" s="187"/>
      <c r="BTU166" s="187"/>
      <c r="BTV166" s="187"/>
      <c r="BTW166" s="187"/>
      <c r="BTX166" s="187"/>
      <c r="BTY166" s="187"/>
      <c r="BTZ166" s="187"/>
      <c r="BUA166" s="187"/>
      <c r="BUB166" s="187"/>
      <c r="BUC166" s="187"/>
      <c r="BUD166" s="187"/>
      <c r="BUE166" s="187"/>
      <c r="BUF166" s="187"/>
      <c r="BUG166" s="187"/>
      <c r="BUH166" s="187"/>
      <c r="BUI166" s="187"/>
      <c r="BUJ166" s="187"/>
      <c r="BUK166" s="187"/>
      <c r="BUL166" s="187"/>
      <c r="BUM166" s="187"/>
      <c r="BUN166" s="187"/>
      <c r="BUO166" s="187"/>
      <c r="BUP166" s="187"/>
      <c r="BUQ166" s="187"/>
      <c r="BUR166" s="187"/>
      <c r="BUS166" s="187"/>
      <c r="BUT166" s="187"/>
      <c r="BUU166" s="187"/>
      <c r="BUV166" s="187"/>
      <c r="BUW166" s="187"/>
      <c r="BUX166" s="187"/>
      <c r="BUY166" s="187"/>
      <c r="BUZ166" s="187"/>
      <c r="BVA166" s="187"/>
      <c r="BVB166" s="187"/>
      <c r="BVC166" s="187"/>
      <c r="BVD166" s="187"/>
      <c r="BVE166" s="187"/>
      <c r="BVF166" s="187"/>
      <c r="BVG166" s="187"/>
      <c r="BVH166" s="187"/>
      <c r="BVI166" s="187"/>
      <c r="BVJ166" s="187"/>
      <c r="BVK166" s="187"/>
      <c r="BVL166" s="187"/>
      <c r="BVM166" s="187"/>
      <c r="BVN166" s="187"/>
      <c r="BVO166" s="187"/>
      <c r="BVP166" s="187"/>
      <c r="BVQ166" s="187"/>
      <c r="BVR166" s="187"/>
      <c r="BVS166" s="187"/>
      <c r="BVT166" s="187"/>
      <c r="BVU166" s="187"/>
      <c r="BVV166" s="187"/>
      <c r="BVW166" s="187"/>
      <c r="BVX166" s="187"/>
      <c r="BVY166" s="187"/>
      <c r="BVZ166" s="187"/>
      <c r="BWA166" s="187"/>
      <c r="BWB166" s="187"/>
      <c r="BWC166" s="187"/>
      <c r="BWD166" s="187"/>
      <c r="BWE166" s="187"/>
      <c r="BWF166" s="187"/>
      <c r="BWG166" s="187"/>
      <c r="BWH166" s="187"/>
      <c r="BWI166" s="187"/>
      <c r="BWJ166" s="187"/>
      <c r="BWK166" s="187"/>
      <c r="BWL166" s="187"/>
      <c r="BWM166" s="187"/>
      <c r="BWN166" s="187"/>
      <c r="BWO166" s="187"/>
      <c r="BWP166" s="187"/>
      <c r="BWQ166" s="187"/>
      <c r="BWR166" s="187"/>
      <c r="BWS166" s="187"/>
      <c r="BWT166" s="187"/>
      <c r="BWU166" s="187"/>
      <c r="BWV166" s="187"/>
      <c r="BWW166" s="187"/>
      <c r="BWX166" s="187"/>
      <c r="BWY166" s="187"/>
      <c r="BWZ166" s="187"/>
      <c r="BXA166" s="187"/>
      <c r="BXB166" s="187"/>
      <c r="BXC166" s="187"/>
      <c r="BXD166" s="187"/>
      <c r="BXE166" s="187"/>
      <c r="BXF166" s="187"/>
      <c r="BXG166" s="187"/>
      <c r="BXH166" s="187"/>
      <c r="BXI166" s="187"/>
      <c r="BXJ166" s="187"/>
      <c r="BXK166" s="187"/>
      <c r="BXL166" s="187"/>
      <c r="BXM166" s="187"/>
      <c r="BXN166" s="187"/>
      <c r="BXO166" s="187"/>
      <c r="BXP166" s="187"/>
      <c r="BXQ166" s="187"/>
      <c r="BXR166" s="187"/>
      <c r="BXS166" s="187"/>
      <c r="BXT166" s="187"/>
      <c r="BXU166" s="187"/>
      <c r="BXV166" s="187"/>
      <c r="BXW166" s="187"/>
      <c r="BXX166" s="187"/>
      <c r="BXY166" s="187"/>
      <c r="BXZ166" s="187"/>
      <c r="BYA166" s="187"/>
      <c r="BYB166" s="187"/>
      <c r="BYC166" s="187"/>
      <c r="BYD166" s="187"/>
      <c r="BYE166" s="187"/>
      <c r="BYF166" s="187"/>
      <c r="BYG166" s="187"/>
      <c r="BYH166" s="187"/>
      <c r="BYI166" s="187"/>
      <c r="BYJ166" s="187"/>
      <c r="BYK166" s="187"/>
      <c r="BYL166" s="187"/>
      <c r="BYM166" s="187"/>
      <c r="BYN166" s="187"/>
      <c r="BYO166" s="187"/>
      <c r="BYP166" s="187"/>
      <c r="BYQ166" s="187"/>
      <c r="BYR166" s="187"/>
      <c r="BYS166" s="187"/>
      <c r="BYT166" s="187"/>
      <c r="BYU166" s="187"/>
      <c r="BYV166" s="187"/>
      <c r="BYW166" s="187"/>
      <c r="BYX166" s="187"/>
      <c r="BYY166" s="187"/>
      <c r="BYZ166" s="187"/>
      <c r="BZA166" s="187"/>
      <c r="BZB166" s="187"/>
      <c r="BZC166" s="187"/>
      <c r="BZD166" s="187"/>
      <c r="BZE166" s="187"/>
      <c r="BZF166" s="187"/>
      <c r="BZG166" s="187"/>
      <c r="BZH166" s="187"/>
      <c r="BZI166" s="187"/>
      <c r="BZJ166" s="187"/>
      <c r="BZK166" s="187"/>
      <c r="BZL166" s="187"/>
      <c r="BZM166" s="187"/>
      <c r="BZN166" s="187"/>
      <c r="BZO166" s="187"/>
      <c r="BZP166" s="187"/>
      <c r="BZQ166" s="187"/>
      <c r="BZR166" s="187"/>
      <c r="BZS166" s="187"/>
      <c r="BZT166" s="187"/>
      <c r="BZU166" s="187"/>
      <c r="BZV166" s="187"/>
      <c r="BZW166" s="187"/>
      <c r="BZX166" s="187"/>
      <c r="BZY166" s="187"/>
      <c r="BZZ166" s="187"/>
      <c r="CAA166" s="187"/>
      <c r="CAB166" s="187"/>
      <c r="CAC166" s="187"/>
      <c r="CAD166" s="187"/>
      <c r="CAE166" s="187"/>
      <c r="CAF166" s="187"/>
      <c r="CAG166" s="187"/>
      <c r="CAH166" s="187"/>
      <c r="CAI166" s="187"/>
      <c r="CAJ166" s="187"/>
      <c r="CAK166" s="187"/>
      <c r="CAL166" s="187"/>
      <c r="CAM166" s="187"/>
      <c r="CAN166" s="187"/>
      <c r="CAO166" s="187"/>
      <c r="CAP166" s="187"/>
      <c r="CAQ166" s="187"/>
      <c r="CAR166" s="187"/>
      <c r="CAS166" s="187"/>
      <c r="CAT166" s="187"/>
      <c r="CAU166" s="187"/>
      <c r="CAV166" s="187"/>
      <c r="CAW166" s="187"/>
      <c r="CAX166" s="187"/>
      <c r="CAY166" s="187"/>
      <c r="CAZ166" s="187"/>
      <c r="CBA166" s="187"/>
      <c r="CBB166" s="187"/>
      <c r="CBC166" s="187"/>
      <c r="CBD166" s="187"/>
      <c r="CBE166" s="187"/>
      <c r="CBF166" s="187"/>
      <c r="CBG166" s="187"/>
      <c r="CBH166" s="187"/>
      <c r="CBI166" s="187"/>
      <c r="CBJ166" s="187"/>
      <c r="CBK166" s="187"/>
      <c r="CBL166" s="187"/>
      <c r="CBM166" s="187"/>
      <c r="CBN166" s="187"/>
      <c r="CBO166" s="187"/>
      <c r="CBP166" s="187"/>
      <c r="CBQ166" s="187"/>
      <c r="CBR166" s="187"/>
      <c r="CBS166" s="187"/>
      <c r="CBT166" s="187"/>
      <c r="CBU166" s="187"/>
      <c r="CBV166" s="187"/>
      <c r="CBW166" s="187"/>
      <c r="CBX166" s="187"/>
      <c r="CBY166" s="187"/>
      <c r="CBZ166" s="187"/>
      <c r="CCA166" s="187"/>
      <c r="CCB166" s="187"/>
      <c r="CCC166" s="187"/>
      <c r="CCD166" s="187"/>
      <c r="CCE166" s="187"/>
      <c r="CCF166" s="187"/>
      <c r="CCG166" s="187"/>
      <c r="CCH166" s="187"/>
      <c r="CCI166" s="187"/>
      <c r="CCJ166" s="187"/>
      <c r="CCK166" s="187"/>
      <c r="CCL166" s="187"/>
      <c r="CCM166" s="187"/>
      <c r="CCN166" s="187"/>
      <c r="CCO166" s="187"/>
      <c r="CCP166" s="187"/>
      <c r="CCQ166" s="187"/>
      <c r="CCR166" s="187"/>
      <c r="CCS166" s="187"/>
      <c r="CCT166" s="187"/>
      <c r="CCU166" s="187"/>
      <c r="CCV166" s="187"/>
      <c r="CCW166" s="187"/>
      <c r="CCX166" s="187"/>
      <c r="CCY166" s="187"/>
      <c r="CCZ166" s="187"/>
      <c r="CDA166" s="187"/>
      <c r="CDB166" s="187"/>
      <c r="CDC166" s="187"/>
      <c r="CDD166" s="187"/>
      <c r="CDE166" s="187"/>
      <c r="CDF166" s="187"/>
      <c r="CDG166" s="187"/>
      <c r="CDH166" s="187"/>
      <c r="CDI166" s="187"/>
      <c r="CDJ166" s="187"/>
      <c r="CDK166" s="187"/>
      <c r="CDL166" s="187"/>
      <c r="CDM166" s="187"/>
      <c r="CDN166" s="187"/>
      <c r="CDO166" s="187"/>
      <c r="CDP166" s="187"/>
      <c r="CDQ166" s="187"/>
      <c r="CDR166" s="187"/>
      <c r="CDS166" s="187"/>
      <c r="CDT166" s="187"/>
      <c r="CDU166" s="187"/>
      <c r="CDV166" s="187"/>
      <c r="CDW166" s="187"/>
      <c r="CDX166" s="187"/>
      <c r="CDY166" s="187"/>
      <c r="CDZ166" s="187"/>
      <c r="CEA166" s="187"/>
      <c r="CEB166" s="187"/>
      <c r="CEC166" s="187"/>
      <c r="CED166" s="187"/>
      <c r="CEE166" s="187"/>
      <c r="CEF166" s="187"/>
      <c r="CEG166" s="187"/>
      <c r="CEH166" s="187"/>
      <c r="CEI166" s="187"/>
      <c r="CEJ166" s="187"/>
      <c r="CEK166" s="187"/>
      <c r="CEL166" s="187"/>
      <c r="CEM166" s="187"/>
      <c r="CEN166" s="187"/>
      <c r="CEO166" s="187"/>
      <c r="CEP166" s="187"/>
      <c r="CEQ166" s="187"/>
      <c r="CER166" s="187"/>
      <c r="CES166" s="187"/>
      <c r="CET166" s="187"/>
      <c r="CEU166" s="187"/>
      <c r="CEV166" s="187"/>
      <c r="CEW166" s="187"/>
      <c r="CEX166" s="187"/>
      <c r="CEY166" s="187"/>
      <c r="CEZ166" s="187"/>
      <c r="CFA166" s="187"/>
      <c r="CFB166" s="187"/>
      <c r="CFC166" s="187"/>
      <c r="CFD166" s="187"/>
      <c r="CFE166" s="187"/>
      <c r="CFF166" s="187"/>
      <c r="CFG166" s="187"/>
      <c r="CFH166" s="187"/>
      <c r="CFI166" s="187"/>
      <c r="CFJ166" s="187"/>
      <c r="CFK166" s="187"/>
      <c r="CFL166" s="187"/>
      <c r="CFM166" s="187"/>
      <c r="CFN166" s="187"/>
      <c r="CFO166" s="187"/>
      <c r="CFP166" s="187"/>
      <c r="CFQ166" s="187"/>
      <c r="CFR166" s="187"/>
      <c r="CFS166" s="187"/>
      <c r="CFT166" s="187"/>
      <c r="CFU166" s="187"/>
      <c r="CFV166" s="187"/>
      <c r="CFW166" s="187"/>
      <c r="CFX166" s="187"/>
      <c r="CFY166" s="187"/>
      <c r="CFZ166" s="187"/>
      <c r="CGA166" s="187"/>
      <c r="CGB166" s="187"/>
      <c r="CGC166" s="187"/>
      <c r="CGD166" s="187"/>
      <c r="CGE166" s="187"/>
      <c r="CGF166" s="187"/>
      <c r="CGG166" s="187"/>
      <c r="CGH166" s="187"/>
      <c r="CGI166" s="187"/>
      <c r="CGJ166" s="187"/>
      <c r="CGK166" s="187"/>
      <c r="CGL166" s="187"/>
      <c r="CGM166" s="187"/>
      <c r="CGN166" s="187"/>
      <c r="CGO166" s="187"/>
      <c r="CGP166" s="187"/>
      <c r="CGQ166" s="187"/>
      <c r="CGR166" s="187"/>
      <c r="CGS166" s="187"/>
      <c r="CGT166" s="187"/>
      <c r="CGU166" s="187"/>
      <c r="CGV166" s="187"/>
      <c r="CGW166" s="187"/>
      <c r="CGX166" s="187"/>
      <c r="CGY166" s="187"/>
      <c r="CGZ166" s="187"/>
      <c r="CHA166" s="187"/>
      <c r="CHB166" s="187"/>
      <c r="CHC166" s="187"/>
      <c r="CHD166" s="187"/>
      <c r="CHE166" s="187"/>
      <c r="CHF166" s="187"/>
      <c r="CHG166" s="187"/>
      <c r="CHH166" s="187"/>
      <c r="CHI166" s="187"/>
      <c r="CHJ166" s="187"/>
      <c r="CHK166" s="187"/>
      <c r="CHL166" s="187"/>
      <c r="CHM166" s="187"/>
      <c r="CHN166" s="187"/>
      <c r="CHO166" s="187"/>
      <c r="CHP166" s="187"/>
      <c r="CHQ166" s="187"/>
      <c r="CHR166" s="187"/>
      <c r="CHS166" s="187"/>
      <c r="CHT166" s="187"/>
      <c r="CHU166" s="187"/>
      <c r="CHV166" s="187"/>
      <c r="CHW166" s="187"/>
      <c r="CHX166" s="187"/>
      <c r="CHY166" s="187"/>
      <c r="CHZ166" s="187"/>
      <c r="CIA166" s="187"/>
      <c r="CIB166" s="187"/>
      <c r="CIC166" s="187"/>
      <c r="CID166" s="187"/>
      <c r="CIE166" s="187"/>
      <c r="CIF166" s="187"/>
      <c r="CIG166" s="187"/>
      <c r="CIH166" s="187"/>
      <c r="CII166" s="187"/>
      <c r="CIJ166" s="187"/>
      <c r="CIK166" s="187"/>
      <c r="CIL166" s="187"/>
      <c r="CIM166" s="187"/>
      <c r="CIN166" s="187"/>
      <c r="CIO166" s="187"/>
      <c r="CIP166" s="187"/>
      <c r="CIQ166" s="187"/>
      <c r="CIR166" s="187"/>
      <c r="CIS166" s="187"/>
      <c r="CIT166" s="187"/>
      <c r="CIU166" s="187"/>
      <c r="CIV166" s="187"/>
      <c r="CIW166" s="187"/>
      <c r="CIX166" s="187"/>
      <c r="CIY166" s="187"/>
      <c r="CIZ166" s="187"/>
      <c r="CJA166" s="187"/>
      <c r="CJB166" s="187"/>
      <c r="CJC166" s="187"/>
      <c r="CJD166" s="187"/>
      <c r="CJE166" s="187"/>
      <c r="CJF166" s="187"/>
      <c r="CJG166" s="187"/>
      <c r="CJH166" s="187"/>
      <c r="CJI166" s="187"/>
      <c r="CJJ166" s="187"/>
      <c r="CJK166" s="187"/>
      <c r="CJL166" s="187"/>
      <c r="CJM166" s="187"/>
      <c r="CJN166" s="187"/>
      <c r="CJO166" s="187"/>
      <c r="CJP166" s="187"/>
      <c r="CJQ166" s="187"/>
      <c r="CJR166" s="187"/>
      <c r="CJS166" s="187"/>
      <c r="CJT166" s="187"/>
      <c r="CJU166" s="187"/>
      <c r="CJV166" s="187"/>
      <c r="CJW166" s="187"/>
      <c r="CJX166" s="187"/>
      <c r="CJY166" s="187"/>
      <c r="CJZ166" s="187"/>
      <c r="CKA166" s="187"/>
      <c r="CKB166" s="187"/>
      <c r="CKC166" s="187"/>
      <c r="CKD166" s="187"/>
      <c r="CKE166" s="187"/>
      <c r="CKF166" s="187"/>
      <c r="CKG166" s="187"/>
      <c r="CKH166" s="187"/>
      <c r="CKI166" s="187"/>
      <c r="CKJ166" s="187"/>
      <c r="CKK166" s="187"/>
      <c r="CKL166" s="187"/>
      <c r="CKM166" s="187"/>
      <c r="CKN166" s="187"/>
      <c r="CKO166" s="187"/>
      <c r="CKP166" s="187"/>
      <c r="CKQ166" s="187"/>
      <c r="CKR166" s="187"/>
      <c r="CKS166" s="187"/>
      <c r="CKT166" s="187"/>
      <c r="CKU166" s="187"/>
      <c r="CKV166" s="187"/>
      <c r="CKW166" s="187"/>
      <c r="CKX166" s="187"/>
      <c r="CKY166" s="187"/>
      <c r="CKZ166" s="187"/>
      <c r="CLA166" s="187"/>
      <c r="CLB166" s="187"/>
      <c r="CLC166" s="187"/>
      <c r="CLD166" s="187"/>
      <c r="CLE166" s="187"/>
      <c r="CLF166" s="187"/>
      <c r="CLG166" s="187"/>
      <c r="CLH166" s="187"/>
      <c r="CLI166" s="187"/>
      <c r="CLJ166" s="187"/>
      <c r="CLK166" s="187"/>
      <c r="CLL166" s="187"/>
      <c r="CLM166" s="187"/>
      <c r="CLN166" s="187"/>
      <c r="CLO166" s="187"/>
      <c r="CLP166" s="187"/>
      <c r="CLQ166" s="187"/>
      <c r="CLR166" s="187"/>
      <c r="CLS166" s="187"/>
      <c r="CLT166" s="187"/>
      <c r="CLU166" s="187"/>
      <c r="CLV166" s="187"/>
      <c r="CLW166" s="187"/>
      <c r="CLX166" s="187"/>
      <c r="CLY166" s="187"/>
      <c r="CLZ166" s="187"/>
      <c r="CMA166" s="187"/>
      <c r="CMB166" s="187"/>
      <c r="CMC166" s="187"/>
      <c r="CMD166" s="187"/>
      <c r="CME166" s="187"/>
      <c r="CMF166" s="187"/>
      <c r="CMG166" s="187"/>
      <c r="CMH166" s="187"/>
      <c r="CMI166" s="187"/>
      <c r="CMJ166" s="187"/>
      <c r="CMK166" s="187"/>
      <c r="CML166" s="187"/>
      <c r="CMM166" s="187"/>
      <c r="CMN166" s="187"/>
      <c r="CMO166" s="187"/>
      <c r="CMP166" s="187"/>
      <c r="CMQ166" s="187"/>
      <c r="CMR166" s="187"/>
      <c r="CMS166" s="187"/>
      <c r="CMT166" s="187"/>
      <c r="CMU166" s="187"/>
      <c r="CMV166" s="187"/>
      <c r="CMW166" s="187"/>
      <c r="CMX166" s="187"/>
      <c r="CMY166" s="187"/>
      <c r="CMZ166" s="187"/>
      <c r="CNA166" s="187"/>
      <c r="CNB166" s="187"/>
      <c r="CNC166" s="187"/>
      <c r="CND166" s="187"/>
      <c r="CNE166" s="187"/>
      <c r="CNF166" s="187"/>
      <c r="CNG166" s="187"/>
      <c r="CNH166" s="187"/>
      <c r="CNI166" s="187"/>
      <c r="CNJ166" s="187"/>
      <c r="CNK166" s="187"/>
      <c r="CNL166" s="187"/>
      <c r="CNM166" s="187"/>
      <c r="CNN166" s="187"/>
      <c r="CNO166" s="187"/>
      <c r="CNP166" s="187"/>
      <c r="CNQ166" s="187"/>
      <c r="CNR166" s="187"/>
      <c r="CNS166" s="187"/>
      <c r="CNT166" s="187"/>
      <c r="CNU166" s="187"/>
      <c r="CNV166" s="187"/>
      <c r="CNW166" s="187"/>
      <c r="CNX166" s="187"/>
      <c r="CNY166" s="187"/>
      <c r="CNZ166" s="187"/>
      <c r="COA166" s="187"/>
      <c r="COB166" s="187"/>
      <c r="COC166" s="187"/>
      <c r="COD166" s="187"/>
      <c r="COE166" s="187"/>
      <c r="COF166" s="187"/>
      <c r="COG166" s="187"/>
      <c r="COH166" s="187"/>
      <c r="COI166" s="187"/>
      <c r="COJ166" s="187"/>
      <c r="COK166" s="187"/>
      <c r="COL166" s="187"/>
      <c r="COM166" s="187"/>
      <c r="CON166" s="187"/>
      <c r="COO166" s="187"/>
      <c r="COP166" s="187"/>
      <c r="COQ166" s="187"/>
      <c r="COR166" s="187"/>
      <c r="COS166" s="187"/>
      <c r="COT166" s="187"/>
      <c r="COU166" s="187"/>
      <c r="COV166" s="187"/>
      <c r="COW166" s="187"/>
      <c r="COX166" s="187"/>
      <c r="COY166" s="187"/>
      <c r="COZ166" s="187"/>
      <c r="CPA166" s="187"/>
      <c r="CPB166" s="187"/>
      <c r="CPC166" s="187"/>
      <c r="CPD166" s="187"/>
      <c r="CPE166" s="187"/>
      <c r="CPF166" s="187"/>
      <c r="CPG166" s="187"/>
      <c r="CPH166" s="187"/>
      <c r="CPI166" s="187"/>
      <c r="CPJ166" s="187"/>
      <c r="CPK166" s="187"/>
      <c r="CPL166" s="187"/>
      <c r="CPM166" s="187"/>
      <c r="CPN166" s="187"/>
      <c r="CPO166" s="187"/>
      <c r="CPP166" s="187"/>
      <c r="CPQ166" s="187"/>
      <c r="CPR166" s="187"/>
      <c r="CPS166" s="187"/>
      <c r="CPT166" s="187"/>
      <c r="CPU166" s="187"/>
      <c r="CPV166" s="187"/>
      <c r="CPW166" s="187"/>
      <c r="CPX166" s="187"/>
      <c r="CPY166" s="187"/>
      <c r="CPZ166" s="187"/>
      <c r="CQA166" s="187"/>
      <c r="CQB166" s="187"/>
      <c r="CQC166" s="187"/>
      <c r="CQD166" s="187"/>
      <c r="CQE166" s="187"/>
      <c r="CQF166" s="187"/>
      <c r="CQG166" s="187"/>
      <c r="CQH166" s="187"/>
      <c r="CQI166" s="187"/>
      <c r="CQJ166" s="187"/>
      <c r="CQK166" s="187"/>
      <c r="CQL166" s="187"/>
      <c r="CQM166" s="187"/>
      <c r="CQN166" s="187"/>
      <c r="CQO166" s="187"/>
      <c r="CQP166" s="187"/>
      <c r="CQQ166" s="187"/>
      <c r="CQR166" s="187"/>
      <c r="CQS166" s="187"/>
      <c r="CQT166" s="187"/>
      <c r="CQU166" s="187"/>
      <c r="CQV166" s="187"/>
      <c r="CQW166" s="187"/>
      <c r="CQX166" s="187"/>
      <c r="CQY166" s="187"/>
      <c r="CQZ166" s="187"/>
      <c r="CRA166" s="187"/>
      <c r="CRB166" s="187"/>
      <c r="CRC166" s="187"/>
      <c r="CRD166" s="187"/>
      <c r="CRE166" s="187"/>
      <c r="CRF166" s="187"/>
      <c r="CRG166" s="187"/>
      <c r="CRH166" s="187"/>
      <c r="CRI166" s="187"/>
      <c r="CRJ166" s="187"/>
      <c r="CRK166" s="187"/>
      <c r="CRL166" s="187"/>
      <c r="CRM166" s="187"/>
      <c r="CRN166" s="187"/>
      <c r="CRO166" s="187"/>
      <c r="CRP166" s="187"/>
      <c r="CRQ166" s="187"/>
      <c r="CRR166" s="187"/>
      <c r="CRS166" s="187"/>
      <c r="CRT166" s="187"/>
      <c r="CRU166" s="187"/>
      <c r="CRV166" s="187"/>
      <c r="CRW166" s="187"/>
      <c r="CRX166" s="187"/>
      <c r="CRY166" s="187"/>
      <c r="CRZ166" s="187"/>
      <c r="CSA166" s="187"/>
      <c r="CSB166" s="187"/>
      <c r="CSC166" s="187"/>
      <c r="CSD166" s="187"/>
      <c r="CSE166" s="187"/>
      <c r="CSF166" s="187"/>
      <c r="CSG166" s="187"/>
      <c r="CSH166" s="187"/>
      <c r="CSI166" s="187"/>
      <c r="CSJ166" s="187"/>
      <c r="CSK166" s="187"/>
      <c r="CSL166" s="187"/>
      <c r="CSM166" s="187"/>
      <c r="CSN166" s="187"/>
      <c r="CSO166" s="187"/>
      <c r="CSP166" s="187"/>
      <c r="CSQ166" s="187"/>
      <c r="CSR166" s="187"/>
      <c r="CSS166" s="187"/>
      <c r="CST166" s="187"/>
      <c r="CSU166" s="187"/>
      <c r="CSV166" s="187"/>
      <c r="CSW166" s="187"/>
      <c r="CSX166" s="187"/>
      <c r="CSY166" s="187"/>
      <c r="CSZ166" s="187"/>
      <c r="CTA166" s="187"/>
      <c r="CTB166" s="187"/>
      <c r="CTC166" s="187"/>
      <c r="CTD166" s="187"/>
      <c r="CTE166" s="187"/>
      <c r="CTF166" s="187"/>
      <c r="CTG166" s="187"/>
      <c r="CTH166" s="187"/>
      <c r="CTI166" s="187"/>
      <c r="CTJ166" s="187"/>
      <c r="CTK166" s="187"/>
      <c r="CTL166" s="187"/>
      <c r="CTM166" s="187"/>
      <c r="CTN166" s="187"/>
      <c r="CTO166" s="187"/>
      <c r="CTP166" s="187"/>
      <c r="CTQ166" s="187"/>
      <c r="CTR166" s="187"/>
      <c r="CTS166" s="187"/>
      <c r="CTT166" s="187"/>
      <c r="CTU166" s="187"/>
      <c r="CTV166" s="187"/>
      <c r="CTW166" s="187"/>
      <c r="CTX166" s="187"/>
      <c r="CTY166" s="187"/>
      <c r="CTZ166" s="187"/>
      <c r="CUA166" s="187"/>
      <c r="CUB166" s="187"/>
      <c r="CUC166" s="187"/>
      <c r="CUD166" s="187"/>
      <c r="CUE166" s="187"/>
      <c r="CUF166" s="187"/>
      <c r="CUG166" s="187"/>
      <c r="CUH166" s="187"/>
      <c r="CUI166" s="187"/>
      <c r="CUJ166" s="187"/>
      <c r="CUK166" s="187"/>
      <c r="CUL166" s="187"/>
      <c r="CUM166" s="187"/>
      <c r="CUN166" s="187"/>
      <c r="CUO166" s="187"/>
      <c r="CUP166" s="187"/>
      <c r="CUQ166" s="187"/>
      <c r="CUR166" s="187"/>
      <c r="CUS166" s="187"/>
      <c r="CUT166" s="187"/>
      <c r="CUU166" s="187"/>
      <c r="CUV166" s="187"/>
      <c r="CUW166" s="187"/>
      <c r="CUX166" s="187"/>
      <c r="CUY166" s="187"/>
      <c r="CUZ166" s="187"/>
      <c r="CVA166" s="187"/>
      <c r="CVB166" s="187"/>
      <c r="CVC166" s="187"/>
      <c r="CVD166" s="187"/>
      <c r="CVE166" s="187"/>
      <c r="CVF166" s="187"/>
      <c r="CVG166" s="187"/>
      <c r="CVH166" s="187"/>
      <c r="CVI166" s="187"/>
      <c r="CVJ166" s="187"/>
      <c r="CVK166" s="187"/>
      <c r="CVL166" s="187"/>
      <c r="CVM166" s="187"/>
      <c r="CVN166" s="187"/>
      <c r="CVO166" s="187"/>
      <c r="CVP166" s="187"/>
      <c r="CVQ166" s="187"/>
      <c r="CVR166" s="187"/>
      <c r="CVS166" s="187"/>
      <c r="CVT166" s="187"/>
      <c r="CVU166" s="187"/>
      <c r="CVV166" s="187"/>
      <c r="CVW166" s="187"/>
      <c r="CVX166" s="187"/>
      <c r="CVY166" s="187"/>
      <c r="CVZ166" s="187"/>
      <c r="CWA166" s="187"/>
      <c r="CWB166" s="187"/>
      <c r="CWC166" s="187"/>
      <c r="CWD166" s="187"/>
      <c r="CWE166" s="187"/>
      <c r="CWF166" s="187"/>
      <c r="CWG166" s="187"/>
      <c r="CWH166" s="187"/>
      <c r="CWI166" s="187"/>
      <c r="CWJ166" s="187"/>
      <c r="CWK166" s="187"/>
      <c r="CWL166" s="187"/>
      <c r="CWM166" s="187"/>
      <c r="CWN166" s="187"/>
      <c r="CWO166" s="187"/>
      <c r="CWP166" s="187"/>
      <c r="CWQ166" s="187"/>
      <c r="CWR166" s="187"/>
      <c r="CWS166" s="187"/>
      <c r="CWT166" s="187"/>
      <c r="CWU166" s="187"/>
      <c r="CWV166" s="187"/>
      <c r="CWW166" s="187"/>
      <c r="CWX166" s="187"/>
      <c r="CWY166" s="187"/>
      <c r="CWZ166" s="187"/>
      <c r="CXA166" s="187"/>
      <c r="CXB166" s="187"/>
      <c r="CXC166" s="187"/>
      <c r="CXD166" s="187"/>
      <c r="CXE166" s="187"/>
      <c r="CXF166" s="187"/>
      <c r="CXG166" s="187"/>
      <c r="CXH166" s="187"/>
      <c r="CXI166" s="187"/>
      <c r="CXJ166" s="187"/>
      <c r="CXK166" s="187"/>
      <c r="CXL166" s="187"/>
      <c r="CXM166" s="187"/>
      <c r="CXN166" s="187"/>
      <c r="CXO166" s="187"/>
      <c r="CXP166" s="187"/>
      <c r="CXQ166" s="187"/>
      <c r="CXR166" s="187"/>
      <c r="CXS166" s="187"/>
      <c r="CXT166" s="187"/>
      <c r="CXU166" s="187"/>
      <c r="CXV166" s="187"/>
      <c r="CXW166" s="187"/>
      <c r="CXX166" s="187"/>
      <c r="CXY166" s="187"/>
      <c r="CXZ166" s="187"/>
      <c r="CYA166" s="187"/>
      <c r="CYB166" s="187"/>
      <c r="CYC166" s="187"/>
      <c r="CYD166" s="187"/>
      <c r="CYE166" s="187"/>
      <c r="CYF166" s="187"/>
      <c r="CYG166" s="187"/>
      <c r="CYH166" s="187"/>
      <c r="CYI166" s="187"/>
      <c r="CYJ166" s="187"/>
      <c r="CYK166" s="187"/>
      <c r="CYL166" s="187"/>
      <c r="CYM166" s="187"/>
      <c r="CYN166" s="187"/>
      <c r="CYO166" s="187"/>
      <c r="CYP166" s="187"/>
      <c r="CYQ166" s="187"/>
      <c r="CYR166" s="187"/>
      <c r="CYS166" s="187"/>
      <c r="CYT166" s="187"/>
      <c r="CYU166" s="187"/>
      <c r="CYV166" s="187"/>
      <c r="CYW166" s="187"/>
      <c r="CYX166" s="187"/>
      <c r="CYY166" s="187"/>
      <c r="CYZ166" s="187"/>
      <c r="CZA166" s="187"/>
      <c r="CZB166" s="187"/>
      <c r="CZC166" s="187"/>
      <c r="CZD166" s="187"/>
      <c r="CZE166" s="187"/>
      <c r="CZF166" s="187"/>
      <c r="CZG166" s="187"/>
      <c r="CZH166" s="187"/>
      <c r="CZI166" s="187"/>
      <c r="CZJ166" s="187"/>
      <c r="CZK166" s="187"/>
      <c r="CZL166" s="187"/>
      <c r="CZM166" s="187"/>
      <c r="CZN166" s="187"/>
      <c r="CZO166" s="187"/>
      <c r="CZP166" s="187"/>
      <c r="CZQ166" s="187"/>
      <c r="CZR166" s="187"/>
      <c r="CZS166" s="187"/>
      <c r="CZT166" s="187"/>
      <c r="CZU166" s="187"/>
      <c r="CZV166" s="187"/>
      <c r="CZW166" s="187"/>
      <c r="CZX166" s="187"/>
      <c r="CZY166" s="187"/>
      <c r="CZZ166" s="187"/>
      <c r="DAA166" s="187"/>
      <c r="DAB166" s="187"/>
      <c r="DAC166" s="187"/>
      <c r="DAD166" s="187"/>
      <c r="DAE166" s="187"/>
      <c r="DAF166" s="187"/>
      <c r="DAG166" s="187"/>
      <c r="DAH166" s="187"/>
      <c r="DAI166" s="187"/>
      <c r="DAJ166" s="187"/>
      <c r="DAK166" s="187"/>
      <c r="DAL166" s="187"/>
      <c r="DAM166" s="187"/>
      <c r="DAN166" s="187"/>
      <c r="DAO166" s="187"/>
      <c r="DAP166" s="187"/>
      <c r="DAQ166" s="187"/>
      <c r="DAR166" s="187"/>
      <c r="DAS166" s="187"/>
      <c r="DAT166" s="187"/>
      <c r="DAU166" s="187"/>
      <c r="DAV166" s="187"/>
      <c r="DAW166" s="187"/>
      <c r="DAX166" s="187"/>
      <c r="DAY166" s="187"/>
      <c r="DAZ166" s="187"/>
      <c r="DBA166" s="187"/>
      <c r="DBB166" s="187"/>
      <c r="DBC166" s="187"/>
      <c r="DBD166" s="187"/>
      <c r="DBE166" s="187"/>
      <c r="DBF166" s="187"/>
      <c r="DBG166" s="187"/>
      <c r="DBH166" s="187"/>
      <c r="DBI166" s="187"/>
      <c r="DBJ166" s="187"/>
      <c r="DBK166" s="187"/>
      <c r="DBL166" s="187"/>
      <c r="DBM166" s="187"/>
      <c r="DBN166" s="187"/>
      <c r="DBO166" s="187"/>
      <c r="DBP166" s="187"/>
      <c r="DBQ166" s="187"/>
      <c r="DBR166" s="187"/>
      <c r="DBS166" s="187"/>
      <c r="DBT166" s="187"/>
      <c r="DBU166" s="187"/>
      <c r="DBV166" s="187"/>
      <c r="DBW166" s="187"/>
      <c r="DBX166" s="187"/>
      <c r="DBY166" s="187"/>
      <c r="DBZ166" s="187"/>
      <c r="DCA166" s="187"/>
      <c r="DCB166" s="187"/>
      <c r="DCC166" s="187"/>
      <c r="DCD166" s="187"/>
      <c r="DCE166" s="187"/>
      <c r="DCF166" s="187"/>
      <c r="DCG166" s="187"/>
      <c r="DCH166" s="187"/>
      <c r="DCI166" s="187"/>
      <c r="DCJ166" s="187"/>
      <c r="DCK166" s="187"/>
      <c r="DCL166" s="187"/>
      <c r="DCM166" s="187"/>
      <c r="DCN166" s="187"/>
      <c r="DCO166" s="187"/>
      <c r="DCP166" s="187"/>
      <c r="DCQ166" s="187"/>
      <c r="DCR166" s="187"/>
      <c r="DCS166" s="187"/>
      <c r="DCT166" s="187"/>
      <c r="DCU166" s="187"/>
      <c r="DCV166" s="187"/>
      <c r="DCW166" s="187"/>
      <c r="DCX166" s="187"/>
      <c r="DCY166" s="187"/>
      <c r="DCZ166" s="187"/>
      <c r="DDA166" s="187"/>
      <c r="DDB166" s="187"/>
      <c r="DDC166" s="187"/>
      <c r="DDD166" s="187"/>
      <c r="DDE166" s="187"/>
      <c r="DDF166" s="187"/>
      <c r="DDG166" s="187"/>
      <c r="DDH166" s="187"/>
      <c r="DDI166" s="187"/>
      <c r="DDJ166" s="187"/>
      <c r="DDK166" s="187"/>
      <c r="DDL166" s="187"/>
      <c r="DDM166" s="187"/>
      <c r="DDN166" s="187"/>
      <c r="DDO166" s="187"/>
      <c r="DDP166" s="187"/>
      <c r="DDQ166" s="187"/>
      <c r="DDR166" s="187"/>
      <c r="DDS166" s="187"/>
      <c r="DDT166" s="187"/>
      <c r="DDU166" s="187"/>
      <c r="DDV166" s="187"/>
      <c r="DDW166" s="187"/>
      <c r="DDX166" s="187"/>
      <c r="DDY166" s="187"/>
      <c r="DDZ166" s="187"/>
      <c r="DEA166" s="187"/>
      <c r="DEB166" s="187"/>
      <c r="DEC166" s="187"/>
      <c r="DED166" s="187"/>
      <c r="DEE166" s="187"/>
      <c r="DEF166" s="187"/>
      <c r="DEG166" s="187"/>
      <c r="DEH166" s="187"/>
      <c r="DEI166" s="187"/>
      <c r="DEJ166" s="187"/>
      <c r="DEK166" s="187"/>
      <c r="DEL166" s="187"/>
      <c r="DEM166" s="187"/>
      <c r="DEN166" s="187"/>
      <c r="DEO166" s="187"/>
      <c r="DEP166" s="187"/>
      <c r="DEQ166" s="187"/>
      <c r="DER166" s="187"/>
      <c r="DES166" s="187"/>
      <c r="DET166" s="187"/>
      <c r="DEU166" s="187"/>
      <c r="DEV166" s="187"/>
      <c r="DEW166" s="187"/>
      <c r="DEX166" s="187"/>
      <c r="DEY166" s="187"/>
      <c r="DEZ166" s="187"/>
      <c r="DFA166" s="187"/>
      <c r="DFB166" s="187"/>
      <c r="DFC166" s="187"/>
      <c r="DFD166" s="187"/>
      <c r="DFE166" s="187"/>
      <c r="DFF166" s="187"/>
      <c r="DFG166" s="187"/>
      <c r="DFH166" s="187"/>
      <c r="DFI166" s="187"/>
      <c r="DFJ166" s="187"/>
      <c r="DFK166" s="187"/>
      <c r="DFL166" s="187"/>
      <c r="DFM166" s="187"/>
      <c r="DFN166" s="187"/>
      <c r="DFO166" s="187"/>
      <c r="DFP166" s="187"/>
      <c r="DFQ166" s="187"/>
      <c r="DFR166" s="187"/>
      <c r="DFS166" s="187"/>
      <c r="DFT166" s="187"/>
      <c r="DFU166" s="187"/>
      <c r="DFV166" s="187"/>
      <c r="DFW166" s="187"/>
      <c r="DFX166" s="187"/>
      <c r="DFY166" s="187"/>
      <c r="DFZ166" s="187"/>
      <c r="DGA166" s="187"/>
      <c r="DGB166" s="187"/>
      <c r="DGC166" s="187"/>
      <c r="DGD166" s="187"/>
      <c r="DGE166" s="187"/>
      <c r="DGF166" s="187"/>
      <c r="DGG166" s="187"/>
      <c r="DGH166" s="187"/>
      <c r="DGI166" s="187"/>
      <c r="DGJ166" s="187"/>
      <c r="DGK166" s="187"/>
      <c r="DGL166" s="187"/>
      <c r="DGM166" s="187"/>
      <c r="DGN166" s="187"/>
      <c r="DGO166" s="187"/>
      <c r="DGP166" s="187"/>
      <c r="DGQ166" s="187"/>
      <c r="DGR166" s="187"/>
      <c r="DGS166" s="187"/>
      <c r="DGT166" s="187"/>
      <c r="DGU166" s="187"/>
      <c r="DGV166" s="187"/>
      <c r="DGW166" s="187"/>
      <c r="DGX166" s="187"/>
      <c r="DGY166" s="187"/>
      <c r="DGZ166" s="187"/>
      <c r="DHA166" s="187"/>
      <c r="DHB166" s="187"/>
      <c r="DHC166" s="187"/>
      <c r="DHD166" s="187"/>
      <c r="DHE166" s="187"/>
      <c r="DHF166" s="187"/>
      <c r="DHG166" s="187"/>
      <c r="DHH166" s="187"/>
      <c r="DHI166" s="187"/>
      <c r="DHJ166" s="187"/>
      <c r="DHK166" s="187"/>
      <c r="DHL166" s="187"/>
      <c r="DHM166" s="187"/>
      <c r="DHN166" s="187"/>
      <c r="DHO166" s="187"/>
      <c r="DHP166" s="187"/>
      <c r="DHQ166" s="187"/>
      <c r="DHR166" s="187"/>
      <c r="DHS166" s="187"/>
      <c r="DHT166" s="187"/>
      <c r="DHU166" s="187"/>
      <c r="DHV166" s="187"/>
      <c r="DHW166" s="187"/>
      <c r="DHX166" s="187"/>
      <c r="DHY166" s="187"/>
      <c r="DHZ166" s="187"/>
      <c r="DIA166" s="187"/>
      <c r="DIB166" s="187"/>
      <c r="DIC166" s="187"/>
      <c r="DID166" s="187"/>
      <c r="DIE166" s="187"/>
      <c r="DIF166" s="187"/>
      <c r="DIG166" s="187"/>
      <c r="DIH166" s="187"/>
      <c r="DII166" s="187"/>
      <c r="DIJ166" s="187"/>
      <c r="DIK166" s="187"/>
      <c r="DIL166" s="187"/>
      <c r="DIM166" s="187"/>
      <c r="DIN166" s="187"/>
      <c r="DIO166" s="187"/>
      <c r="DIP166" s="187"/>
      <c r="DIQ166" s="187"/>
      <c r="DIR166" s="187"/>
      <c r="DIS166" s="187"/>
      <c r="DIT166" s="187"/>
      <c r="DIU166" s="187"/>
      <c r="DIV166" s="187"/>
      <c r="DIW166" s="187"/>
      <c r="DIX166" s="187"/>
      <c r="DIY166" s="187"/>
      <c r="DIZ166" s="187"/>
      <c r="DJA166" s="187"/>
      <c r="DJB166" s="187"/>
      <c r="DJC166" s="187"/>
      <c r="DJD166" s="187"/>
      <c r="DJE166" s="187"/>
      <c r="DJF166" s="187"/>
      <c r="DJG166" s="187"/>
      <c r="DJH166" s="187"/>
      <c r="DJI166" s="187"/>
      <c r="DJJ166" s="187"/>
      <c r="DJK166" s="187"/>
      <c r="DJL166" s="187"/>
      <c r="DJM166" s="187"/>
      <c r="DJN166" s="187"/>
      <c r="DJO166" s="187"/>
      <c r="DJP166" s="187"/>
      <c r="DJQ166" s="187"/>
      <c r="DJR166" s="187"/>
      <c r="DJS166" s="187"/>
      <c r="DJT166" s="187"/>
      <c r="DJU166" s="187"/>
      <c r="DJV166" s="187"/>
      <c r="DJW166" s="187"/>
      <c r="DJX166" s="187"/>
      <c r="DJY166" s="187"/>
      <c r="DJZ166" s="187"/>
      <c r="DKA166" s="187"/>
      <c r="DKB166" s="187"/>
      <c r="DKC166" s="187"/>
      <c r="DKD166" s="187"/>
      <c r="DKE166" s="187"/>
      <c r="DKF166" s="187"/>
      <c r="DKG166" s="187"/>
      <c r="DKH166" s="187"/>
      <c r="DKI166" s="187"/>
      <c r="DKJ166" s="187"/>
      <c r="DKK166" s="187"/>
      <c r="DKL166" s="187"/>
      <c r="DKM166" s="187"/>
      <c r="DKN166" s="187"/>
      <c r="DKO166" s="187"/>
      <c r="DKP166" s="187"/>
      <c r="DKQ166" s="187"/>
      <c r="DKR166" s="187"/>
      <c r="DKS166" s="187"/>
      <c r="DKT166" s="187"/>
      <c r="DKU166" s="187"/>
      <c r="DKV166" s="187"/>
      <c r="DKW166" s="187"/>
      <c r="DKX166" s="187"/>
      <c r="DKY166" s="187"/>
      <c r="DKZ166" s="187"/>
      <c r="DLA166" s="187"/>
      <c r="DLB166" s="187"/>
      <c r="DLC166" s="187"/>
      <c r="DLD166" s="187"/>
      <c r="DLE166" s="187"/>
      <c r="DLF166" s="187"/>
      <c r="DLG166" s="187"/>
      <c r="DLH166" s="187"/>
      <c r="DLI166" s="187"/>
      <c r="DLJ166" s="187"/>
      <c r="DLK166" s="187"/>
      <c r="DLL166" s="187"/>
      <c r="DLM166" s="187"/>
      <c r="DLN166" s="187"/>
      <c r="DLO166" s="187"/>
      <c r="DLP166" s="187"/>
      <c r="DLQ166" s="187"/>
      <c r="DLR166" s="187"/>
      <c r="DLS166" s="187"/>
      <c r="DLT166" s="187"/>
      <c r="DLU166" s="187"/>
      <c r="DLV166" s="187"/>
      <c r="DLW166" s="187"/>
      <c r="DLX166" s="187"/>
      <c r="DLY166" s="187"/>
      <c r="DLZ166" s="187"/>
      <c r="DMA166" s="187"/>
      <c r="DMB166" s="187"/>
      <c r="DMC166" s="187"/>
      <c r="DMD166" s="187"/>
      <c r="DME166" s="187"/>
      <c r="DMF166" s="187"/>
      <c r="DMG166" s="187"/>
      <c r="DMH166" s="187"/>
      <c r="DMI166" s="187"/>
      <c r="DMJ166" s="187"/>
      <c r="DMK166" s="187"/>
      <c r="DML166" s="187"/>
      <c r="DMM166" s="187"/>
      <c r="DMN166" s="187"/>
      <c r="DMO166" s="187"/>
      <c r="DMP166" s="187"/>
      <c r="DMQ166" s="187"/>
      <c r="DMR166" s="187"/>
      <c r="DMS166" s="187"/>
      <c r="DMT166" s="187"/>
      <c r="DMU166" s="187"/>
      <c r="DMV166" s="187"/>
      <c r="DMW166" s="187"/>
      <c r="DMX166" s="187"/>
      <c r="DMY166" s="187"/>
      <c r="DMZ166" s="187"/>
      <c r="DNA166" s="187"/>
      <c r="DNB166" s="187"/>
      <c r="DNC166" s="187"/>
      <c r="DND166" s="187"/>
      <c r="DNE166" s="187"/>
      <c r="DNF166" s="187"/>
      <c r="DNG166" s="187"/>
      <c r="DNH166" s="187"/>
      <c r="DNI166" s="187"/>
      <c r="DNJ166" s="187"/>
      <c r="DNK166" s="187"/>
      <c r="DNL166" s="187"/>
      <c r="DNM166" s="187"/>
      <c r="DNN166" s="187"/>
      <c r="DNO166" s="187"/>
      <c r="DNP166" s="187"/>
      <c r="DNQ166" s="187"/>
      <c r="DNR166" s="187"/>
      <c r="DNS166" s="187"/>
      <c r="DNT166" s="187"/>
      <c r="DNU166" s="187"/>
      <c r="DNV166" s="187"/>
      <c r="DNW166" s="187"/>
      <c r="DNX166" s="187"/>
      <c r="DNY166" s="187"/>
      <c r="DNZ166" s="187"/>
      <c r="DOA166" s="187"/>
      <c r="DOB166" s="187"/>
      <c r="DOC166" s="187"/>
      <c r="DOD166" s="187"/>
      <c r="DOE166" s="187"/>
      <c r="DOF166" s="187"/>
      <c r="DOG166" s="187"/>
      <c r="DOH166" s="187"/>
      <c r="DOI166" s="187"/>
      <c r="DOJ166" s="187"/>
      <c r="DOK166" s="187"/>
      <c r="DOL166" s="187"/>
      <c r="DOM166" s="187"/>
      <c r="DON166" s="187"/>
      <c r="DOO166" s="187"/>
      <c r="DOP166" s="187"/>
      <c r="DOQ166" s="187"/>
      <c r="DOR166" s="187"/>
      <c r="DOS166" s="187"/>
      <c r="DOT166" s="187"/>
      <c r="DOU166" s="187"/>
      <c r="DOV166" s="187"/>
      <c r="DOW166" s="187"/>
      <c r="DOX166" s="187"/>
      <c r="DOY166" s="187"/>
      <c r="DOZ166" s="187"/>
      <c r="DPA166" s="187"/>
      <c r="DPB166" s="187"/>
      <c r="DPC166" s="187"/>
      <c r="DPD166" s="187"/>
      <c r="DPE166" s="187"/>
      <c r="DPF166" s="187"/>
      <c r="DPG166" s="187"/>
      <c r="DPH166" s="187"/>
      <c r="DPI166" s="187"/>
      <c r="DPJ166" s="187"/>
      <c r="DPK166" s="187"/>
      <c r="DPL166" s="187"/>
      <c r="DPM166" s="187"/>
      <c r="DPN166" s="187"/>
      <c r="DPO166" s="187"/>
      <c r="DPP166" s="187"/>
      <c r="DPQ166" s="187"/>
      <c r="DPR166" s="187"/>
      <c r="DPS166" s="187"/>
      <c r="DPT166" s="187"/>
      <c r="DPU166" s="187"/>
      <c r="DPV166" s="187"/>
      <c r="DPW166" s="187"/>
      <c r="DPX166" s="187"/>
      <c r="DPY166" s="187"/>
      <c r="DPZ166" s="187"/>
      <c r="DQA166" s="187"/>
      <c r="DQB166" s="187"/>
      <c r="DQC166" s="187"/>
      <c r="DQD166" s="187"/>
      <c r="DQE166" s="187"/>
      <c r="DQF166" s="187"/>
      <c r="DQG166" s="187"/>
      <c r="DQH166" s="187"/>
      <c r="DQI166" s="187"/>
      <c r="DQJ166" s="187"/>
      <c r="DQK166" s="187"/>
      <c r="DQL166" s="187"/>
      <c r="DQM166" s="187"/>
      <c r="DQN166" s="187"/>
      <c r="DQO166" s="187"/>
      <c r="DQP166" s="187"/>
      <c r="DQQ166" s="187"/>
      <c r="DQR166" s="187"/>
      <c r="DQS166" s="187"/>
      <c r="DQT166" s="187"/>
      <c r="DQU166" s="187"/>
      <c r="DQV166" s="187"/>
      <c r="DQW166" s="187"/>
      <c r="DQX166" s="187"/>
      <c r="DQY166" s="187"/>
      <c r="DQZ166" s="187"/>
      <c r="DRA166" s="187"/>
      <c r="DRB166" s="187"/>
      <c r="DRC166" s="187"/>
      <c r="DRD166" s="187"/>
      <c r="DRE166" s="187"/>
      <c r="DRF166" s="187"/>
      <c r="DRG166" s="187"/>
      <c r="DRH166" s="187"/>
      <c r="DRI166" s="187"/>
      <c r="DRJ166" s="187"/>
      <c r="DRK166" s="187"/>
      <c r="DRL166" s="187"/>
      <c r="DRM166" s="187"/>
      <c r="DRN166" s="187"/>
      <c r="DRO166" s="187"/>
      <c r="DRP166" s="187"/>
      <c r="DRQ166" s="187"/>
      <c r="DRR166" s="187"/>
      <c r="DRS166" s="187"/>
      <c r="DRT166" s="187"/>
      <c r="DRU166" s="187"/>
      <c r="DRV166" s="187"/>
      <c r="DRW166" s="187"/>
      <c r="DRX166" s="187"/>
      <c r="DRY166" s="187"/>
      <c r="DRZ166" s="187"/>
      <c r="DSA166" s="187"/>
      <c r="DSB166" s="187"/>
      <c r="DSC166" s="187"/>
      <c r="DSD166" s="187"/>
      <c r="DSE166" s="187"/>
      <c r="DSF166" s="187"/>
      <c r="DSG166" s="187"/>
      <c r="DSH166" s="187"/>
      <c r="DSI166" s="187"/>
      <c r="DSJ166" s="187"/>
      <c r="DSK166" s="187"/>
      <c r="DSL166" s="187"/>
      <c r="DSM166" s="187"/>
      <c r="DSN166" s="187"/>
      <c r="DSO166" s="187"/>
      <c r="DSP166" s="187"/>
      <c r="DSQ166" s="187"/>
      <c r="DSR166" s="187"/>
      <c r="DSS166" s="187"/>
      <c r="DST166" s="187"/>
      <c r="DSU166" s="187"/>
      <c r="DSV166" s="187"/>
      <c r="DSW166" s="187"/>
      <c r="DSX166" s="187"/>
      <c r="DSY166" s="187"/>
      <c r="DSZ166" s="187"/>
      <c r="DTA166" s="187"/>
      <c r="DTB166" s="187"/>
      <c r="DTC166" s="187"/>
      <c r="DTD166" s="187"/>
      <c r="DTE166" s="187"/>
      <c r="DTF166" s="187"/>
      <c r="DTG166" s="187"/>
      <c r="DTH166" s="187"/>
      <c r="DTI166" s="187"/>
      <c r="DTJ166" s="187"/>
      <c r="DTK166" s="187"/>
      <c r="DTL166" s="187"/>
      <c r="DTM166" s="187"/>
      <c r="DTN166" s="187"/>
      <c r="DTO166" s="187"/>
      <c r="DTP166" s="187"/>
      <c r="DTQ166" s="187"/>
      <c r="DTR166" s="187"/>
      <c r="DTS166" s="187"/>
      <c r="DTT166" s="187"/>
      <c r="DTU166" s="187"/>
      <c r="DTV166" s="187"/>
      <c r="DTW166" s="187"/>
      <c r="DTX166" s="187"/>
      <c r="DTY166" s="187"/>
      <c r="DTZ166" s="187"/>
      <c r="DUA166" s="187"/>
      <c r="DUB166" s="187"/>
      <c r="DUC166" s="187"/>
      <c r="DUD166" s="187"/>
      <c r="DUE166" s="187"/>
      <c r="DUF166" s="187"/>
      <c r="DUG166" s="187"/>
      <c r="DUH166" s="187"/>
      <c r="DUI166" s="187"/>
      <c r="DUJ166" s="187"/>
      <c r="DUK166" s="187"/>
      <c r="DUL166" s="187"/>
      <c r="DUM166" s="187"/>
      <c r="DUN166" s="187"/>
      <c r="DUO166" s="187"/>
      <c r="DUP166" s="187"/>
      <c r="DUQ166" s="187"/>
      <c r="DUR166" s="187"/>
      <c r="DUS166" s="187"/>
      <c r="DUT166" s="187"/>
      <c r="DUU166" s="187"/>
      <c r="DUV166" s="187"/>
      <c r="DUW166" s="187"/>
      <c r="DUX166" s="187"/>
      <c r="DUY166" s="187"/>
      <c r="DUZ166" s="187"/>
      <c r="DVA166" s="187"/>
      <c r="DVB166" s="187"/>
      <c r="DVC166" s="187"/>
      <c r="DVD166" s="187"/>
      <c r="DVE166" s="187"/>
      <c r="DVF166" s="187"/>
      <c r="DVG166" s="187"/>
      <c r="DVH166" s="187"/>
      <c r="DVI166" s="187"/>
      <c r="DVJ166" s="187"/>
      <c r="DVK166" s="187"/>
      <c r="DVL166" s="187"/>
      <c r="DVM166" s="187"/>
      <c r="DVN166" s="187"/>
      <c r="DVO166" s="187"/>
      <c r="DVP166" s="187"/>
      <c r="DVQ166" s="187"/>
      <c r="DVR166" s="187"/>
      <c r="DVS166" s="187"/>
      <c r="DVT166" s="187"/>
      <c r="DVU166" s="187"/>
      <c r="DVV166" s="187"/>
      <c r="DVW166" s="187"/>
      <c r="DVX166" s="187"/>
      <c r="DVY166" s="187"/>
      <c r="DVZ166" s="187"/>
      <c r="DWA166" s="187"/>
      <c r="DWB166" s="187"/>
      <c r="DWC166" s="187"/>
      <c r="DWD166" s="187"/>
      <c r="DWE166" s="187"/>
      <c r="DWF166" s="187"/>
      <c r="DWG166" s="187"/>
      <c r="DWH166" s="187"/>
      <c r="DWI166" s="187"/>
      <c r="DWJ166" s="187"/>
      <c r="DWK166" s="187"/>
      <c r="DWL166" s="187"/>
      <c r="DWM166" s="187"/>
      <c r="DWN166" s="187"/>
      <c r="DWO166" s="187"/>
      <c r="DWP166" s="187"/>
      <c r="DWQ166" s="187"/>
      <c r="DWR166" s="187"/>
      <c r="DWS166" s="187"/>
      <c r="DWT166" s="187"/>
      <c r="DWU166" s="187"/>
      <c r="DWV166" s="187"/>
      <c r="DWW166" s="187"/>
      <c r="DWX166" s="187"/>
      <c r="DWY166" s="187"/>
      <c r="DWZ166" s="187"/>
      <c r="DXA166" s="187"/>
      <c r="DXB166" s="187"/>
      <c r="DXC166" s="187"/>
      <c r="DXD166" s="187"/>
      <c r="DXE166" s="187"/>
      <c r="DXF166" s="187"/>
      <c r="DXG166" s="187"/>
      <c r="DXH166" s="187"/>
      <c r="DXI166" s="187"/>
      <c r="DXJ166" s="187"/>
      <c r="DXK166" s="187"/>
      <c r="DXL166" s="187"/>
      <c r="DXM166" s="187"/>
      <c r="DXN166" s="187"/>
      <c r="DXO166" s="187"/>
      <c r="DXP166" s="187"/>
      <c r="DXQ166" s="187"/>
      <c r="DXR166" s="187"/>
      <c r="DXS166" s="187"/>
      <c r="DXT166" s="187"/>
      <c r="DXU166" s="187"/>
      <c r="DXV166" s="187"/>
      <c r="DXW166" s="187"/>
      <c r="DXX166" s="187"/>
      <c r="DXY166" s="187"/>
      <c r="DXZ166" s="187"/>
      <c r="DYA166" s="187"/>
      <c r="DYB166" s="187"/>
      <c r="DYC166" s="187"/>
      <c r="DYD166" s="187"/>
      <c r="DYE166" s="187"/>
      <c r="DYF166" s="187"/>
      <c r="DYG166" s="187"/>
      <c r="DYH166" s="187"/>
      <c r="DYI166" s="187"/>
      <c r="DYJ166" s="187"/>
      <c r="DYK166" s="187"/>
      <c r="DYL166" s="187"/>
      <c r="DYM166" s="187"/>
      <c r="DYN166" s="187"/>
      <c r="DYO166" s="187"/>
      <c r="DYP166" s="187"/>
      <c r="DYQ166" s="187"/>
      <c r="DYR166" s="187"/>
      <c r="DYS166" s="187"/>
      <c r="DYT166" s="187"/>
      <c r="DYU166" s="187"/>
      <c r="DYV166" s="187"/>
      <c r="DYW166" s="187"/>
      <c r="DYX166" s="187"/>
      <c r="DYY166" s="187"/>
      <c r="DYZ166" s="187"/>
      <c r="DZA166" s="187"/>
      <c r="DZB166" s="187"/>
      <c r="DZC166" s="187"/>
      <c r="DZD166" s="187"/>
      <c r="DZE166" s="187"/>
      <c r="DZF166" s="187"/>
      <c r="DZG166" s="187"/>
      <c r="DZH166" s="187"/>
      <c r="DZI166" s="187"/>
      <c r="DZJ166" s="187"/>
      <c r="DZK166" s="187"/>
      <c r="DZL166" s="187"/>
      <c r="DZM166" s="187"/>
      <c r="DZN166" s="187"/>
      <c r="DZO166" s="187"/>
      <c r="DZP166" s="187"/>
      <c r="DZQ166" s="187"/>
      <c r="DZR166" s="187"/>
      <c r="DZS166" s="187"/>
      <c r="DZT166" s="187"/>
      <c r="DZU166" s="187"/>
      <c r="DZV166" s="187"/>
      <c r="DZW166" s="187"/>
      <c r="DZX166" s="187"/>
      <c r="DZY166" s="187"/>
      <c r="DZZ166" s="187"/>
      <c r="EAA166" s="187"/>
      <c r="EAB166" s="187"/>
      <c r="EAC166" s="187"/>
      <c r="EAD166" s="187"/>
      <c r="EAE166" s="187"/>
      <c r="EAF166" s="187"/>
      <c r="EAG166" s="187"/>
      <c r="EAH166" s="187"/>
      <c r="EAI166" s="187"/>
      <c r="EAJ166" s="187"/>
      <c r="EAK166" s="187"/>
      <c r="EAL166" s="187"/>
      <c r="EAM166" s="187"/>
      <c r="EAN166" s="187"/>
      <c r="EAO166" s="187"/>
      <c r="EAP166" s="187"/>
      <c r="EAQ166" s="187"/>
      <c r="EAR166" s="187"/>
      <c r="EAS166" s="187"/>
      <c r="EAT166" s="187"/>
      <c r="EAU166" s="187"/>
      <c r="EAV166" s="187"/>
      <c r="EAW166" s="187"/>
      <c r="EAX166" s="187"/>
      <c r="EAY166" s="187"/>
      <c r="EAZ166" s="187"/>
      <c r="EBA166" s="187"/>
      <c r="EBB166" s="187"/>
      <c r="EBC166" s="187"/>
      <c r="EBD166" s="187"/>
      <c r="EBE166" s="187"/>
      <c r="EBF166" s="187"/>
      <c r="EBG166" s="187"/>
      <c r="EBH166" s="187"/>
      <c r="EBI166" s="187"/>
      <c r="EBJ166" s="187"/>
      <c r="EBK166" s="187"/>
      <c r="EBL166" s="187"/>
      <c r="EBM166" s="187"/>
      <c r="EBN166" s="187"/>
      <c r="EBO166" s="187"/>
      <c r="EBP166" s="187"/>
      <c r="EBQ166" s="187"/>
      <c r="EBR166" s="187"/>
      <c r="EBS166" s="187"/>
      <c r="EBT166" s="187"/>
      <c r="EBU166" s="187"/>
      <c r="EBV166" s="187"/>
      <c r="EBW166" s="187"/>
      <c r="EBX166" s="187"/>
      <c r="EBY166" s="187"/>
      <c r="EBZ166" s="187"/>
      <c r="ECA166" s="187"/>
      <c r="ECB166" s="187"/>
      <c r="ECC166" s="187"/>
      <c r="ECD166" s="187"/>
      <c r="ECE166" s="187"/>
      <c r="ECF166" s="187"/>
      <c r="ECG166" s="187"/>
      <c r="ECH166" s="187"/>
      <c r="ECI166" s="187"/>
      <c r="ECJ166" s="187"/>
      <c r="ECK166" s="187"/>
      <c r="ECL166" s="187"/>
      <c r="ECM166" s="187"/>
      <c r="ECN166" s="187"/>
      <c r="ECO166" s="187"/>
      <c r="ECP166" s="187"/>
      <c r="ECQ166" s="187"/>
      <c r="ECR166" s="187"/>
      <c r="ECS166" s="187"/>
      <c r="ECT166" s="187"/>
      <c r="ECU166" s="187"/>
      <c r="ECV166" s="187"/>
      <c r="ECW166" s="187"/>
      <c r="ECX166" s="187"/>
      <c r="ECY166" s="187"/>
      <c r="ECZ166" s="187"/>
      <c r="EDA166" s="187"/>
      <c r="EDB166" s="187"/>
      <c r="EDC166" s="187"/>
      <c r="EDD166" s="187"/>
      <c r="EDE166" s="187"/>
      <c r="EDF166" s="187"/>
      <c r="EDG166" s="187"/>
      <c r="EDH166" s="187"/>
      <c r="EDI166" s="187"/>
      <c r="EDJ166" s="187"/>
      <c r="EDK166" s="187"/>
      <c r="EDL166" s="187"/>
      <c r="EDM166" s="187"/>
      <c r="EDN166" s="187"/>
      <c r="EDO166" s="187"/>
      <c r="EDP166" s="187"/>
      <c r="EDQ166" s="187"/>
      <c r="EDR166" s="187"/>
      <c r="EDS166" s="187"/>
      <c r="EDT166" s="187"/>
      <c r="EDU166" s="187"/>
      <c r="EDV166" s="187"/>
      <c r="EDW166" s="187"/>
      <c r="EDX166" s="187"/>
      <c r="EDY166" s="187"/>
      <c r="EDZ166" s="187"/>
      <c r="EEA166" s="187"/>
      <c r="EEB166" s="187"/>
      <c r="EEC166" s="187"/>
      <c r="EED166" s="187"/>
      <c r="EEE166" s="187"/>
      <c r="EEF166" s="187"/>
      <c r="EEG166" s="187"/>
      <c r="EEH166" s="187"/>
      <c r="EEI166" s="187"/>
      <c r="EEJ166" s="187"/>
      <c r="EEK166" s="187"/>
      <c r="EEL166" s="187"/>
      <c r="EEM166" s="187"/>
      <c r="EEN166" s="187"/>
      <c r="EEO166" s="187"/>
      <c r="EEP166" s="187"/>
      <c r="EEQ166" s="187"/>
      <c r="EER166" s="187"/>
      <c r="EES166" s="187"/>
      <c r="EET166" s="187"/>
      <c r="EEU166" s="187"/>
      <c r="EEV166" s="187"/>
      <c r="EEW166" s="187"/>
      <c r="EEX166" s="187"/>
      <c r="EEY166" s="187"/>
      <c r="EEZ166" s="187"/>
      <c r="EFA166" s="187"/>
      <c r="EFB166" s="187"/>
      <c r="EFC166" s="187"/>
      <c r="EFD166" s="187"/>
      <c r="EFE166" s="187"/>
      <c r="EFF166" s="187"/>
      <c r="EFG166" s="187"/>
      <c r="EFH166" s="187"/>
      <c r="EFI166" s="187"/>
      <c r="EFJ166" s="187"/>
      <c r="EFK166" s="187"/>
      <c r="EFL166" s="187"/>
      <c r="EFM166" s="187"/>
      <c r="EFN166" s="187"/>
      <c r="EFO166" s="187"/>
      <c r="EFP166" s="187"/>
      <c r="EFQ166" s="187"/>
      <c r="EFR166" s="187"/>
      <c r="EFS166" s="187"/>
      <c r="EFT166" s="187"/>
      <c r="EFU166" s="187"/>
      <c r="EFV166" s="187"/>
      <c r="EFW166" s="187"/>
      <c r="EFX166" s="187"/>
      <c r="EFY166" s="187"/>
      <c r="EFZ166" s="187"/>
      <c r="EGA166" s="187"/>
      <c r="EGB166" s="187"/>
      <c r="EGC166" s="187"/>
      <c r="EGD166" s="187"/>
      <c r="EGE166" s="187"/>
      <c r="EGF166" s="187"/>
      <c r="EGG166" s="187"/>
      <c r="EGH166" s="187"/>
      <c r="EGI166" s="187"/>
      <c r="EGJ166" s="187"/>
      <c r="EGK166" s="187"/>
      <c r="EGL166" s="187"/>
      <c r="EGM166" s="187"/>
      <c r="EGN166" s="187"/>
      <c r="EGO166" s="187"/>
      <c r="EGP166" s="187"/>
      <c r="EGQ166" s="187"/>
      <c r="EGR166" s="187"/>
      <c r="EGS166" s="187"/>
      <c r="EGT166" s="187"/>
      <c r="EGU166" s="187"/>
      <c r="EGV166" s="187"/>
      <c r="EGW166" s="187"/>
      <c r="EGX166" s="187"/>
      <c r="EGY166" s="187"/>
      <c r="EGZ166" s="187"/>
      <c r="EHA166" s="187"/>
      <c r="EHB166" s="187"/>
      <c r="EHC166" s="187"/>
      <c r="EHD166" s="187"/>
      <c r="EHE166" s="187"/>
      <c r="EHF166" s="187"/>
      <c r="EHG166" s="187"/>
      <c r="EHH166" s="187"/>
      <c r="EHI166" s="187"/>
      <c r="EHJ166" s="187"/>
      <c r="EHK166" s="187"/>
      <c r="EHL166" s="187"/>
      <c r="EHM166" s="187"/>
      <c r="EHN166" s="187"/>
      <c r="EHO166" s="187"/>
      <c r="EHP166" s="187"/>
      <c r="EHQ166" s="187"/>
      <c r="EHR166" s="187"/>
      <c r="EHS166" s="187"/>
      <c r="EHT166" s="187"/>
      <c r="EHU166" s="187"/>
      <c r="EHV166" s="187"/>
      <c r="EHW166" s="187"/>
      <c r="EHX166" s="187"/>
      <c r="EHY166" s="187"/>
      <c r="EHZ166" s="187"/>
      <c r="EIA166" s="187"/>
      <c r="EIB166" s="187"/>
      <c r="EIC166" s="187"/>
      <c r="EID166" s="187"/>
      <c r="EIE166" s="187"/>
      <c r="EIF166" s="187"/>
      <c r="EIG166" s="187"/>
      <c r="EIH166" s="187"/>
      <c r="EII166" s="187"/>
      <c r="EIJ166" s="187"/>
      <c r="EIK166" s="187"/>
      <c r="EIL166" s="187"/>
      <c r="EIM166" s="187"/>
      <c r="EIN166" s="187"/>
      <c r="EIO166" s="187"/>
      <c r="EIP166" s="187"/>
      <c r="EIQ166" s="187"/>
      <c r="EIR166" s="187"/>
      <c r="EIS166" s="187"/>
      <c r="EIT166" s="187"/>
      <c r="EIU166" s="187"/>
      <c r="EIV166" s="187"/>
      <c r="EIW166" s="187"/>
      <c r="EIX166" s="187"/>
      <c r="EIY166" s="187"/>
      <c r="EIZ166" s="187"/>
      <c r="EJA166" s="187"/>
      <c r="EJB166" s="187"/>
      <c r="EJC166" s="187"/>
      <c r="EJD166" s="187"/>
      <c r="EJE166" s="187"/>
      <c r="EJF166" s="187"/>
      <c r="EJG166" s="187"/>
      <c r="EJH166" s="187"/>
      <c r="EJI166" s="187"/>
      <c r="EJJ166" s="187"/>
      <c r="EJK166" s="187"/>
      <c r="EJL166" s="187"/>
      <c r="EJM166" s="187"/>
      <c r="EJN166" s="187"/>
      <c r="EJO166" s="187"/>
      <c r="EJP166" s="187"/>
      <c r="EJQ166" s="187"/>
      <c r="EJR166" s="187"/>
      <c r="EJS166" s="187"/>
      <c r="EJT166" s="187"/>
      <c r="EJU166" s="187"/>
      <c r="EJV166" s="187"/>
      <c r="EJW166" s="187"/>
      <c r="EJX166" s="187"/>
      <c r="EJY166" s="187"/>
      <c r="EJZ166" s="187"/>
      <c r="EKA166" s="187"/>
      <c r="EKB166" s="187"/>
      <c r="EKC166" s="187"/>
      <c r="EKD166" s="187"/>
      <c r="EKE166" s="187"/>
      <c r="EKF166" s="187"/>
      <c r="EKG166" s="187"/>
      <c r="EKH166" s="187"/>
      <c r="EKI166" s="187"/>
      <c r="EKJ166" s="187"/>
      <c r="EKK166" s="187"/>
      <c r="EKL166" s="187"/>
      <c r="EKM166" s="187"/>
      <c r="EKN166" s="187"/>
      <c r="EKO166" s="187"/>
      <c r="EKP166" s="187"/>
      <c r="EKQ166" s="187"/>
      <c r="EKR166" s="187"/>
      <c r="EKS166" s="187"/>
      <c r="EKT166" s="187"/>
      <c r="EKU166" s="187"/>
      <c r="EKV166" s="187"/>
      <c r="EKW166" s="187"/>
      <c r="EKX166" s="187"/>
      <c r="EKY166" s="187"/>
      <c r="EKZ166" s="187"/>
      <c r="ELA166" s="187"/>
      <c r="ELB166" s="187"/>
      <c r="ELC166" s="187"/>
      <c r="ELD166" s="187"/>
      <c r="ELE166" s="187"/>
      <c r="ELF166" s="187"/>
      <c r="ELG166" s="187"/>
      <c r="ELH166" s="187"/>
      <c r="ELI166" s="187"/>
      <c r="ELJ166" s="187"/>
      <c r="ELK166" s="187"/>
      <c r="ELL166" s="187"/>
      <c r="ELM166" s="187"/>
      <c r="ELN166" s="187"/>
      <c r="ELO166" s="187"/>
      <c r="ELP166" s="187"/>
      <c r="ELQ166" s="187"/>
      <c r="ELR166" s="187"/>
      <c r="ELS166" s="187"/>
      <c r="ELT166" s="187"/>
      <c r="ELU166" s="187"/>
      <c r="ELV166" s="187"/>
      <c r="ELW166" s="187"/>
      <c r="ELX166" s="187"/>
      <c r="ELY166" s="187"/>
      <c r="ELZ166" s="187"/>
      <c r="EMA166" s="187"/>
      <c r="EMB166" s="187"/>
      <c r="EMC166" s="187"/>
      <c r="EMD166" s="187"/>
      <c r="EME166" s="187"/>
      <c r="EMF166" s="187"/>
      <c r="EMG166" s="187"/>
      <c r="EMH166" s="187"/>
      <c r="EMI166" s="187"/>
      <c r="EMJ166" s="187"/>
      <c r="EMK166" s="187"/>
      <c r="EML166" s="187"/>
      <c r="EMM166" s="187"/>
      <c r="EMN166" s="187"/>
      <c r="EMO166" s="187"/>
      <c r="EMP166" s="187"/>
      <c r="EMQ166" s="187"/>
      <c r="EMR166" s="187"/>
      <c r="EMS166" s="187"/>
      <c r="EMT166" s="187"/>
      <c r="EMU166" s="187"/>
      <c r="EMV166" s="187"/>
      <c r="EMW166" s="187"/>
      <c r="EMX166" s="187"/>
      <c r="EMY166" s="187"/>
      <c r="EMZ166" s="187"/>
      <c r="ENA166" s="187"/>
      <c r="ENB166" s="187"/>
      <c r="ENC166" s="187"/>
      <c r="END166" s="187"/>
      <c r="ENE166" s="187"/>
      <c r="ENF166" s="187"/>
      <c r="ENG166" s="187"/>
      <c r="ENH166" s="187"/>
      <c r="ENI166" s="187"/>
      <c r="ENJ166" s="187"/>
      <c r="ENK166" s="187"/>
      <c r="ENL166" s="187"/>
      <c r="ENM166" s="187"/>
      <c r="ENN166" s="187"/>
      <c r="ENO166" s="187"/>
      <c r="ENP166" s="187"/>
      <c r="ENQ166" s="187"/>
      <c r="ENR166" s="187"/>
      <c r="ENS166" s="187"/>
      <c r="ENT166" s="187"/>
      <c r="ENU166" s="187"/>
      <c r="ENV166" s="187"/>
      <c r="ENW166" s="187"/>
      <c r="ENX166" s="187"/>
      <c r="ENY166" s="187"/>
      <c r="ENZ166" s="187"/>
      <c r="EOA166" s="187"/>
      <c r="EOB166" s="187"/>
      <c r="EOC166" s="187"/>
      <c r="EOD166" s="187"/>
      <c r="EOE166" s="187"/>
      <c r="EOF166" s="187"/>
      <c r="EOG166" s="187"/>
      <c r="EOH166" s="187"/>
      <c r="EOI166" s="187"/>
      <c r="EOJ166" s="187"/>
      <c r="EOK166" s="187"/>
      <c r="EOL166" s="187"/>
      <c r="EOM166" s="187"/>
      <c r="EON166" s="187"/>
      <c r="EOO166" s="187"/>
      <c r="EOP166" s="187"/>
      <c r="EOQ166" s="187"/>
      <c r="EOR166" s="187"/>
      <c r="EOS166" s="187"/>
      <c r="EOT166" s="187"/>
      <c r="EOU166" s="187"/>
      <c r="EOV166" s="187"/>
      <c r="EOW166" s="187"/>
      <c r="EOX166" s="187"/>
      <c r="EOY166" s="187"/>
      <c r="EOZ166" s="187"/>
      <c r="EPA166" s="187"/>
      <c r="EPB166" s="187"/>
      <c r="EPC166" s="187"/>
      <c r="EPD166" s="187"/>
      <c r="EPE166" s="187"/>
      <c r="EPF166" s="187"/>
      <c r="EPG166" s="187"/>
      <c r="EPH166" s="187"/>
      <c r="EPI166" s="187"/>
      <c r="EPJ166" s="187"/>
      <c r="EPK166" s="187"/>
      <c r="EPL166" s="187"/>
      <c r="EPM166" s="187"/>
      <c r="EPN166" s="187"/>
      <c r="EPO166" s="187"/>
      <c r="EPP166" s="187"/>
      <c r="EPQ166" s="187"/>
      <c r="EPR166" s="187"/>
      <c r="EPS166" s="187"/>
      <c r="EPT166" s="187"/>
      <c r="EPU166" s="187"/>
      <c r="EPV166" s="187"/>
      <c r="EPW166" s="187"/>
      <c r="EPX166" s="187"/>
      <c r="EPY166" s="187"/>
      <c r="EPZ166" s="187"/>
      <c r="EQA166" s="187"/>
      <c r="EQB166" s="187"/>
      <c r="EQC166" s="187"/>
      <c r="EQD166" s="187"/>
      <c r="EQE166" s="187"/>
      <c r="EQF166" s="187"/>
      <c r="EQG166" s="187"/>
      <c r="EQH166" s="187"/>
      <c r="EQI166" s="187"/>
      <c r="EQJ166" s="187"/>
      <c r="EQK166" s="187"/>
      <c r="EQL166" s="187"/>
      <c r="EQM166" s="187"/>
      <c r="EQN166" s="187"/>
      <c r="EQO166" s="187"/>
      <c r="EQP166" s="187"/>
      <c r="EQQ166" s="187"/>
      <c r="EQR166" s="187"/>
      <c r="EQS166" s="187"/>
      <c r="EQT166" s="187"/>
      <c r="EQU166" s="187"/>
      <c r="EQV166" s="187"/>
      <c r="EQW166" s="187"/>
      <c r="EQX166" s="187"/>
      <c r="EQY166" s="187"/>
      <c r="EQZ166" s="187"/>
      <c r="ERA166" s="187"/>
      <c r="ERB166" s="187"/>
      <c r="ERC166" s="187"/>
      <c r="ERD166" s="187"/>
      <c r="ERE166" s="187"/>
      <c r="ERF166" s="187"/>
      <c r="ERG166" s="187"/>
      <c r="ERH166" s="187"/>
      <c r="ERI166" s="187"/>
      <c r="ERJ166" s="187"/>
      <c r="ERK166" s="187"/>
      <c r="ERL166" s="187"/>
      <c r="ERM166" s="187"/>
      <c r="ERN166" s="187"/>
      <c r="ERO166" s="187"/>
      <c r="ERP166" s="187"/>
      <c r="ERQ166" s="187"/>
      <c r="ERR166" s="187"/>
      <c r="ERS166" s="187"/>
      <c r="ERT166" s="187"/>
      <c r="ERU166" s="187"/>
      <c r="ERV166" s="187"/>
      <c r="ERW166" s="187"/>
      <c r="ERX166" s="187"/>
      <c r="ERY166" s="187"/>
      <c r="ERZ166" s="187"/>
      <c r="ESA166" s="187"/>
      <c r="ESB166" s="187"/>
      <c r="ESC166" s="187"/>
      <c r="ESD166" s="187"/>
      <c r="ESE166" s="187"/>
      <c r="ESF166" s="187"/>
      <c r="ESG166" s="187"/>
      <c r="ESH166" s="187"/>
      <c r="ESI166" s="187"/>
      <c r="ESJ166" s="187"/>
      <c r="ESK166" s="187"/>
      <c r="ESL166" s="187"/>
      <c r="ESM166" s="187"/>
      <c r="ESN166" s="187"/>
      <c r="ESO166" s="187"/>
      <c r="ESP166" s="187"/>
      <c r="ESQ166" s="187"/>
      <c r="ESR166" s="187"/>
      <c r="ESS166" s="187"/>
      <c r="EST166" s="187"/>
      <c r="ESU166" s="187"/>
      <c r="ESV166" s="187"/>
      <c r="ESW166" s="187"/>
      <c r="ESX166" s="187"/>
      <c r="ESY166" s="187"/>
      <c r="ESZ166" s="187"/>
      <c r="ETA166" s="187"/>
      <c r="ETB166" s="187"/>
      <c r="ETC166" s="187"/>
      <c r="ETD166" s="187"/>
      <c r="ETE166" s="187"/>
      <c r="ETF166" s="187"/>
      <c r="ETG166" s="187"/>
      <c r="ETH166" s="187"/>
      <c r="ETI166" s="187"/>
      <c r="ETJ166" s="187"/>
      <c r="ETK166" s="187"/>
      <c r="ETL166" s="187"/>
      <c r="ETM166" s="187"/>
      <c r="ETN166" s="187"/>
      <c r="ETO166" s="187"/>
      <c r="ETP166" s="187"/>
      <c r="ETQ166" s="187"/>
      <c r="ETR166" s="187"/>
      <c r="ETS166" s="187"/>
      <c r="ETT166" s="187"/>
      <c r="ETU166" s="187"/>
      <c r="ETV166" s="187"/>
      <c r="ETW166" s="187"/>
      <c r="ETX166" s="187"/>
      <c r="ETY166" s="187"/>
      <c r="ETZ166" s="187"/>
      <c r="EUA166" s="187"/>
      <c r="EUB166" s="187"/>
      <c r="EUC166" s="187"/>
      <c r="EUD166" s="187"/>
      <c r="EUE166" s="187"/>
      <c r="EUF166" s="187"/>
      <c r="EUG166" s="187"/>
      <c r="EUH166" s="187"/>
      <c r="EUI166" s="187"/>
      <c r="EUJ166" s="187"/>
      <c r="EUK166" s="187"/>
      <c r="EUL166" s="187"/>
      <c r="EUM166" s="187"/>
      <c r="EUN166" s="187"/>
      <c r="EUO166" s="187"/>
      <c r="EUP166" s="187"/>
      <c r="EUQ166" s="187"/>
      <c r="EUR166" s="187"/>
      <c r="EUS166" s="187"/>
      <c r="EUT166" s="187"/>
      <c r="EUU166" s="187"/>
      <c r="EUV166" s="187"/>
      <c r="EUW166" s="187"/>
      <c r="EUX166" s="187"/>
      <c r="EUY166" s="187"/>
      <c r="EUZ166" s="187"/>
      <c r="EVA166" s="187"/>
      <c r="EVB166" s="187"/>
      <c r="EVC166" s="187"/>
      <c r="EVD166" s="187"/>
      <c r="EVE166" s="187"/>
      <c r="EVF166" s="187"/>
      <c r="EVG166" s="187"/>
      <c r="EVH166" s="187"/>
      <c r="EVI166" s="187"/>
      <c r="EVJ166" s="187"/>
      <c r="EVK166" s="187"/>
      <c r="EVL166" s="187"/>
      <c r="EVM166" s="187"/>
      <c r="EVN166" s="187"/>
      <c r="EVO166" s="187"/>
      <c r="EVP166" s="187"/>
      <c r="EVQ166" s="187"/>
      <c r="EVR166" s="187"/>
      <c r="EVS166" s="187"/>
      <c r="EVT166" s="187"/>
      <c r="EVU166" s="187"/>
      <c r="EVV166" s="187"/>
      <c r="EVW166" s="187"/>
      <c r="EVX166" s="187"/>
      <c r="EVY166" s="187"/>
      <c r="EVZ166" s="187"/>
      <c r="EWA166" s="187"/>
      <c r="EWB166" s="187"/>
      <c r="EWC166" s="187"/>
      <c r="EWD166" s="187"/>
      <c r="EWE166" s="187"/>
      <c r="EWF166" s="187"/>
      <c r="EWG166" s="187"/>
      <c r="EWH166" s="187"/>
      <c r="EWI166" s="187"/>
      <c r="EWJ166" s="187"/>
      <c r="EWK166" s="187"/>
      <c r="EWL166" s="187"/>
      <c r="EWM166" s="187"/>
      <c r="EWN166" s="187"/>
      <c r="EWO166" s="187"/>
      <c r="EWP166" s="187"/>
      <c r="EWQ166" s="187"/>
      <c r="EWR166" s="187"/>
      <c r="EWS166" s="187"/>
      <c r="EWT166" s="187"/>
      <c r="EWU166" s="187"/>
      <c r="EWV166" s="187"/>
      <c r="EWW166" s="187"/>
      <c r="EWX166" s="187"/>
      <c r="EWY166" s="187"/>
      <c r="EWZ166" s="187"/>
      <c r="EXA166" s="187"/>
      <c r="EXB166" s="187"/>
      <c r="EXC166" s="187"/>
      <c r="EXD166" s="187"/>
      <c r="EXE166" s="187"/>
      <c r="EXF166" s="187"/>
      <c r="EXG166" s="187"/>
      <c r="EXH166" s="187"/>
      <c r="EXI166" s="187"/>
      <c r="EXJ166" s="187"/>
      <c r="EXK166" s="187"/>
      <c r="EXL166" s="187"/>
      <c r="EXM166" s="187"/>
      <c r="EXN166" s="187"/>
      <c r="EXO166" s="187"/>
      <c r="EXP166" s="187"/>
      <c r="EXQ166" s="187"/>
      <c r="EXR166" s="187"/>
      <c r="EXS166" s="187"/>
      <c r="EXT166" s="187"/>
      <c r="EXU166" s="187"/>
      <c r="EXV166" s="187"/>
      <c r="EXW166" s="187"/>
      <c r="EXX166" s="187"/>
      <c r="EXY166" s="187"/>
      <c r="EXZ166" s="187"/>
      <c r="EYA166" s="187"/>
      <c r="EYB166" s="187"/>
      <c r="EYC166" s="187"/>
      <c r="EYD166" s="187"/>
      <c r="EYE166" s="187"/>
      <c r="EYF166" s="187"/>
      <c r="EYG166" s="187"/>
      <c r="EYH166" s="187"/>
      <c r="EYI166" s="187"/>
      <c r="EYJ166" s="187"/>
      <c r="EYK166" s="187"/>
      <c r="EYL166" s="187"/>
      <c r="EYM166" s="187"/>
      <c r="EYN166" s="187"/>
      <c r="EYO166" s="187"/>
      <c r="EYP166" s="187"/>
      <c r="EYQ166" s="187"/>
      <c r="EYR166" s="187"/>
      <c r="EYS166" s="187"/>
      <c r="EYT166" s="187"/>
      <c r="EYU166" s="187"/>
      <c r="EYV166" s="187"/>
      <c r="EYW166" s="187"/>
      <c r="EYX166" s="187"/>
      <c r="EYY166" s="187"/>
      <c r="EYZ166" s="187"/>
      <c r="EZA166" s="187"/>
      <c r="EZB166" s="187"/>
      <c r="EZC166" s="187"/>
      <c r="EZD166" s="187"/>
      <c r="EZE166" s="187"/>
      <c r="EZF166" s="187"/>
      <c r="EZG166" s="187"/>
      <c r="EZH166" s="187"/>
      <c r="EZI166" s="187"/>
      <c r="EZJ166" s="187"/>
      <c r="EZK166" s="187"/>
      <c r="EZL166" s="187"/>
      <c r="EZM166" s="187"/>
      <c r="EZN166" s="187"/>
      <c r="EZO166" s="187"/>
      <c r="EZP166" s="187"/>
      <c r="EZQ166" s="187"/>
      <c r="EZR166" s="187"/>
      <c r="EZS166" s="187"/>
      <c r="EZT166" s="187"/>
      <c r="EZU166" s="187"/>
      <c r="EZV166" s="187"/>
      <c r="EZW166" s="187"/>
      <c r="EZX166" s="187"/>
      <c r="EZY166" s="187"/>
      <c r="EZZ166" s="187"/>
      <c r="FAA166" s="187"/>
      <c r="FAB166" s="187"/>
      <c r="FAC166" s="187"/>
      <c r="FAD166" s="187"/>
      <c r="FAE166" s="187"/>
      <c r="FAF166" s="187"/>
      <c r="FAG166" s="187"/>
      <c r="FAH166" s="187"/>
      <c r="FAI166" s="187"/>
      <c r="FAJ166" s="187"/>
      <c r="FAK166" s="187"/>
      <c r="FAL166" s="187"/>
      <c r="FAM166" s="187"/>
      <c r="FAN166" s="187"/>
      <c r="FAO166" s="187"/>
      <c r="FAP166" s="187"/>
      <c r="FAQ166" s="187"/>
      <c r="FAR166" s="187"/>
      <c r="FAS166" s="187"/>
      <c r="FAT166" s="187"/>
      <c r="FAU166" s="187"/>
      <c r="FAV166" s="187"/>
      <c r="FAW166" s="187"/>
      <c r="FAX166" s="187"/>
      <c r="FAY166" s="187"/>
      <c r="FAZ166" s="187"/>
      <c r="FBA166" s="187"/>
      <c r="FBB166" s="187"/>
      <c r="FBC166" s="187"/>
      <c r="FBD166" s="187"/>
      <c r="FBE166" s="187"/>
      <c r="FBF166" s="187"/>
      <c r="FBG166" s="187"/>
      <c r="FBH166" s="187"/>
      <c r="FBI166" s="187"/>
      <c r="FBJ166" s="187"/>
      <c r="FBK166" s="187"/>
      <c r="FBL166" s="187"/>
      <c r="FBM166" s="187"/>
      <c r="FBN166" s="187"/>
      <c r="FBO166" s="187"/>
      <c r="FBP166" s="187"/>
      <c r="FBQ166" s="187"/>
      <c r="FBR166" s="187"/>
      <c r="FBS166" s="187"/>
      <c r="FBT166" s="187"/>
      <c r="FBU166" s="187"/>
      <c r="FBV166" s="187"/>
      <c r="FBW166" s="187"/>
      <c r="FBX166" s="187"/>
      <c r="FBY166" s="187"/>
      <c r="FBZ166" s="187"/>
      <c r="FCA166" s="187"/>
      <c r="FCB166" s="187"/>
      <c r="FCC166" s="187"/>
      <c r="FCD166" s="187"/>
      <c r="FCE166" s="187"/>
      <c r="FCF166" s="187"/>
      <c r="FCG166" s="187"/>
      <c r="FCH166" s="187"/>
      <c r="FCI166" s="187"/>
      <c r="FCJ166" s="187"/>
      <c r="FCK166" s="187"/>
      <c r="FCL166" s="187"/>
      <c r="FCM166" s="187"/>
      <c r="FCN166" s="187"/>
      <c r="FCO166" s="187"/>
      <c r="FCP166" s="187"/>
      <c r="FCQ166" s="187"/>
      <c r="FCR166" s="187"/>
      <c r="FCS166" s="187"/>
      <c r="FCT166" s="187"/>
      <c r="FCU166" s="187"/>
      <c r="FCV166" s="187"/>
      <c r="FCW166" s="187"/>
      <c r="FCX166" s="187"/>
      <c r="FCY166" s="187"/>
      <c r="FCZ166" s="187"/>
      <c r="FDA166" s="187"/>
      <c r="FDB166" s="187"/>
      <c r="FDC166" s="187"/>
      <c r="FDD166" s="187"/>
      <c r="FDE166" s="187"/>
      <c r="FDF166" s="187"/>
      <c r="FDG166" s="187"/>
      <c r="FDH166" s="187"/>
      <c r="FDI166" s="187"/>
      <c r="FDJ166" s="187"/>
      <c r="FDK166" s="187"/>
      <c r="FDL166" s="187"/>
      <c r="FDM166" s="187"/>
      <c r="FDN166" s="187"/>
      <c r="FDO166" s="187"/>
      <c r="FDP166" s="187"/>
      <c r="FDQ166" s="187"/>
      <c r="FDR166" s="187"/>
      <c r="FDS166" s="187"/>
      <c r="FDT166" s="187"/>
      <c r="FDU166" s="187"/>
      <c r="FDV166" s="187"/>
      <c r="FDW166" s="187"/>
      <c r="FDX166" s="187"/>
      <c r="FDY166" s="187"/>
      <c r="FDZ166" s="187"/>
      <c r="FEA166" s="187"/>
      <c r="FEB166" s="187"/>
      <c r="FEC166" s="187"/>
      <c r="FED166" s="187"/>
      <c r="FEE166" s="187"/>
      <c r="FEF166" s="187"/>
      <c r="FEG166" s="187"/>
      <c r="FEH166" s="187"/>
      <c r="FEI166" s="187"/>
      <c r="FEJ166" s="187"/>
      <c r="FEK166" s="187"/>
      <c r="FEL166" s="187"/>
      <c r="FEM166" s="187"/>
      <c r="FEN166" s="187"/>
      <c r="FEO166" s="187"/>
      <c r="FEP166" s="187"/>
      <c r="FEQ166" s="187"/>
      <c r="FER166" s="187"/>
      <c r="FES166" s="187"/>
      <c r="FET166" s="187"/>
      <c r="FEU166" s="187"/>
      <c r="FEV166" s="187"/>
      <c r="FEW166" s="187"/>
      <c r="FEX166" s="187"/>
      <c r="FEY166" s="187"/>
      <c r="FEZ166" s="187"/>
      <c r="FFA166" s="187"/>
      <c r="FFB166" s="187"/>
      <c r="FFC166" s="187"/>
      <c r="FFD166" s="187"/>
      <c r="FFE166" s="187"/>
      <c r="FFF166" s="187"/>
      <c r="FFG166" s="187"/>
      <c r="FFH166" s="187"/>
      <c r="FFI166" s="187"/>
      <c r="FFJ166" s="187"/>
      <c r="FFK166" s="187"/>
      <c r="FFL166" s="187"/>
      <c r="FFM166" s="187"/>
      <c r="FFN166" s="187"/>
      <c r="FFO166" s="187"/>
      <c r="FFP166" s="187"/>
      <c r="FFQ166" s="187"/>
      <c r="FFR166" s="187"/>
      <c r="FFS166" s="187"/>
      <c r="FFT166" s="187"/>
      <c r="FFU166" s="187"/>
      <c r="FFV166" s="187"/>
      <c r="FFW166" s="187"/>
      <c r="FFX166" s="187"/>
      <c r="FFY166" s="187"/>
      <c r="FFZ166" s="187"/>
      <c r="FGA166" s="187"/>
      <c r="FGB166" s="187"/>
      <c r="FGC166" s="187"/>
      <c r="FGD166" s="187"/>
      <c r="FGE166" s="187"/>
      <c r="FGF166" s="187"/>
      <c r="FGG166" s="187"/>
      <c r="FGH166" s="187"/>
      <c r="FGI166" s="187"/>
      <c r="FGJ166" s="187"/>
      <c r="FGK166" s="187"/>
      <c r="FGL166" s="187"/>
      <c r="FGM166" s="187"/>
      <c r="FGN166" s="187"/>
      <c r="FGO166" s="187"/>
      <c r="FGP166" s="187"/>
      <c r="FGQ166" s="187"/>
      <c r="FGR166" s="187"/>
      <c r="FGS166" s="187"/>
      <c r="FGT166" s="187"/>
      <c r="FGU166" s="187"/>
      <c r="FGV166" s="187"/>
      <c r="FGW166" s="187"/>
      <c r="FGX166" s="187"/>
      <c r="FGY166" s="187"/>
      <c r="FGZ166" s="187"/>
      <c r="FHA166" s="187"/>
      <c r="FHB166" s="187"/>
      <c r="FHC166" s="187"/>
      <c r="FHD166" s="187"/>
      <c r="FHE166" s="187"/>
      <c r="FHF166" s="187"/>
      <c r="FHG166" s="187"/>
      <c r="FHH166" s="187"/>
      <c r="FHI166" s="187"/>
      <c r="FHJ166" s="187"/>
      <c r="FHK166" s="187"/>
      <c r="FHL166" s="187"/>
      <c r="FHM166" s="187"/>
      <c r="FHN166" s="187"/>
      <c r="FHO166" s="187"/>
      <c r="FHP166" s="187"/>
      <c r="FHQ166" s="187"/>
      <c r="FHR166" s="187"/>
      <c r="FHS166" s="187"/>
      <c r="FHT166" s="187"/>
      <c r="FHU166" s="187"/>
      <c r="FHV166" s="187"/>
      <c r="FHW166" s="187"/>
      <c r="FHX166" s="187"/>
      <c r="FHY166" s="187"/>
      <c r="FHZ166" s="187"/>
      <c r="FIA166" s="187"/>
      <c r="FIB166" s="187"/>
      <c r="FIC166" s="187"/>
      <c r="FID166" s="187"/>
      <c r="FIE166" s="187"/>
      <c r="FIF166" s="187"/>
      <c r="FIG166" s="187"/>
      <c r="FIH166" s="187"/>
      <c r="FII166" s="187"/>
      <c r="FIJ166" s="187"/>
      <c r="FIK166" s="187"/>
      <c r="FIL166" s="187"/>
      <c r="FIM166" s="187"/>
      <c r="FIN166" s="187"/>
      <c r="FIO166" s="187"/>
      <c r="FIP166" s="187"/>
      <c r="FIQ166" s="187"/>
      <c r="FIR166" s="187"/>
      <c r="FIS166" s="187"/>
      <c r="FIT166" s="187"/>
      <c r="FIU166" s="187"/>
      <c r="FIV166" s="187"/>
      <c r="FIW166" s="187"/>
      <c r="FIX166" s="187"/>
      <c r="FIY166" s="187"/>
      <c r="FIZ166" s="187"/>
      <c r="FJA166" s="187"/>
      <c r="FJB166" s="187"/>
      <c r="FJC166" s="187"/>
      <c r="FJD166" s="187"/>
      <c r="FJE166" s="187"/>
      <c r="FJF166" s="187"/>
      <c r="FJG166" s="187"/>
      <c r="FJH166" s="187"/>
      <c r="FJI166" s="187"/>
      <c r="FJJ166" s="187"/>
      <c r="FJK166" s="187"/>
      <c r="FJL166" s="187"/>
      <c r="FJM166" s="187"/>
      <c r="FJN166" s="187"/>
      <c r="FJO166" s="187"/>
      <c r="FJP166" s="187"/>
      <c r="FJQ166" s="187"/>
      <c r="FJR166" s="187"/>
      <c r="FJS166" s="187"/>
      <c r="FJT166" s="187"/>
      <c r="FJU166" s="187"/>
      <c r="FJV166" s="187"/>
      <c r="FJW166" s="187"/>
      <c r="FJX166" s="187"/>
      <c r="FJY166" s="187"/>
      <c r="FJZ166" s="187"/>
      <c r="FKA166" s="187"/>
      <c r="FKB166" s="187"/>
      <c r="FKC166" s="187"/>
      <c r="FKD166" s="187"/>
      <c r="FKE166" s="187"/>
      <c r="FKF166" s="187"/>
      <c r="FKG166" s="187"/>
      <c r="FKH166" s="187"/>
      <c r="FKI166" s="187"/>
      <c r="FKJ166" s="187"/>
      <c r="FKK166" s="187"/>
      <c r="FKL166" s="187"/>
      <c r="FKM166" s="187"/>
      <c r="FKN166" s="187"/>
      <c r="FKO166" s="187"/>
      <c r="FKP166" s="187"/>
      <c r="FKQ166" s="187"/>
      <c r="FKR166" s="187"/>
      <c r="FKS166" s="187"/>
      <c r="FKT166" s="187"/>
      <c r="FKU166" s="187"/>
      <c r="FKV166" s="187"/>
      <c r="FKW166" s="187"/>
      <c r="FKX166" s="187"/>
      <c r="FKY166" s="187"/>
      <c r="FKZ166" s="187"/>
      <c r="FLA166" s="187"/>
      <c r="FLB166" s="187"/>
      <c r="FLC166" s="187"/>
      <c r="FLD166" s="187"/>
      <c r="FLE166" s="187"/>
      <c r="FLF166" s="187"/>
      <c r="FLG166" s="187"/>
      <c r="FLH166" s="187"/>
      <c r="FLI166" s="187"/>
      <c r="FLJ166" s="187"/>
      <c r="FLK166" s="187"/>
      <c r="FLL166" s="187"/>
      <c r="FLM166" s="187"/>
      <c r="FLN166" s="187"/>
      <c r="FLO166" s="187"/>
      <c r="FLP166" s="187"/>
      <c r="FLQ166" s="187"/>
      <c r="FLR166" s="187"/>
      <c r="FLS166" s="187"/>
      <c r="FLT166" s="187"/>
      <c r="FLU166" s="187"/>
      <c r="FLV166" s="187"/>
      <c r="FLW166" s="187"/>
      <c r="FLX166" s="187"/>
      <c r="FLY166" s="187"/>
      <c r="FLZ166" s="187"/>
      <c r="FMA166" s="187"/>
      <c r="FMB166" s="187"/>
      <c r="FMC166" s="187"/>
      <c r="FMD166" s="187"/>
      <c r="FME166" s="187"/>
      <c r="FMF166" s="187"/>
      <c r="FMG166" s="187"/>
      <c r="FMH166" s="187"/>
      <c r="FMI166" s="187"/>
      <c r="FMJ166" s="187"/>
      <c r="FMK166" s="187"/>
      <c r="FML166" s="187"/>
      <c r="FMM166" s="187"/>
      <c r="FMN166" s="187"/>
      <c r="FMO166" s="187"/>
      <c r="FMP166" s="187"/>
      <c r="FMQ166" s="187"/>
      <c r="FMR166" s="187"/>
      <c r="FMS166" s="187"/>
      <c r="FMT166" s="187"/>
      <c r="FMU166" s="187"/>
      <c r="FMV166" s="187"/>
      <c r="FMW166" s="187"/>
      <c r="FMX166" s="187"/>
      <c r="FMY166" s="187"/>
      <c r="FMZ166" s="187"/>
      <c r="FNA166" s="187"/>
      <c r="FNB166" s="187"/>
      <c r="FNC166" s="187"/>
      <c r="FND166" s="187"/>
      <c r="FNE166" s="187"/>
      <c r="FNF166" s="187"/>
      <c r="FNG166" s="187"/>
      <c r="FNH166" s="187"/>
      <c r="FNI166" s="187"/>
      <c r="FNJ166" s="187"/>
      <c r="FNK166" s="187"/>
      <c r="FNL166" s="187"/>
      <c r="FNM166" s="187"/>
      <c r="FNN166" s="187"/>
      <c r="FNO166" s="187"/>
      <c r="FNP166" s="187"/>
      <c r="FNQ166" s="187"/>
      <c r="FNR166" s="187"/>
      <c r="FNS166" s="187"/>
      <c r="FNT166" s="187"/>
      <c r="FNU166" s="187"/>
      <c r="FNV166" s="187"/>
      <c r="FNW166" s="187"/>
      <c r="FNX166" s="187"/>
      <c r="FNY166" s="187"/>
      <c r="FNZ166" s="187"/>
      <c r="FOA166" s="187"/>
      <c r="FOB166" s="187"/>
      <c r="FOC166" s="187"/>
      <c r="FOD166" s="187"/>
      <c r="FOE166" s="187"/>
      <c r="FOF166" s="187"/>
      <c r="FOG166" s="187"/>
      <c r="FOH166" s="187"/>
      <c r="FOI166" s="187"/>
      <c r="FOJ166" s="187"/>
      <c r="FOK166" s="187"/>
      <c r="FOL166" s="187"/>
      <c r="FOM166" s="187"/>
      <c r="FON166" s="187"/>
      <c r="FOO166" s="187"/>
      <c r="FOP166" s="187"/>
      <c r="FOQ166" s="187"/>
      <c r="FOR166" s="187"/>
      <c r="FOS166" s="187"/>
      <c r="FOT166" s="187"/>
      <c r="FOU166" s="187"/>
      <c r="FOV166" s="187"/>
      <c r="FOW166" s="187"/>
      <c r="FOX166" s="187"/>
      <c r="FOY166" s="187"/>
      <c r="FOZ166" s="187"/>
      <c r="FPA166" s="187"/>
      <c r="FPB166" s="187"/>
      <c r="FPC166" s="187"/>
      <c r="FPD166" s="187"/>
      <c r="FPE166" s="187"/>
      <c r="FPF166" s="187"/>
      <c r="FPG166" s="187"/>
      <c r="FPH166" s="187"/>
      <c r="FPI166" s="187"/>
      <c r="FPJ166" s="187"/>
      <c r="FPK166" s="187"/>
      <c r="FPL166" s="187"/>
      <c r="FPM166" s="187"/>
      <c r="FPN166" s="187"/>
      <c r="FPO166" s="187"/>
      <c r="FPP166" s="187"/>
      <c r="FPQ166" s="187"/>
      <c r="FPR166" s="187"/>
      <c r="FPS166" s="187"/>
      <c r="FPT166" s="187"/>
      <c r="FPU166" s="187"/>
      <c r="FPV166" s="187"/>
      <c r="FPW166" s="187"/>
      <c r="FPX166" s="187"/>
      <c r="FPY166" s="187"/>
      <c r="FPZ166" s="187"/>
      <c r="FQA166" s="187"/>
      <c r="FQB166" s="187"/>
      <c r="FQC166" s="187"/>
      <c r="FQD166" s="187"/>
      <c r="FQE166" s="187"/>
      <c r="FQF166" s="187"/>
      <c r="FQG166" s="187"/>
      <c r="FQH166" s="187"/>
      <c r="FQI166" s="187"/>
      <c r="FQJ166" s="187"/>
      <c r="FQK166" s="187"/>
      <c r="FQL166" s="187"/>
      <c r="FQM166" s="187"/>
      <c r="FQN166" s="187"/>
      <c r="FQO166" s="187"/>
      <c r="FQP166" s="187"/>
      <c r="FQQ166" s="187"/>
      <c r="FQR166" s="187"/>
      <c r="FQS166" s="187"/>
      <c r="FQT166" s="187"/>
      <c r="FQU166" s="187"/>
      <c r="FQV166" s="187"/>
      <c r="FQW166" s="187"/>
      <c r="FQX166" s="187"/>
      <c r="FQY166" s="187"/>
      <c r="FQZ166" s="187"/>
      <c r="FRA166" s="187"/>
      <c r="FRB166" s="187"/>
      <c r="FRC166" s="187"/>
      <c r="FRD166" s="187"/>
      <c r="FRE166" s="187"/>
      <c r="FRF166" s="187"/>
      <c r="FRG166" s="187"/>
      <c r="FRH166" s="187"/>
      <c r="FRI166" s="187"/>
      <c r="FRJ166" s="187"/>
      <c r="FRK166" s="187"/>
      <c r="FRL166" s="187"/>
      <c r="FRM166" s="187"/>
      <c r="FRN166" s="187"/>
      <c r="FRO166" s="187"/>
      <c r="FRP166" s="187"/>
      <c r="FRQ166" s="187"/>
      <c r="FRR166" s="187"/>
      <c r="FRS166" s="187"/>
      <c r="FRT166" s="187"/>
      <c r="FRU166" s="187"/>
      <c r="FRV166" s="187"/>
      <c r="FRW166" s="187"/>
      <c r="FRX166" s="187"/>
      <c r="FRY166" s="187"/>
      <c r="FRZ166" s="187"/>
      <c r="FSA166" s="187"/>
      <c r="FSB166" s="187"/>
      <c r="FSC166" s="187"/>
      <c r="FSD166" s="187"/>
      <c r="FSE166" s="187"/>
      <c r="FSF166" s="187"/>
      <c r="FSG166" s="187"/>
      <c r="FSH166" s="187"/>
      <c r="FSI166" s="187"/>
      <c r="FSJ166" s="187"/>
      <c r="FSK166" s="187"/>
      <c r="FSL166" s="187"/>
      <c r="FSM166" s="187"/>
      <c r="FSN166" s="187"/>
      <c r="FSO166" s="187"/>
      <c r="FSP166" s="187"/>
      <c r="FSQ166" s="187"/>
      <c r="FSR166" s="187"/>
      <c r="FSS166" s="187"/>
      <c r="FST166" s="187"/>
      <c r="FSU166" s="187"/>
      <c r="FSV166" s="187"/>
      <c r="FSW166" s="187"/>
      <c r="FSX166" s="187"/>
      <c r="FSY166" s="187"/>
      <c r="FSZ166" s="187"/>
      <c r="FTA166" s="187"/>
      <c r="FTB166" s="187"/>
      <c r="FTC166" s="187"/>
      <c r="FTD166" s="187"/>
      <c r="FTE166" s="187"/>
      <c r="FTF166" s="187"/>
      <c r="FTG166" s="187"/>
      <c r="FTH166" s="187"/>
      <c r="FTI166" s="187"/>
      <c r="FTJ166" s="187"/>
      <c r="FTK166" s="187"/>
      <c r="FTL166" s="187"/>
      <c r="FTM166" s="187"/>
      <c r="FTN166" s="187"/>
      <c r="FTO166" s="187"/>
      <c r="FTP166" s="187"/>
      <c r="FTQ166" s="187"/>
      <c r="FTR166" s="187"/>
      <c r="FTS166" s="187"/>
      <c r="FTT166" s="187"/>
      <c r="FTU166" s="187"/>
      <c r="FTV166" s="187"/>
      <c r="FTW166" s="187"/>
      <c r="FTX166" s="187"/>
      <c r="FTY166" s="187"/>
      <c r="FTZ166" s="187"/>
      <c r="FUA166" s="187"/>
      <c r="FUB166" s="187"/>
      <c r="FUC166" s="187"/>
      <c r="FUD166" s="187"/>
      <c r="FUE166" s="187"/>
      <c r="FUF166" s="187"/>
      <c r="FUG166" s="187"/>
      <c r="FUH166" s="187"/>
      <c r="FUI166" s="187"/>
      <c r="FUJ166" s="187"/>
      <c r="FUK166" s="187"/>
      <c r="FUL166" s="187"/>
      <c r="FUM166" s="187"/>
      <c r="FUN166" s="187"/>
      <c r="FUO166" s="187"/>
      <c r="FUP166" s="187"/>
      <c r="FUQ166" s="187"/>
      <c r="FUR166" s="187"/>
      <c r="FUS166" s="187"/>
      <c r="FUT166" s="187"/>
      <c r="FUU166" s="187"/>
      <c r="FUV166" s="187"/>
      <c r="FUW166" s="187"/>
      <c r="FUX166" s="187"/>
      <c r="FUY166" s="187"/>
      <c r="FUZ166" s="187"/>
      <c r="FVA166" s="187"/>
      <c r="FVB166" s="187"/>
      <c r="FVC166" s="187"/>
      <c r="FVD166" s="187"/>
      <c r="FVE166" s="187"/>
      <c r="FVF166" s="187"/>
      <c r="FVG166" s="187"/>
      <c r="FVH166" s="187"/>
      <c r="FVI166" s="187"/>
      <c r="FVJ166" s="187"/>
      <c r="FVK166" s="187"/>
      <c r="FVL166" s="187"/>
      <c r="FVM166" s="187"/>
      <c r="FVN166" s="187"/>
      <c r="FVO166" s="187"/>
      <c r="FVP166" s="187"/>
      <c r="FVQ166" s="187"/>
      <c r="FVR166" s="187"/>
      <c r="FVS166" s="187"/>
      <c r="FVT166" s="187"/>
      <c r="FVU166" s="187"/>
      <c r="FVV166" s="187"/>
      <c r="FVW166" s="187"/>
      <c r="FVX166" s="187"/>
      <c r="FVY166" s="187"/>
      <c r="FVZ166" s="187"/>
      <c r="FWA166" s="187"/>
      <c r="FWB166" s="187"/>
      <c r="FWC166" s="187"/>
      <c r="FWD166" s="187"/>
      <c r="FWE166" s="187"/>
      <c r="FWF166" s="187"/>
      <c r="FWG166" s="187"/>
      <c r="FWH166" s="187"/>
      <c r="FWI166" s="187"/>
      <c r="FWJ166" s="187"/>
      <c r="FWK166" s="187"/>
      <c r="FWL166" s="187"/>
      <c r="FWM166" s="187"/>
      <c r="FWN166" s="187"/>
      <c r="FWO166" s="187"/>
      <c r="FWP166" s="187"/>
      <c r="FWQ166" s="187"/>
      <c r="FWR166" s="187"/>
      <c r="FWS166" s="187"/>
      <c r="FWT166" s="187"/>
      <c r="FWU166" s="187"/>
      <c r="FWV166" s="187"/>
      <c r="FWW166" s="187"/>
      <c r="FWX166" s="187"/>
      <c r="FWY166" s="187"/>
      <c r="FWZ166" s="187"/>
      <c r="FXA166" s="187"/>
      <c r="FXB166" s="187"/>
      <c r="FXC166" s="187"/>
      <c r="FXD166" s="187"/>
      <c r="FXE166" s="187"/>
      <c r="FXF166" s="187"/>
      <c r="FXG166" s="187"/>
      <c r="FXH166" s="187"/>
      <c r="FXI166" s="187"/>
      <c r="FXJ166" s="187"/>
      <c r="FXK166" s="187"/>
      <c r="FXL166" s="187"/>
      <c r="FXM166" s="187"/>
      <c r="FXN166" s="187"/>
      <c r="FXO166" s="187"/>
      <c r="FXP166" s="187"/>
      <c r="FXQ166" s="187"/>
      <c r="FXR166" s="187"/>
      <c r="FXS166" s="187"/>
      <c r="FXT166" s="187"/>
      <c r="FXU166" s="187"/>
      <c r="FXV166" s="187"/>
      <c r="FXW166" s="187"/>
      <c r="FXX166" s="187"/>
      <c r="FXY166" s="187"/>
      <c r="FXZ166" s="187"/>
      <c r="FYA166" s="187"/>
      <c r="FYB166" s="187"/>
      <c r="FYC166" s="187"/>
      <c r="FYD166" s="187"/>
      <c r="FYE166" s="187"/>
      <c r="FYF166" s="187"/>
      <c r="FYG166" s="187"/>
      <c r="FYH166" s="187"/>
      <c r="FYI166" s="187"/>
      <c r="FYJ166" s="187"/>
      <c r="FYK166" s="187"/>
      <c r="FYL166" s="187"/>
      <c r="FYM166" s="187"/>
      <c r="FYN166" s="187"/>
      <c r="FYO166" s="187"/>
      <c r="FYP166" s="187"/>
      <c r="FYQ166" s="187"/>
      <c r="FYR166" s="187"/>
      <c r="FYS166" s="187"/>
      <c r="FYT166" s="187"/>
      <c r="FYU166" s="187"/>
      <c r="FYV166" s="187"/>
      <c r="FYW166" s="187"/>
      <c r="FYX166" s="187"/>
      <c r="FYY166" s="187"/>
      <c r="FYZ166" s="187"/>
      <c r="FZA166" s="187"/>
      <c r="FZB166" s="187"/>
      <c r="FZC166" s="187"/>
      <c r="FZD166" s="187"/>
      <c r="FZE166" s="187"/>
      <c r="FZF166" s="187"/>
      <c r="FZG166" s="187"/>
      <c r="FZH166" s="187"/>
      <c r="FZI166" s="187"/>
      <c r="FZJ166" s="187"/>
      <c r="FZK166" s="187"/>
      <c r="FZL166" s="187"/>
      <c r="FZM166" s="187"/>
      <c r="FZN166" s="187"/>
      <c r="FZO166" s="187"/>
      <c r="FZP166" s="187"/>
      <c r="FZQ166" s="187"/>
      <c r="FZR166" s="187"/>
      <c r="FZS166" s="187"/>
      <c r="FZT166" s="187"/>
      <c r="FZU166" s="187"/>
      <c r="FZV166" s="187"/>
      <c r="FZW166" s="187"/>
      <c r="FZX166" s="187"/>
      <c r="FZY166" s="187"/>
      <c r="FZZ166" s="187"/>
      <c r="GAA166" s="187"/>
      <c r="GAB166" s="187"/>
      <c r="GAC166" s="187"/>
      <c r="GAD166" s="187"/>
      <c r="GAE166" s="187"/>
      <c r="GAF166" s="187"/>
      <c r="GAG166" s="187"/>
      <c r="GAH166" s="187"/>
      <c r="GAI166" s="187"/>
      <c r="GAJ166" s="187"/>
      <c r="GAK166" s="187"/>
      <c r="GAL166" s="187"/>
      <c r="GAM166" s="187"/>
      <c r="GAN166" s="187"/>
      <c r="GAO166" s="187"/>
      <c r="GAP166" s="187"/>
      <c r="GAQ166" s="187"/>
      <c r="GAR166" s="187"/>
      <c r="GAS166" s="187"/>
      <c r="GAT166" s="187"/>
      <c r="GAU166" s="187"/>
      <c r="GAV166" s="187"/>
      <c r="GAW166" s="187"/>
      <c r="GAX166" s="187"/>
      <c r="GAY166" s="187"/>
      <c r="GAZ166" s="187"/>
      <c r="GBA166" s="187"/>
      <c r="GBB166" s="187"/>
      <c r="GBC166" s="187"/>
      <c r="GBD166" s="187"/>
      <c r="GBE166" s="187"/>
      <c r="GBF166" s="187"/>
      <c r="GBG166" s="187"/>
      <c r="GBH166" s="187"/>
      <c r="GBI166" s="187"/>
      <c r="GBJ166" s="187"/>
      <c r="GBK166" s="187"/>
      <c r="GBL166" s="187"/>
      <c r="GBM166" s="187"/>
      <c r="GBN166" s="187"/>
      <c r="GBO166" s="187"/>
      <c r="GBP166" s="187"/>
      <c r="GBQ166" s="187"/>
      <c r="GBR166" s="187"/>
      <c r="GBS166" s="187"/>
      <c r="GBT166" s="187"/>
      <c r="GBU166" s="187"/>
      <c r="GBV166" s="187"/>
      <c r="GBW166" s="187"/>
      <c r="GBX166" s="187"/>
      <c r="GBY166" s="187"/>
      <c r="GBZ166" s="187"/>
      <c r="GCA166" s="187"/>
      <c r="GCB166" s="187"/>
      <c r="GCC166" s="187"/>
      <c r="GCD166" s="187"/>
      <c r="GCE166" s="187"/>
      <c r="GCF166" s="187"/>
      <c r="GCG166" s="187"/>
      <c r="GCH166" s="187"/>
      <c r="GCI166" s="187"/>
      <c r="GCJ166" s="187"/>
      <c r="GCK166" s="187"/>
      <c r="GCL166" s="187"/>
      <c r="GCM166" s="187"/>
      <c r="GCN166" s="187"/>
      <c r="GCO166" s="187"/>
      <c r="GCP166" s="187"/>
      <c r="GCQ166" s="187"/>
      <c r="GCR166" s="187"/>
      <c r="GCS166" s="187"/>
      <c r="GCT166" s="187"/>
      <c r="GCU166" s="187"/>
      <c r="GCV166" s="187"/>
      <c r="GCW166" s="187"/>
      <c r="GCX166" s="187"/>
      <c r="GCY166" s="187"/>
      <c r="GCZ166" s="187"/>
      <c r="GDA166" s="187"/>
      <c r="GDB166" s="187"/>
      <c r="GDC166" s="187"/>
      <c r="GDD166" s="187"/>
      <c r="GDE166" s="187"/>
      <c r="GDF166" s="187"/>
      <c r="GDG166" s="187"/>
      <c r="GDH166" s="187"/>
      <c r="GDI166" s="187"/>
      <c r="GDJ166" s="187"/>
      <c r="GDK166" s="187"/>
      <c r="GDL166" s="187"/>
      <c r="GDM166" s="187"/>
      <c r="GDN166" s="187"/>
      <c r="GDO166" s="187"/>
      <c r="GDP166" s="187"/>
      <c r="GDQ166" s="187"/>
      <c r="GDR166" s="187"/>
      <c r="GDS166" s="187"/>
      <c r="GDT166" s="187"/>
      <c r="GDU166" s="187"/>
      <c r="GDV166" s="187"/>
      <c r="GDW166" s="187"/>
      <c r="GDX166" s="187"/>
      <c r="GDY166" s="187"/>
      <c r="GDZ166" s="187"/>
      <c r="GEA166" s="187"/>
      <c r="GEB166" s="187"/>
      <c r="GEC166" s="187"/>
      <c r="GED166" s="187"/>
      <c r="GEE166" s="187"/>
      <c r="GEF166" s="187"/>
      <c r="GEG166" s="187"/>
      <c r="GEH166" s="187"/>
      <c r="GEI166" s="187"/>
      <c r="GEJ166" s="187"/>
      <c r="GEK166" s="187"/>
      <c r="GEL166" s="187"/>
      <c r="GEM166" s="187"/>
      <c r="GEN166" s="187"/>
      <c r="GEO166" s="187"/>
      <c r="GEP166" s="187"/>
      <c r="GEQ166" s="187"/>
      <c r="GER166" s="187"/>
      <c r="GES166" s="187"/>
      <c r="GET166" s="187"/>
      <c r="GEU166" s="187"/>
      <c r="GEV166" s="187"/>
      <c r="GEW166" s="187"/>
      <c r="GEX166" s="187"/>
      <c r="GEY166" s="187"/>
      <c r="GEZ166" s="187"/>
      <c r="GFA166" s="187"/>
      <c r="GFB166" s="187"/>
      <c r="GFC166" s="187"/>
      <c r="GFD166" s="187"/>
      <c r="GFE166" s="187"/>
      <c r="GFF166" s="187"/>
      <c r="GFG166" s="187"/>
      <c r="GFH166" s="187"/>
      <c r="GFI166" s="187"/>
      <c r="GFJ166" s="187"/>
      <c r="GFK166" s="187"/>
      <c r="GFL166" s="187"/>
      <c r="GFM166" s="187"/>
      <c r="GFN166" s="187"/>
      <c r="GFO166" s="187"/>
      <c r="GFP166" s="187"/>
      <c r="GFQ166" s="187"/>
      <c r="GFR166" s="187"/>
      <c r="GFS166" s="187"/>
      <c r="GFT166" s="187"/>
      <c r="GFU166" s="187"/>
      <c r="GFV166" s="187"/>
      <c r="GFW166" s="187"/>
      <c r="GFX166" s="187"/>
      <c r="GFY166" s="187"/>
      <c r="GFZ166" s="187"/>
      <c r="GGA166" s="187"/>
      <c r="GGB166" s="187"/>
      <c r="GGC166" s="187"/>
      <c r="GGD166" s="187"/>
      <c r="GGE166" s="187"/>
      <c r="GGF166" s="187"/>
      <c r="GGG166" s="187"/>
      <c r="GGH166" s="187"/>
      <c r="GGI166" s="187"/>
      <c r="GGJ166" s="187"/>
      <c r="GGK166" s="187"/>
      <c r="GGL166" s="187"/>
      <c r="GGM166" s="187"/>
      <c r="GGN166" s="187"/>
      <c r="GGO166" s="187"/>
      <c r="GGP166" s="187"/>
      <c r="GGQ166" s="187"/>
      <c r="GGR166" s="187"/>
      <c r="GGS166" s="187"/>
      <c r="GGT166" s="187"/>
      <c r="GGU166" s="187"/>
      <c r="GGV166" s="187"/>
      <c r="GGW166" s="187"/>
      <c r="GGX166" s="187"/>
      <c r="GGY166" s="187"/>
      <c r="GGZ166" s="187"/>
      <c r="GHA166" s="187"/>
      <c r="GHB166" s="187"/>
      <c r="GHC166" s="187"/>
      <c r="GHD166" s="187"/>
      <c r="GHE166" s="187"/>
      <c r="GHF166" s="187"/>
      <c r="GHG166" s="187"/>
      <c r="GHH166" s="187"/>
      <c r="GHI166" s="187"/>
      <c r="GHJ166" s="187"/>
      <c r="GHK166" s="187"/>
      <c r="GHL166" s="187"/>
      <c r="GHM166" s="187"/>
      <c r="GHN166" s="187"/>
      <c r="GHO166" s="187"/>
      <c r="GHP166" s="187"/>
      <c r="GHQ166" s="187"/>
      <c r="GHR166" s="187"/>
      <c r="GHS166" s="187"/>
      <c r="GHT166" s="187"/>
      <c r="GHU166" s="187"/>
      <c r="GHV166" s="187"/>
      <c r="GHW166" s="187"/>
      <c r="GHX166" s="187"/>
      <c r="GHY166" s="187"/>
      <c r="GHZ166" s="187"/>
      <c r="GIA166" s="187"/>
      <c r="GIB166" s="187"/>
      <c r="GIC166" s="187"/>
      <c r="GID166" s="187"/>
      <c r="GIE166" s="187"/>
      <c r="GIF166" s="187"/>
      <c r="GIG166" s="187"/>
      <c r="GIH166" s="187"/>
      <c r="GII166" s="187"/>
      <c r="GIJ166" s="187"/>
      <c r="GIK166" s="187"/>
      <c r="GIL166" s="187"/>
      <c r="GIM166" s="187"/>
      <c r="GIN166" s="187"/>
      <c r="GIO166" s="187"/>
      <c r="GIP166" s="187"/>
      <c r="GIQ166" s="187"/>
      <c r="GIR166" s="187"/>
      <c r="GIS166" s="187"/>
      <c r="GIT166" s="187"/>
      <c r="GIU166" s="187"/>
      <c r="GIV166" s="187"/>
      <c r="GIW166" s="187"/>
      <c r="GIX166" s="187"/>
      <c r="GIY166" s="187"/>
      <c r="GIZ166" s="187"/>
      <c r="GJA166" s="187"/>
      <c r="GJB166" s="187"/>
      <c r="GJC166" s="187"/>
      <c r="GJD166" s="187"/>
      <c r="GJE166" s="187"/>
      <c r="GJF166" s="187"/>
      <c r="GJG166" s="187"/>
      <c r="GJH166" s="187"/>
      <c r="GJI166" s="187"/>
      <c r="GJJ166" s="187"/>
      <c r="GJK166" s="187"/>
      <c r="GJL166" s="187"/>
      <c r="GJM166" s="187"/>
      <c r="GJN166" s="187"/>
      <c r="GJO166" s="187"/>
      <c r="GJP166" s="187"/>
      <c r="GJQ166" s="187"/>
      <c r="GJR166" s="187"/>
      <c r="GJS166" s="187"/>
      <c r="GJT166" s="187"/>
      <c r="GJU166" s="187"/>
      <c r="GJV166" s="187"/>
      <c r="GJW166" s="187"/>
      <c r="GJX166" s="187"/>
      <c r="GJY166" s="187"/>
      <c r="GJZ166" s="187"/>
      <c r="GKA166" s="187"/>
      <c r="GKB166" s="187"/>
      <c r="GKC166" s="187"/>
      <c r="GKD166" s="187"/>
      <c r="GKE166" s="187"/>
      <c r="GKF166" s="187"/>
      <c r="GKG166" s="187"/>
      <c r="GKH166" s="187"/>
      <c r="GKI166" s="187"/>
      <c r="GKJ166" s="187"/>
      <c r="GKK166" s="187"/>
      <c r="GKL166" s="187"/>
      <c r="GKM166" s="187"/>
      <c r="GKN166" s="187"/>
      <c r="GKO166" s="187"/>
      <c r="GKP166" s="187"/>
      <c r="GKQ166" s="187"/>
      <c r="GKR166" s="187"/>
      <c r="GKS166" s="187"/>
      <c r="GKT166" s="187"/>
      <c r="GKU166" s="187"/>
      <c r="GKV166" s="187"/>
      <c r="GKW166" s="187"/>
      <c r="GKX166" s="187"/>
      <c r="GKY166" s="187"/>
      <c r="GKZ166" s="187"/>
      <c r="GLA166" s="187"/>
      <c r="GLB166" s="187"/>
      <c r="GLC166" s="187"/>
      <c r="GLD166" s="187"/>
      <c r="GLE166" s="187"/>
      <c r="GLF166" s="187"/>
      <c r="GLG166" s="187"/>
      <c r="GLH166" s="187"/>
      <c r="GLI166" s="187"/>
      <c r="GLJ166" s="187"/>
      <c r="GLK166" s="187"/>
      <c r="GLL166" s="187"/>
      <c r="GLM166" s="187"/>
      <c r="GLN166" s="187"/>
      <c r="GLO166" s="187"/>
      <c r="GLP166" s="187"/>
      <c r="GLQ166" s="187"/>
      <c r="GLR166" s="187"/>
      <c r="GLS166" s="187"/>
      <c r="GLT166" s="187"/>
      <c r="GLU166" s="187"/>
      <c r="GLV166" s="187"/>
      <c r="GLW166" s="187"/>
      <c r="GLX166" s="187"/>
      <c r="GLY166" s="187"/>
      <c r="GLZ166" s="187"/>
      <c r="GMA166" s="187"/>
      <c r="GMB166" s="187"/>
      <c r="GMC166" s="187"/>
      <c r="GMD166" s="187"/>
      <c r="GME166" s="187"/>
      <c r="GMF166" s="187"/>
      <c r="GMG166" s="187"/>
      <c r="GMH166" s="187"/>
      <c r="GMI166" s="187"/>
      <c r="GMJ166" s="187"/>
      <c r="GMK166" s="187"/>
      <c r="GML166" s="187"/>
      <c r="GMM166" s="187"/>
      <c r="GMN166" s="187"/>
      <c r="GMO166" s="187"/>
      <c r="GMP166" s="187"/>
      <c r="GMQ166" s="187"/>
      <c r="GMR166" s="187"/>
      <c r="GMS166" s="187"/>
      <c r="GMT166" s="187"/>
      <c r="GMU166" s="187"/>
      <c r="GMV166" s="187"/>
      <c r="GMW166" s="187"/>
      <c r="GMX166" s="187"/>
      <c r="GMY166" s="187"/>
      <c r="GMZ166" s="187"/>
      <c r="GNA166" s="187"/>
      <c r="GNB166" s="187"/>
      <c r="GNC166" s="187"/>
      <c r="GND166" s="187"/>
      <c r="GNE166" s="187"/>
      <c r="GNF166" s="187"/>
      <c r="GNG166" s="187"/>
      <c r="GNH166" s="187"/>
      <c r="GNI166" s="187"/>
      <c r="GNJ166" s="187"/>
      <c r="GNK166" s="187"/>
      <c r="GNL166" s="187"/>
      <c r="GNM166" s="187"/>
      <c r="GNN166" s="187"/>
      <c r="GNO166" s="187"/>
      <c r="GNP166" s="187"/>
      <c r="GNQ166" s="187"/>
      <c r="GNR166" s="187"/>
      <c r="GNS166" s="187"/>
      <c r="GNT166" s="187"/>
      <c r="GNU166" s="187"/>
      <c r="GNV166" s="187"/>
      <c r="GNW166" s="187"/>
      <c r="GNX166" s="187"/>
      <c r="GNY166" s="187"/>
      <c r="GNZ166" s="187"/>
      <c r="GOA166" s="187"/>
      <c r="GOB166" s="187"/>
      <c r="GOC166" s="187"/>
      <c r="GOD166" s="187"/>
      <c r="GOE166" s="187"/>
      <c r="GOF166" s="187"/>
      <c r="GOG166" s="187"/>
      <c r="GOH166" s="187"/>
      <c r="GOI166" s="187"/>
      <c r="GOJ166" s="187"/>
      <c r="GOK166" s="187"/>
      <c r="GOL166" s="187"/>
      <c r="GOM166" s="187"/>
      <c r="GON166" s="187"/>
      <c r="GOO166" s="187"/>
      <c r="GOP166" s="187"/>
      <c r="GOQ166" s="187"/>
      <c r="GOR166" s="187"/>
      <c r="GOS166" s="187"/>
      <c r="GOT166" s="187"/>
      <c r="GOU166" s="187"/>
      <c r="GOV166" s="187"/>
      <c r="GOW166" s="187"/>
      <c r="GOX166" s="187"/>
      <c r="GOY166" s="187"/>
      <c r="GOZ166" s="187"/>
      <c r="GPA166" s="187"/>
      <c r="GPB166" s="187"/>
      <c r="GPC166" s="187"/>
      <c r="GPD166" s="187"/>
      <c r="GPE166" s="187"/>
      <c r="GPF166" s="187"/>
      <c r="GPG166" s="187"/>
      <c r="GPH166" s="187"/>
      <c r="GPI166" s="187"/>
      <c r="GPJ166" s="187"/>
      <c r="GPK166" s="187"/>
      <c r="GPL166" s="187"/>
      <c r="GPM166" s="187"/>
      <c r="GPN166" s="187"/>
      <c r="GPO166" s="187"/>
      <c r="GPP166" s="187"/>
      <c r="GPQ166" s="187"/>
      <c r="GPR166" s="187"/>
      <c r="GPS166" s="187"/>
      <c r="GPT166" s="187"/>
      <c r="GPU166" s="187"/>
      <c r="GPV166" s="187"/>
      <c r="GPW166" s="187"/>
      <c r="GPX166" s="187"/>
      <c r="GPY166" s="187"/>
      <c r="GPZ166" s="187"/>
      <c r="GQA166" s="187"/>
      <c r="GQB166" s="187"/>
      <c r="GQC166" s="187"/>
      <c r="GQD166" s="187"/>
      <c r="GQE166" s="187"/>
      <c r="GQF166" s="187"/>
      <c r="GQG166" s="187"/>
      <c r="GQH166" s="187"/>
      <c r="GQI166" s="187"/>
      <c r="GQJ166" s="187"/>
      <c r="GQK166" s="187"/>
      <c r="GQL166" s="187"/>
      <c r="GQM166" s="187"/>
      <c r="GQN166" s="187"/>
      <c r="GQO166" s="187"/>
      <c r="GQP166" s="187"/>
      <c r="GQQ166" s="187"/>
      <c r="GQR166" s="187"/>
      <c r="GQS166" s="187"/>
      <c r="GQT166" s="187"/>
      <c r="GQU166" s="187"/>
      <c r="GQV166" s="187"/>
      <c r="GQW166" s="187"/>
      <c r="GQX166" s="187"/>
      <c r="GQY166" s="187"/>
      <c r="GQZ166" s="187"/>
      <c r="GRA166" s="187"/>
      <c r="GRB166" s="187"/>
      <c r="GRC166" s="187"/>
      <c r="GRD166" s="187"/>
      <c r="GRE166" s="187"/>
      <c r="GRF166" s="187"/>
      <c r="GRG166" s="187"/>
      <c r="GRH166" s="187"/>
      <c r="GRI166" s="187"/>
      <c r="GRJ166" s="187"/>
      <c r="GRK166" s="187"/>
      <c r="GRL166" s="187"/>
      <c r="GRM166" s="187"/>
      <c r="GRN166" s="187"/>
      <c r="GRO166" s="187"/>
      <c r="GRP166" s="187"/>
      <c r="GRQ166" s="187"/>
      <c r="GRR166" s="187"/>
      <c r="GRS166" s="187"/>
      <c r="GRT166" s="187"/>
      <c r="GRU166" s="187"/>
      <c r="GRV166" s="187"/>
      <c r="GRW166" s="187"/>
      <c r="GRX166" s="187"/>
      <c r="GRY166" s="187"/>
      <c r="GRZ166" s="187"/>
      <c r="GSA166" s="187"/>
      <c r="GSB166" s="187"/>
      <c r="GSC166" s="187"/>
      <c r="GSD166" s="187"/>
      <c r="GSE166" s="187"/>
      <c r="GSF166" s="187"/>
      <c r="GSG166" s="187"/>
      <c r="GSH166" s="187"/>
      <c r="GSI166" s="187"/>
      <c r="GSJ166" s="187"/>
      <c r="GSK166" s="187"/>
      <c r="GSL166" s="187"/>
      <c r="GSM166" s="187"/>
      <c r="GSN166" s="187"/>
      <c r="GSO166" s="187"/>
      <c r="GSP166" s="187"/>
      <c r="GSQ166" s="187"/>
      <c r="GSR166" s="187"/>
      <c r="GSS166" s="187"/>
      <c r="GST166" s="187"/>
      <c r="GSU166" s="187"/>
      <c r="GSV166" s="187"/>
      <c r="GSW166" s="187"/>
      <c r="GSX166" s="187"/>
      <c r="GSY166" s="187"/>
      <c r="GSZ166" s="187"/>
      <c r="GTA166" s="187"/>
      <c r="GTB166" s="187"/>
      <c r="GTC166" s="187"/>
      <c r="GTD166" s="187"/>
      <c r="GTE166" s="187"/>
      <c r="GTF166" s="187"/>
      <c r="GTG166" s="187"/>
      <c r="GTH166" s="187"/>
      <c r="GTI166" s="187"/>
      <c r="GTJ166" s="187"/>
      <c r="GTK166" s="187"/>
      <c r="GTL166" s="187"/>
      <c r="GTM166" s="187"/>
      <c r="GTN166" s="187"/>
      <c r="GTO166" s="187"/>
      <c r="GTP166" s="187"/>
      <c r="GTQ166" s="187"/>
      <c r="GTR166" s="187"/>
      <c r="GTS166" s="187"/>
      <c r="GTT166" s="187"/>
      <c r="GTU166" s="187"/>
      <c r="GTV166" s="187"/>
      <c r="GTW166" s="187"/>
      <c r="GTX166" s="187"/>
      <c r="GTY166" s="187"/>
      <c r="GTZ166" s="187"/>
      <c r="GUA166" s="187"/>
      <c r="GUB166" s="187"/>
      <c r="GUC166" s="187"/>
      <c r="GUD166" s="187"/>
      <c r="GUE166" s="187"/>
      <c r="GUF166" s="187"/>
      <c r="GUG166" s="187"/>
      <c r="GUH166" s="187"/>
      <c r="GUI166" s="187"/>
      <c r="GUJ166" s="187"/>
      <c r="GUK166" s="187"/>
      <c r="GUL166" s="187"/>
      <c r="GUM166" s="187"/>
      <c r="GUN166" s="187"/>
      <c r="GUO166" s="187"/>
      <c r="GUP166" s="187"/>
      <c r="GUQ166" s="187"/>
      <c r="GUR166" s="187"/>
      <c r="GUS166" s="187"/>
      <c r="GUT166" s="187"/>
      <c r="GUU166" s="187"/>
      <c r="GUV166" s="187"/>
      <c r="GUW166" s="187"/>
      <c r="GUX166" s="187"/>
      <c r="GUY166" s="187"/>
      <c r="GUZ166" s="187"/>
      <c r="GVA166" s="187"/>
      <c r="GVB166" s="187"/>
      <c r="GVC166" s="187"/>
      <c r="GVD166" s="187"/>
      <c r="GVE166" s="187"/>
      <c r="GVF166" s="187"/>
      <c r="GVG166" s="187"/>
      <c r="GVH166" s="187"/>
      <c r="GVI166" s="187"/>
      <c r="GVJ166" s="187"/>
      <c r="GVK166" s="187"/>
      <c r="GVL166" s="187"/>
      <c r="GVM166" s="187"/>
      <c r="GVN166" s="187"/>
      <c r="GVO166" s="187"/>
      <c r="GVP166" s="187"/>
      <c r="GVQ166" s="187"/>
      <c r="GVR166" s="187"/>
      <c r="GVS166" s="187"/>
      <c r="GVT166" s="187"/>
      <c r="GVU166" s="187"/>
      <c r="GVV166" s="187"/>
      <c r="GVW166" s="187"/>
      <c r="GVX166" s="187"/>
      <c r="GVY166" s="187"/>
      <c r="GVZ166" s="187"/>
      <c r="GWA166" s="187"/>
      <c r="GWB166" s="187"/>
      <c r="GWC166" s="187"/>
      <c r="GWD166" s="187"/>
      <c r="GWE166" s="187"/>
      <c r="GWF166" s="187"/>
      <c r="GWG166" s="187"/>
      <c r="GWH166" s="187"/>
      <c r="GWI166" s="187"/>
      <c r="GWJ166" s="187"/>
      <c r="GWK166" s="187"/>
      <c r="GWL166" s="187"/>
      <c r="GWM166" s="187"/>
      <c r="GWN166" s="187"/>
      <c r="GWO166" s="187"/>
      <c r="GWP166" s="187"/>
      <c r="GWQ166" s="187"/>
      <c r="GWR166" s="187"/>
      <c r="GWS166" s="187"/>
      <c r="GWT166" s="187"/>
      <c r="GWU166" s="187"/>
      <c r="GWV166" s="187"/>
      <c r="GWW166" s="187"/>
      <c r="GWX166" s="187"/>
      <c r="GWY166" s="187"/>
      <c r="GWZ166" s="187"/>
      <c r="GXA166" s="187"/>
      <c r="GXB166" s="187"/>
      <c r="GXC166" s="187"/>
      <c r="GXD166" s="187"/>
      <c r="GXE166" s="187"/>
      <c r="GXF166" s="187"/>
      <c r="GXG166" s="187"/>
      <c r="GXH166" s="187"/>
      <c r="GXI166" s="187"/>
      <c r="GXJ166" s="187"/>
      <c r="GXK166" s="187"/>
      <c r="GXL166" s="187"/>
      <c r="GXM166" s="187"/>
      <c r="GXN166" s="187"/>
      <c r="GXO166" s="187"/>
      <c r="GXP166" s="187"/>
      <c r="GXQ166" s="187"/>
      <c r="GXR166" s="187"/>
      <c r="GXS166" s="187"/>
      <c r="GXT166" s="187"/>
      <c r="GXU166" s="187"/>
      <c r="GXV166" s="187"/>
      <c r="GXW166" s="187"/>
      <c r="GXX166" s="187"/>
      <c r="GXY166" s="187"/>
      <c r="GXZ166" s="187"/>
      <c r="GYA166" s="187"/>
      <c r="GYB166" s="187"/>
      <c r="GYC166" s="187"/>
      <c r="GYD166" s="187"/>
      <c r="GYE166" s="187"/>
      <c r="GYF166" s="187"/>
      <c r="GYG166" s="187"/>
      <c r="GYH166" s="187"/>
      <c r="GYI166" s="187"/>
      <c r="GYJ166" s="187"/>
      <c r="GYK166" s="187"/>
      <c r="GYL166" s="187"/>
      <c r="GYM166" s="187"/>
      <c r="GYN166" s="187"/>
      <c r="GYO166" s="187"/>
      <c r="GYP166" s="187"/>
      <c r="GYQ166" s="187"/>
      <c r="GYR166" s="187"/>
      <c r="GYS166" s="187"/>
      <c r="GYT166" s="187"/>
      <c r="GYU166" s="187"/>
      <c r="GYV166" s="187"/>
      <c r="GYW166" s="187"/>
      <c r="GYX166" s="187"/>
      <c r="GYY166" s="187"/>
      <c r="GYZ166" s="187"/>
      <c r="GZA166" s="187"/>
      <c r="GZB166" s="187"/>
      <c r="GZC166" s="187"/>
      <c r="GZD166" s="187"/>
      <c r="GZE166" s="187"/>
      <c r="GZF166" s="187"/>
      <c r="GZG166" s="187"/>
      <c r="GZH166" s="187"/>
      <c r="GZI166" s="187"/>
      <c r="GZJ166" s="187"/>
      <c r="GZK166" s="187"/>
      <c r="GZL166" s="187"/>
      <c r="GZM166" s="187"/>
      <c r="GZN166" s="187"/>
      <c r="GZO166" s="187"/>
      <c r="GZP166" s="187"/>
      <c r="GZQ166" s="187"/>
      <c r="GZR166" s="187"/>
      <c r="GZS166" s="187"/>
      <c r="GZT166" s="187"/>
      <c r="GZU166" s="187"/>
      <c r="GZV166" s="187"/>
      <c r="GZW166" s="187"/>
      <c r="GZX166" s="187"/>
      <c r="GZY166" s="187"/>
      <c r="GZZ166" s="187"/>
      <c r="HAA166" s="187"/>
      <c r="HAB166" s="187"/>
      <c r="HAC166" s="187"/>
      <c r="HAD166" s="187"/>
      <c r="HAE166" s="187"/>
      <c r="HAF166" s="187"/>
      <c r="HAG166" s="187"/>
      <c r="HAH166" s="187"/>
      <c r="HAI166" s="187"/>
      <c r="HAJ166" s="187"/>
      <c r="HAK166" s="187"/>
      <c r="HAL166" s="187"/>
      <c r="HAM166" s="187"/>
      <c r="HAN166" s="187"/>
      <c r="HAO166" s="187"/>
      <c r="HAP166" s="187"/>
      <c r="HAQ166" s="187"/>
      <c r="HAR166" s="187"/>
      <c r="HAS166" s="187"/>
      <c r="HAT166" s="187"/>
      <c r="HAU166" s="187"/>
      <c r="HAV166" s="187"/>
      <c r="HAW166" s="187"/>
      <c r="HAX166" s="187"/>
      <c r="HAY166" s="187"/>
      <c r="HAZ166" s="187"/>
      <c r="HBA166" s="187"/>
      <c r="HBB166" s="187"/>
      <c r="HBC166" s="187"/>
      <c r="HBD166" s="187"/>
      <c r="HBE166" s="187"/>
      <c r="HBF166" s="187"/>
      <c r="HBG166" s="187"/>
      <c r="HBH166" s="187"/>
      <c r="HBI166" s="187"/>
      <c r="HBJ166" s="187"/>
      <c r="HBK166" s="187"/>
      <c r="HBL166" s="187"/>
      <c r="HBM166" s="187"/>
      <c r="HBN166" s="187"/>
      <c r="HBO166" s="187"/>
      <c r="HBP166" s="187"/>
      <c r="HBQ166" s="187"/>
      <c r="HBR166" s="187"/>
      <c r="HBS166" s="187"/>
      <c r="HBT166" s="187"/>
      <c r="HBU166" s="187"/>
      <c r="HBV166" s="187"/>
      <c r="HBW166" s="187"/>
      <c r="HBX166" s="187"/>
      <c r="HBY166" s="187"/>
      <c r="HBZ166" s="187"/>
      <c r="HCA166" s="187"/>
      <c r="HCB166" s="187"/>
      <c r="HCC166" s="187"/>
      <c r="HCD166" s="187"/>
      <c r="HCE166" s="187"/>
      <c r="HCF166" s="187"/>
      <c r="HCG166" s="187"/>
      <c r="HCH166" s="187"/>
      <c r="HCI166" s="187"/>
      <c r="HCJ166" s="187"/>
      <c r="HCK166" s="187"/>
      <c r="HCL166" s="187"/>
      <c r="HCM166" s="187"/>
      <c r="HCN166" s="187"/>
      <c r="HCO166" s="187"/>
      <c r="HCP166" s="187"/>
      <c r="HCQ166" s="187"/>
      <c r="HCR166" s="187"/>
      <c r="HCS166" s="187"/>
      <c r="HCT166" s="187"/>
      <c r="HCU166" s="187"/>
      <c r="HCV166" s="187"/>
      <c r="HCW166" s="187"/>
      <c r="HCX166" s="187"/>
      <c r="HCY166" s="187"/>
      <c r="HCZ166" s="187"/>
      <c r="HDA166" s="187"/>
      <c r="HDB166" s="187"/>
      <c r="HDC166" s="187"/>
      <c r="HDD166" s="187"/>
      <c r="HDE166" s="187"/>
      <c r="HDF166" s="187"/>
      <c r="HDG166" s="187"/>
      <c r="HDH166" s="187"/>
      <c r="HDI166" s="187"/>
      <c r="HDJ166" s="187"/>
      <c r="HDK166" s="187"/>
      <c r="HDL166" s="187"/>
      <c r="HDM166" s="187"/>
      <c r="HDN166" s="187"/>
      <c r="HDO166" s="187"/>
      <c r="HDP166" s="187"/>
      <c r="HDQ166" s="187"/>
      <c r="HDR166" s="187"/>
      <c r="HDS166" s="187"/>
      <c r="HDT166" s="187"/>
      <c r="HDU166" s="187"/>
      <c r="HDV166" s="187"/>
      <c r="HDW166" s="187"/>
      <c r="HDX166" s="187"/>
      <c r="HDY166" s="187"/>
      <c r="HDZ166" s="187"/>
      <c r="HEA166" s="187"/>
      <c r="HEB166" s="187"/>
      <c r="HEC166" s="187"/>
      <c r="HED166" s="187"/>
      <c r="HEE166" s="187"/>
      <c r="HEF166" s="187"/>
      <c r="HEG166" s="187"/>
      <c r="HEH166" s="187"/>
      <c r="HEI166" s="187"/>
      <c r="HEJ166" s="187"/>
      <c r="HEK166" s="187"/>
      <c r="HEL166" s="187"/>
      <c r="HEM166" s="187"/>
      <c r="HEN166" s="187"/>
      <c r="HEO166" s="187"/>
      <c r="HEP166" s="187"/>
      <c r="HEQ166" s="187"/>
      <c r="HER166" s="187"/>
      <c r="HES166" s="187"/>
      <c r="HET166" s="187"/>
      <c r="HEU166" s="187"/>
      <c r="HEV166" s="187"/>
      <c r="HEW166" s="187"/>
      <c r="HEX166" s="187"/>
      <c r="HEY166" s="187"/>
      <c r="HEZ166" s="187"/>
      <c r="HFA166" s="187"/>
      <c r="HFB166" s="187"/>
      <c r="HFC166" s="187"/>
      <c r="HFD166" s="187"/>
      <c r="HFE166" s="187"/>
      <c r="HFF166" s="187"/>
      <c r="HFG166" s="187"/>
      <c r="HFH166" s="187"/>
      <c r="HFI166" s="187"/>
      <c r="HFJ166" s="187"/>
      <c r="HFK166" s="187"/>
      <c r="HFL166" s="187"/>
      <c r="HFM166" s="187"/>
      <c r="HFN166" s="187"/>
      <c r="HFO166" s="187"/>
      <c r="HFP166" s="187"/>
      <c r="HFQ166" s="187"/>
      <c r="HFR166" s="187"/>
      <c r="HFS166" s="187"/>
      <c r="HFT166" s="187"/>
      <c r="HFU166" s="187"/>
      <c r="HFV166" s="187"/>
      <c r="HFW166" s="187"/>
      <c r="HFX166" s="187"/>
      <c r="HFY166" s="187"/>
      <c r="HFZ166" s="187"/>
      <c r="HGA166" s="187"/>
      <c r="HGB166" s="187"/>
      <c r="HGC166" s="187"/>
      <c r="HGD166" s="187"/>
      <c r="HGE166" s="187"/>
      <c r="HGF166" s="187"/>
      <c r="HGG166" s="187"/>
      <c r="HGH166" s="187"/>
      <c r="HGI166" s="187"/>
      <c r="HGJ166" s="187"/>
      <c r="HGK166" s="187"/>
      <c r="HGL166" s="187"/>
      <c r="HGM166" s="187"/>
      <c r="HGN166" s="187"/>
      <c r="HGO166" s="187"/>
      <c r="HGP166" s="187"/>
      <c r="HGQ166" s="187"/>
      <c r="HGR166" s="187"/>
      <c r="HGS166" s="187"/>
      <c r="HGT166" s="187"/>
      <c r="HGU166" s="187"/>
      <c r="HGV166" s="187"/>
      <c r="HGW166" s="187"/>
      <c r="HGX166" s="187"/>
      <c r="HGY166" s="187"/>
      <c r="HGZ166" s="187"/>
      <c r="HHA166" s="187"/>
      <c r="HHB166" s="187"/>
      <c r="HHC166" s="187"/>
      <c r="HHD166" s="187"/>
      <c r="HHE166" s="187"/>
      <c r="HHF166" s="187"/>
      <c r="HHG166" s="187"/>
      <c r="HHH166" s="187"/>
      <c r="HHI166" s="187"/>
      <c r="HHJ166" s="187"/>
      <c r="HHK166" s="187"/>
      <c r="HHL166" s="187"/>
      <c r="HHM166" s="187"/>
      <c r="HHN166" s="187"/>
      <c r="HHO166" s="187"/>
      <c r="HHP166" s="187"/>
      <c r="HHQ166" s="187"/>
      <c r="HHR166" s="187"/>
      <c r="HHS166" s="187"/>
      <c r="HHT166" s="187"/>
      <c r="HHU166" s="187"/>
      <c r="HHV166" s="187"/>
      <c r="HHW166" s="187"/>
      <c r="HHX166" s="187"/>
      <c r="HHY166" s="187"/>
      <c r="HHZ166" s="187"/>
      <c r="HIA166" s="187"/>
      <c r="HIB166" s="187"/>
      <c r="HIC166" s="187"/>
      <c r="HID166" s="187"/>
      <c r="HIE166" s="187"/>
      <c r="HIF166" s="187"/>
      <c r="HIG166" s="187"/>
      <c r="HIH166" s="187"/>
      <c r="HII166" s="187"/>
      <c r="HIJ166" s="187"/>
      <c r="HIK166" s="187"/>
      <c r="HIL166" s="187"/>
      <c r="HIM166" s="187"/>
      <c r="HIN166" s="187"/>
      <c r="HIO166" s="187"/>
      <c r="HIP166" s="187"/>
      <c r="HIQ166" s="187"/>
      <c r="HIR166" s="187"/>
      <c r="HIS166" s="187"/>
      <c r="HIT166" s="187"/>
      <c r="HIU166" s="187"/>
      <c r="HIV166" s="187"/>
      <c r="HIW166" s="187"/>
      <c r="HIX166" s="187"/>
      <c r="HIY166" s="187"/>
      <c r="HIZ166" s="187"/>
      <c r="HJA166" s="187"/>
      <c r="HJB166" s="187"/>
      <c r="HJC166" s="187"/>
      <c r="HJD166" s="187"/>
      <c r="HJE166" s="187"/>
      <c r="HJF166" s="187"/>
      <c r="HJG166" s="187"/>
      <c r="HJH166" s="187"/>
      <c r="HJI166" s="187"/>
      <c r="HJJ166" s="187"/>
      <c r="HJK166" s="187"/>
      <c r="HJL166" s="187"/>
      <c r="HJM166" s="187"/>
      <c r="HJN166" s="187"/>
      <c r="HJO166" s="187"/>
      <c r="HJP166" s="187"/>
      <c r="HJQ166" s="187"/>
      <c r="HJR166" s="187"/>
      <c r="HJS166" s="187"/>
      <c r="HJT166" s="187"/>
      <c r="HJU166" s="187"/>
      <c r="HJV166" s="187"/>
      <c r="HJW166" s="187"/>
      <c r="HJX166" s="187"/>
      <c r="HJY166" s="187"/>
      <c r="HJZ166" s="187"/>
      <c r="HKA166" s="187"/>
      <c r="HKB166" s="187"/>
      <c r="HKC166" s="187"/>
      <c r="HKD166" s="187"/>
      <c r="HKE166" s="187"/>
      <c r="HKF166" s="187"/>
      <c r="HKG166" s="187"/>
      <c r="HKH166" s="187"/>
      <c r="HKI166" s="187"/>
      <c r="HKJ166" s="187"/>
      <c r="HKK166" s="187"/>
      <c r="HKL166" s="187"/>
      <c r="HKM166" s="187"/>
      <c r="HKN166" s="187"/>
      <c r="HKO166" s="187"/>
      <c r="HKP166" s="187"/>
      <c r="HKQ166" s="187"/>
      <c r="HKR166" s="187"/>
      <c r="HKS166" s="187"/>
      <c r="HKT166" s="187"/>
      <c r="HKU166" s="187"/>
      <c r="HKV166" s="187"/>
      <c r="HKW166" s="187"/>
      <c r="HKX166" s="187"/>
      <c r="HKY166" s="187"/>
      <c r="HKZ166" s="187"/>
      <c r="HLA166" s="187"/>
      <c r="HLB166" s="187"/>
      <c r="HLC166" s="187"/>
      <c r="HLD166" s="187"/>
      <c r="HLE166" s="187"/>
      <c r="HLF166" s="187"/>
      <c r="HLG166" s="187"/>
      <c r="HLH166" s="187"/>
      <c r="HLI166" s="187"/>
      <c r="HLJ166" s="187"/>
      <c r="HLK166" s="187"/>
      <c r="HLL166" s="187"/>
      <c r="HLM166" s="187"/>
      <c r="HLN166" s="187"/>
      <c r="HLO166" s="187"/>
      <c r="HLP166" s="187"/>
      <c r="HLQ166" s="187"/>
      <c r="HLR166" s="187"/>
      <c r="HLS166" s="187"/>
      <c r="HLT166" s="187"/>
      <c r="HLU166" s="187"/>
      <c r="HLV166" s="187"/>
      <c r="HLW166" s="187"/>
      <c r="HLX166" s="187"/>
      <c r="HLY166" s="187"/>
      <c r="HLZ166" s="187"/>
      <c r="HMA166" s="187"/>
      <c r="HMB166" s="187"/>
      <c r="HMC166" s="187"/>
      <c r="HMD166" s="187"/>
      <c r="HME166" s="187"/>
      <c r="HMF166" s="187"/>
      <c r="HMG166" s="187"/>
      <c r="HMH166" s="187"/>
      <c r="HMI166" s="187"/>
      <c r="HMJ166" s="187"/>
      <c r="HMK166" s="187"/>
      <c r="HML166" s="187"/>
      <c r="HMM166" s="187"/>
      <c r="HMN166" s="187"/>
      <c r="HMO166" s="187"/>
      <c r="HMP166" s="187"/>
      <c r="HMQ166" s="187"/>
      <c r="HMR166" s="187"/>
      <c r="HMS166" s="187"/>
      <c r="HMT166" s="187"/>
      <c r="HMU166" s="187"/>
      <c r="HMV166" s="187"/>
      <c r="HMW166" s="187"/>
      <c r="HMX166" s="187"/>
      <c r="HMY166" s="187"/>
      <c r="HMZ166" s="187"/>
      <c r="HNA166" s="187"/>
      <c r="HNB166" s="187"/>
      <c r="HNC166" s="187"/>
      <c r="HND166" s="187"/>
      <c r="HNE166" s="187"/>
      <c r="HNF166" s="187"/>
      <c r="HNG166" s="187"/>
      <c r="HNH166" s="187"/>
      <c r="HNI166" s="187"/>
      <c r="HNJ166" s="187"/>
      <c r="HNK166" s="187"/>
      <c r="HNL166" s="187"/>
      <c r="HNM166" s="187"/>
      <c r="HNN166" s="187"/>
      <c r="HNO166" s="187"/>
      <c r="HNP166" s="187"/>
      <c r="HNQ166" s="187"/>
      <c r="HNR166" s="187"/>
      <c r="HNS166" s="187"/>
      <c r="HNT166" s="187"/>
      <c r="HNU166" s="187"/>
      <c r="HNV166" s="187"/>
      <c r="HNW166" s="187"/>
      <c r="HNX166" s="187"/>
      <c r="HNY166" s="187"/>
      <c r="HNZ166" s="187"/>
      <c r="HOA166" s="187"/>
      <c r="HOB166" s="187"/>
      <c r="HOC166" s="187"/>
      <c r="HOD166" s="187"/>
      <c r="HOE166" s="187"/>
      <c r="HOF166" s="187"/>
      <c r="HOG166" s="187"/>
      <c r="HOH166" s="187"/>
      <c r="HOI166" s="187"/>
      <c r="HOJ166" s="187"/>
      <c r="HOK166" s="187"/>
      <c r="HOL166" s="187"/>
      <c r="HOM166" s="187"/>
      <c r="HON166" s="187"/>
      <c r="HOO166" s="187"/>
      <c r="HOP166" s="187"/>
      <c r="HOQ166" s="187"/>
      <c r="HOR166" s="187"/>
      <c r="HOS166" s="187"/>
      <c r="HOT166" s="187"/>
      <c r="HOU166" s="187"/>
      <c r="HOV166" s="187"/>
      <c r="HOW166" s="187"/>
      <c r="HOX166" s="187"/>
      <c r="HOY166" s="187"/>
      <c r="HOZ166" s="187"/>
      <c r="HPA166" s="187"/>
      <c r="HPB166" s="187"/>
      <c r="HPC166" s="187"/>
      <c r="HPD166" s="187"/>
      <c r="HPE166" s="187"/>
      <c r="HPF166" s="187"/>
      <c r="HPG166" s="187"/>
      <c r="HPH166" s="187"/>
      <c r="HPI166" s="187"/>
      <c r="HPJ166" s="187"/>
      <c r="HPK166" s="187"/>
      <c r="HPL166" s="187"/>
      <c r="HPM166" s="187"/>
      <c r="HPN166" s="187"/>
      <c r="HPO166" s="187"/>
      <c r="HPP166" s="187"/>
      <c r="HPQ166" s="187"/>
      <c r="HPR166" s="187"/>
      <c r="HPS166" s="187"/>
      <c r="HPT166" s="187"/>
      <c r="HPU166" s="187"/>
      <c r="HPV166" s="187"/>
      <c r="HPW166" s="187"/>
      <c r="HPX166" s="187"/>
      <c r="HPY166" s="187"/>
      <c r="HPZ166" s="187"/>
      <c r="HQA166" s="187"/>
      <c r="HQB166" s="187"/>
      <c r="HQC166" s="187"/>
      <c r="HQD166" s="187"/>
      <c r="HQE166" s="187"/>
      <c r="HQF166" s="187"/>
      <c r="HQG166" s="187"/>
      <c r="HQH166" s="187"/>
      <c r="HQI166" s="187"/>
      <c r="HQJ166" s="187"/>
      <c r="HQK166" s="187"/>
      <c r="HQL166" s="187"/>
      <c r="HQM166" s="187"/>
      <c r="HQN166" s="187"/>
      <c r="HQO166" s="187"/>
      <c r="HQP166" s="187"/>
      <c r="HQQ166" s="187"/>
      <c r="HQR166" s="187"/>
      <c r="HQS166" s="187"/>
      <c r="HQT166" s="187"/>
      <c r="HQU166" s="187"/>
      <c r="HQV166" s="187"/>
      <c r="HQW166" s="187"/>
      <c r="HQX166" s="187"/>
      <c r="HQY166" s="187"/>
      <c r="HQZ166" s="187"/>
      <c r="HRA166" s="187"/>
      <c r="HRB166" s="187"/>
      <c r="HRC166" s="187"/>
      <c r="HRD166" s="187"/>
      <c r="HRE166" s="187"/>
      <c r="HRF166" s="187"/>
      <c r="HRG166" s="187"/>
      <c r="HRH166" s="187"/>
      <c r="HRI166" s="187"/>
      <c r="HRJ166" s="187"/>
      <c r="HRK166" s="187"/>
      <c r="HRL166" s="187"/>
      <c r="HRM166" s="187"/>
      <c r="HRN166" s="187"/>
      <c r="HRO166" s="187"/>
      <c r="HRP166" s="187"/>
      <c r="HRQ166" s="187"/>
      <c r="HRR166" s="187"/>
      <c r="HRS166" s="187"/>
      <c r="HRT166" s="187"/>
      <c r="HRU166" s="187"/>
      <c r="HRV166" s="187"/>
      <c r="HRW166" s="187"/>
      <c r="HRX166" s="187"/>
      <c r="HRY166" s="187"/>
      <c r="HRZ166" s="187"/>
      <c r="HSA166" s="187"/>
      <c r="HSB166" s="187"/>
      <c r="HSC166" s="187"/>
      <c r="HSD166" s="187"/>
      <c r="HSE166" s="187"/>
      <c r="HSF166" s="187"/>
      <c r="HSG166" s="187"/>
      <c r="HSH166" s="187"/>
      <c r="HSI166" s="187"/>
      <c r="HSJ166" s="187"/>
      <c r="HSK166" s="187"/>
      <c r="HSL166" s="187"/>
      <c r="HSM166" s="187"/>
      <c r="HSN166" s="187"/>
      <c r="HSO166" s="187"/>
      <c r="HSP166" s="187"/>
      <c r="HSQ166" s="187"/>
      <c r="HSR166" s="187"/>
      <c r="HSS166" s="187"/>
      <c r="HST166" s="187"/>
      <c r="HSU166" s="187"/>
      <c r="HSV166" s="187"/>
      <c r="HSW166" s="187"/>
      <c r="HSX166" s="187"/>
      <c r="HSY166" s="187"/>
      <c r="HSZ166" s="187"/>
      <c r="HTA166" s="187"/>
      <c r="HTB166" s="187"/>
      <c r="HTC166" s="187"/>
      <c r="HTD166" s="187"/>
      <c r="HTE166" s="187"/>
      <c r="HTF166" s="187"/>
      <c r="HTG166" s="187"/>
      <c r="HTH166" s="187"/>
      <c r="HTI166" s="187"/>
      <c r="HTJ166" s="187"/>
      <c r="HTK166" s="187"/>
      <c r="HTL166" s="187"/>
      <c r="HTM166" s="187"/>
      <c r="HTN166" s="187"/>
      <c r="HTO166" s="187"/>
      <c r="HTP166" s="187"/>
      <c r="HTQ166" s="187"/>
      <c r="HTR166" s="187"/>
      <c r="HTS166" s="187"/>
      <c r="HTT166" s="187"/>
      <c r="HTU166" s="187"/>
      <c r="HTV166" s="187"/>
      <c r="HTW166" s="187"/>
      <c r="HTX166" s="187"/>
      <c r="HTY166" s="187"/>
      <c r="HTZ166" s="187"/>
      <c r="HUA166" s="187"/>
      <c r="HUB166" s="187"/>
      <c r="HUC166" s="187"/>
      <c r="HUD166" s="187"/>
      <c r="HUE166" s="187"/>
      <c r="HUF166" s="187"/>
      <c r="HUG166" s="187"/>
      <c r="HUH166" s="187"/>
      <c r="HUI166" s="187"/>
      <c r="HUJ166" s="187"/>
      <c r="HUK166" s="187"/>
      <c r="HUL166" s="187"/>
      <c r="HUM166" s="187"/>
      <c r="HUN166" s="187"/>
      <c r="HUO166" s="187"/>
      <c r="HUP166" s="187"/>
      <c r="HUQ166" s="187"/>
      <c r="HUR166" s="187"/>
      <c r="HUS166" s="187"/>
      <c r="HUT166" s="187"/>
      <c r="HUU166" s="187"/>
      <c r="HUV166" s="187"/>
      <c r="HUW166" s="187"/>
      <c r="HUX166" s="187"/>
      <c r="HUY166" s="187"/>
      <c r="HUZ166" s="187"/>
      <c r="HVA166" s="187"/>
      <c r="HVB166" s="187"/>
      <c r="HVC166" s="187"/>
      <c r="HVD166" s="187"/>
      <c r="HVE166" s="187"/>
      <c r="HVF166" s="187"/>
      <c r="HVG166" s="187"/>
      <c r="HVH166" s="187"/>
      <c r="HVI166" s="187"/>
      <c r="HVJ166" s="187"/>
      <c r="HVK166" s="187"/>
      <c r="HVL166" s="187"/>
      <c r="HVM166" s="187"/>
      <c r="HVN166" s="187"/>
      <c r="HVO166" s="187"/>
      <c r="HVP166" s="187"/>
      <c r="HVQ166" s="187"/>
      <c r="HVR166" s="187"/>
      <c r="HVS166" s="187"/>
      <c r="HVT166" s="187"/>
      <c r="HVU166" s="187"/>
      <c r="HVV166" s="187"/>
      <c r="HVW166" s="187"/>
      <c r="HVX166" s="187"/>
      <c r="HVY166" s="187"/>
      <c r="HVZ166" s="187"/>
      <c r="HWA166" s="187"/>
      <c r="HWB166" s="187"/>
      <c r="HWC166" s="187"/>
      <c r="HWD166" s="187"/>
      <c r="HWE166" s="187"/>
      <c r="HWF166" s="187"/>
      <c r="HWG166" s="187"/>
      <c r="HWH166" s="187"/>
      <c r="HWI166" s="187"/>
      <c r="HWJ166" s="187"/>
      <c r="HWK166" s="187"/>
      <c r="HWL166" s="187"/>
      <c r="HWM166" s="187"/>
      <c r="HWN166" s="187"/>
      <c r="HWO166" s="187"/>
      <c r="HWP166" s="187"/>
      <c r="HWQ166" s="187"/>
      <c r="HWR166" s="187"/>
      <c r="HWS166" s="187"/>
      <c r="HWT166" s="187"/>
      <c r="HWU166" s="187"/>
      <c r="HWV166" s="187"/>
      <c r="HWW166" s="187"/>
      <c r="HWX166" s="187"/>
      <c r="HWY166" s="187"/>
      <c r="HWZ166" s="187"/>
      <c r="HXA166" s="187"/>
      <c r="HXB166" s="187"/>
      <c r="HXC166" s="187"/>
      <c r="HXD166" s="187"/>
      <c r="HXE166" s="187"/>
      <c r="HXF166" s="187"/>
      <c r="HXG166" s="187"/>
      <c r="HXH166" s="187"/>
      <c r="HXI166" s="187"/>
      <c r="HXJ166" s="187"/>
      <c r="HXK166" s="187"/>
      <c r="HXL166" s="187"/>
      <c r="HXM166" s="187"/>
      <c r="HXN166" s="187"/>
      <c r="HXO166" s="187"/>
      <c r="HXP166" s="187"/>
      <c r="HXQ166" s="187"/>
      <c r="HXR166" s="187"/>
      <c r="HXS166" s="187"/>
      <c r="HXT166" s="187"/>
      <c r="HXU166" s="187"/>
      <c r="HXV166" s="187"/>
      <c r="HXW166" s="187"/>
      <c r="HXX166" s="187"/>
      <c r="HXY166" s="187"/>
      <c r="HXZ166" s="187"/>
      <c r="HYA166" s="187"/>
      <c r="HYB166" s="187"/>
      <c r="HYC166" s="187"/>
      <c r="HYD166" s="187"/>
      <c r="HYE166" s="187"/>
      <c r="HYF166" s="187"/>
      <c r="HYG166" s="187"/>
      <c r="HYH166" s="187"/>
      <c r="HYI166" s="187"/>
      <c r="HYJ166" s="187"/>
      <c r="HYK166" s="187"/>
      <c r="HYL166" s="187"/>
      <c r="HYM166" s="187"/>
      <c r="HYN166" s="187"/>
      <c r="HYO166" s="187"/>
      <c r="HYP166" s="187"/>
      <c r="HYQ166" s="187"/>
      <c r="HYR166" s="187"/>
      <c r="HYS166" s="187"/>
      <c r="HYT166" s="187"/>
      <c r="HYU166" s="187"/>
      <c r="HYV166" s="187"/>
      <c r="HYW166" s="187"/>
      <c r="HYX166" s="187"/>
      <c r="HYY166" s="187"/>
      <c r="HYZ166" s="187"/>
      <c r="HZA166" s="187"/>
      <c r="HZB166" s="187"/>
      <c r="HZC166" s="187"/>
      <c r="HZD166" s="187"/>
      <c r="HZE166" s="187"/>
      <c r="HZF166" s="187"/>
      <c r="HZG166" s="187"/>
      <c r="HZH166" s="187"/>
      <c r="HZI166" s="187"/>
      <c r="HZJ166" s="187"/>
      <c r="HZK166" s="187"/>
      <c r="HZL166" s="187"/>
      <c r="HZM166" s="187"/>
      <c r="HZN166" s="187"/>
      <c r="HZO166" s="187"/>
      <c r="HZP166" s="187"/>
      <c r="HZQ166" s="187"/>
      <c r="HZR166" s="187"/>
      <c r="HZS166" s="187"/>
      <c r="HZT166" s="187"/>
      <c r="HZU166" s="187"/>
      <c r="HZV166" s="187"/>
      <c r="HZW166" s="187"/>
      <c r="HZX166" s="187"/>
      <c r="HZY166" s="187"/>
      <c r="HZZ166" s="187"/>
      <c r="IAA166" s="187"/>
      <c r="IAB166" s="187"/>
      <c r="IAC166" s="187"/>
      <c r="IAD166" s="187"/>
      <c r="IAE166" s="187"/>
      <c r="IAF166" s="187"/>
      <c r="IAG166" s="187"/>
      <c r="IAH166" s="187"/>
      <c r="IAI166" s="187"/>
      <c r="IAJ166" s="187"/>
      <c r="IAK166" s="187"/>
      <c r="IAL166" s="187"/>
      <c r="IAM166" s="187"/>
      <c r="IAN166" s="187"/>
      <c r="IAO166" s="187"/>
      <c r="IAP166" s="187"/>
      <c r="IAQ166" s="187"/>
      <c r="IAR166" s="187"/>
      <c r="IAS166" s="187"/>
      <c r="IAT166" s="187"/>
      <c r="IAU166" s="187"/>
      <c r="IAV166" s="187"/>
      <c r="IAW166" s="187"/>
      <c r="IAX166" s="187"/>
      <c r="IAY166" s="187"/>
      <c r="IAZ166" s="187"/>
      <c r="IBA166" s="187"/>
      <c r="IBB166" s="187"/>
      <c r="IBC166" s="187"/>
      <c r="IBD166" s="187"/>
      <c r="IBE166" s="187"/>
      <c r="IBF166" s="187"/>
      <c r="IBG166" s="187"/>
      <c r="IBH166" s="187"/>
      <c r="IBI166" s="187"/>
      <c r="IBJ166" s="187"/>
      <c r="IBK166" s="187"/>
      <c r="IBL166" s="187"/>
      <c r="IBM166" s="187"/>
      <c r="IBN166" s="187"/>
      <c r="IBO166" s="187"/>
      <c r="IBP166" s="187"/>
      <c r="IBQ166" s="187"/>
      <c r="IBR166" s="187"/>
      <c r="IBS166" s="187"/>
      <c r="IBT166" s="187"/>
      <c r="IBU166" s="187"/>
      <c r="IBV166" s="187"/>
      <c r="IBW166" s="187"/>
      <c r="IBX166" s="187"/>
      <c r="IBY166" s="187"/>
      <c r="IBZ166" s="187"/>
      <c r="ICA166" s="187"/>
      <c r="ICB166" s="187"/>
      <c r="ICC166" s="187"/>
      <c r="ICD166" s="187"/>
      <c r="ICE166" s="187"/>
      <c r="ICF166" s="187"/>
      <c r="ICG166" s="187"/>
      <c r="ICH166" s="187"/>
      <c r="ICI166" s="187"/>
      <c r="ICJ166" s="187"/>
      <c r="ICK166" s="187"/>
      <c r="ICL166" s="187"/>
      <c r="ICM166" s="187"/>
      <c r="ICN166" s="187"/>
      <c r="ICO166" s="187"/>
      <c r="ICP166" s="187"/>
      <c r="ICQ166" s="187"/>
      <c r="ICR166" s="187"/>
      <c r="ICS166" s="187"/>
      <c r="ICT166" s="187"/>
      <c r="ICU166" s="187"/>
      <c r="ICV166" s="187"/>
      <c r="ICW166" s="187"/>
      <c r="ICX166" s="187"/>
      <c r="ICY166" s="187"/>
      <c r="ICZ166" s="187"/>
      <c r="IDA166" s="187"/>
      <c r="IDB166" s="187"/>
      <c r="IDC166" s="187"/>
      <c r="IDD166" s="187"/>
      <c r="IDE166" s="187"/>
      <c r="IDF166" s="187"/>
      <c r="IDG166" s="187"/>
      <c r="IDH166" s="187"/>
      <c r="IDI166" s="187"/>
      <c r="IDJ166" s="187"/>
      <c r="IDK166" s="187"/>
      <c r="IDL166" s="187"/>
      <c r="IDM166" s="187"/>
      <c r="IDN166" s="187"/>
      <c r="IDO166" s="187"/>
      <c r="IDP166" s="187"/>
      <c r="IDQ166" s="187"/>
      <c r="IDR166" s="187"/>
      <c r="IDS166" s="187"/>
      <c r="IDT166" s="187"/>
      <c r="IDU166" s="187"/>
      <c r="IDV166" s="187"/>
      <c r="IDW166" s="187"/>
      <c r="IDX166" s="187"/>
      <c r="IDY166" s="187"/>
      <c r="IDZ166" s="187"/>
      <c r="IEA166" s="187"/>
      <c r="IEB166" s="187"/>
      <c r="IEC166" s="187"/>
      <c r="IED166" s="187"/>
      <c r="IEE166" s="187"/>
      <c r="IEF166" s="187"/>
      <c r="IEG166" s="187"/>
      <c r="IEH166" s="187"/>
      <c r="IEI166" s="187"/>
      <c r="IEJ166" s="187"/>
      <c r="IEK166" s="187"/>
      <c r="IEL166" s="187"/>
      <c r="IEM166" s="187"/>
      <c r="IEN166" s="187"/>
      <c r="IEO166" s="187"/>
      <c r="IEP166" s="187"/>
      <c r="IEQ166" s="187"/>
      <c r="IER166" s="187"/>
      <c r="IES166" s="187"/>
      <c r="IET166" s="187"/>
      <c r="IEU166" s="187"/>
      <c r="IEV166" s="187"/>
      <c r="IEW166" s="187"/>
      <c r="IEX166" s="187"/>
      <c r="IEY166" s="187"/>
      <c r="IEZ166" s="187"/>
      <c r="IFA166" s="187"/>
      <c r="IFB166" s="187"/>
      <c r="IFC166" s="187"/>
      <c r="IFD166" s="187"/>
      <c r="IFE166" s="187"/>
      <c r="IFF166" s="187"/>
      <c r="IFG166" s="187"/>
      <c r="IFH166" s="187"/>
      <c r="IFI166" s="187"/>
      <c r="IFJ166" s="187"/>
      <c r="IFK166" s="187"/>
      <c r="IFL166" s="187"/>
      <c r="IFM166" s="187"/>
      <c r="IFN166" s="187"/>
      <c r="IFO166" s="187"/>
      <c r="IFP166" s="187"/>
      <c r="IFQ166" s="187"/>
      <c r="IFR166" s="187"/>
      <c r="IFS166" s="187"/>
      <c r="IFT166" s="187"/>
      <c r="IFU166" s="187"/>
      <c r="IFV166" s="187"/>
      <c r="IFW166" s="187"/>
      <c r="IFX166" s="187"/>
      <c r="IFY166" s="187"/>
      <c r="IFZ166" s="187"/>
      <c r="IGA166" s="187"/>
      <c r="IGB166" s="187"/>
      <c r="IGC166" s="187"/>
      <c r="IGD166" s="187"/>
      <c r="IGE166" s="187"/>
      <c r="IGF166" s="187"/>
      <c r="IGG166" s="187"/>
      <c r="IGH166" s="187"/>
      <c r="IGI166" s="187"/>
      <c r="IGJ166" s="187"/>
      <c r="IGK166" s="187"/>
      <c r="IGL166" s="187"/>
      <c r="IGM166" s="187"/>
      <c r="IGN166" s="187"/>
      <c r="IGO166" s="187"/>
      <c r="IGP166" s="187"/>
      <c r="IGQ166" s="187"/>
      <c r="IGR166" s="187"/>
      <c r="IGS166" s="187"/>
      <c r="IGT166" s="187"/>
      <c r="IGU166" s="187"/>
      <c r="IGV166" s="187"/>
      <c r="IGW166" s="187"/>
      <c r="IGX166" s="187"/>
      <c r="IGY166" s="187"/>
      <c r="IGZ166" s="187"/>
      <c r="IHA166" s="187"/>
      <c r="IHB166" s="187"/>
      <c r="IHC166" s="187"/>
      <c r="IHD166" s="187"/>
      <c r="IHE166" s="187"/>
      <c r="IHF166" s="187"/>
      <c r="IHG166" s="187"/>
      <c r="IHH166" s="187"/>
      <c r="IHI166" s="187"/>
      <c r="IHJ166" s="187"/>
      <c r="IHK166" s="187"/>
      <c r="IHL166" s="187"/>
      <c r="IHM166" s="187"/>
      <c r="IHN166" s="187"/>
      <c r="IHO166" s="187"/>
      <c r="IHP166" s="187"/>
      <c r="IHQ166" s="187"/>
      <c r="IHR166" s="187"/>
      <c r="IHS166" s="187"/>
      <c r="IHT166" s="187"/>
      <c r="IHU166" s="187"/>
      <c r="IHV166" s="187"/>
      <c r="IHW166" s="187"/>
      <c r="IHX166" s="187"/>
      <c r="IHY166" s="187"/>
      <c r="IHZ166" s="187"/>
      <c r="IIA166" s="187"/>
      <c r="IIB166" s="187"/>
      <c r="IIC166" s="187"/>
      <c r="IID166" s="187"/>
      <c r="IIE166" s="187"/>
      <c r="IIF166" s="187"/>
      <c r="IIG166" s="187"/>
      <c r="IIH166" s="187"/>
      <c r="III166" s="187"/>
      <c r="IIJ166" s="187"/>
      <c r="IIK166" s="187"/>
      <c r="IIL166" s="187"/>
      <c r="IIM166" s="187"/>
      <c r="IIN166" s="187"/>
      <c r="IIO166" s="187"/>
      <c r="IIP166" s="187"/>
      <c r="IIQ166" s="187"/>
      <c r="IIR166" s="187"/>
      <c r="IIS166" s="187"/>
      <c r="IIT166" s="187"/>
      <c r="IIU166" s="187"/>
      <c r="IIV166" s="187"/>
      <c r="IIW166" s="187"/>
      <c r="IIX166" s="187"/>
      <c r="IIY166" s="187"/>
      <c r="IIZ166" s="187"/>
      <c r="IJA166" s="187"/>
      <c r="IJB166" s="187"/>
      <c r="IJC166" s="187"/>
      <c r="IJD166" s="187"/>
      <c r="IJE166" s="187"/>
      <c r="IJF166" s="187"/>
      <c r="IJG166" s="187"/>
      <c r="IJH166" s="187"/>
      <c r="IJI166" s="187"/>
      <c r="IJJ166" s="187"/>
      <c r="IJK166" s="187"/>
      <c r="IJL166" s="187"/>
      <c r="IJM166" s="187"/>
      <c r="IJN166" s="187"/>
      <c r="IJO166" s="187"/>
      <c r="IJP166" s="187"/>
      <c r="IJQ166" s="187"/>
      <c r="IJR166" s="187"/>
      <c r="IJS166" s="187"/>
      <c r="IJT166" s="187"/>
      <c r="IJU166" s="187"/>
      <c r="IJV166" s="187"/>
      <c r="IJW166" s="187"/>
      <c r="IJX166" s="187"/>
      <c r="IJY166" s="187"/>
      <c r="IJZ166" s="187"/>
      <c r="IKA166" s="187"/>
      <c r="IKB166" s="187"/>
      <c r="IKC166" s="187"/>
      <c r="IKD166" s="187"/>
      <c r="IKE166" s="187"/>
      <c r="IKF166" s="187"/>
      <c r="IKG166" s="187"/>
      <c r="IKH166" s="187"/>
      <c r="IKI166" s="187"/>
      <c r="IKJ166" s="187"/>
      <c r="IKK166" s="187"/>
      <c r="IKL166" s="187"/>
      <c r="IKM166" s="187"/>
      <c r="IKN166" s="187"/>
      <c r="IKO166" s="187"/>
      <c r="IKP166" s="187"/>
      <c r="IKQ166" s="187"/>
      <c r="IKR166" s="187"/>
      <c r="IKS166" s="187"/>
      <c r="IKT166" s="187"/>
      <c r="IKU166" s="187"/>
      <c r="IKV166" s="187"/>
      <c r="IKW166" s="187"/>
      <c r="IKX166" s="187"/>
      <c r="IKY166" s="187"/>
      <c r="IKZ166" s="187"/>
      <c r="ILA166" s="187"/>
      <c r="ILB166" s="187"/>
      <c r="ILC166" s="187"/>
      <c r="ILD166" s="187"/>
      <c r="ILE166" s="187"/>
      <c r="ILF166" s="187"/>
      <c r="ILG166" s="187"/>
      <c r="ILH166" s="187"/>
      <c r="ILI166" s="187"/>
      <c r="ILJ166" s="187"/>
      <c r="ILK166" s="187"/>
      <c r="ILL166" s="187"/>
      <c r="ILM166" s="187"/>
      <c r="ILN166" s="187"/>
      <c r="ILO166" s="187"/>
      <c r="ILP166" s="187"/>
      <c r="ILQ166" s="187"/>
      <c r="ILR166" s="187"/>
      <c r="ILS166" s="187"/>
      <c r="ILT166" s="187"/>
      <c r="ILU166" s="187"/>
      <c r="ILV166" s="187"/>
      <c r="ILW166" s="187"/>
      <c r="ILX166" s="187"/>
      <c r="ILY166" s="187"/>
      <c r="ILZ166" s="187"/>
      <c r="IMA166" s="187"/>
      <c r="IMB166" s="187"/>
      <c r="IMC166" s="187"/>
      <c r="IMD166" s="187"/>
      <c r="IME166" s="187"/>
      <c r="IMF166" s="187"/>
      <c r="IMG166" s="187"/>
      <c r="IMH166" s="187"/>
      <c r="IMI166" s="187"/>
      <c r="IMJ166" s="187"/>
      <c r="IMK166" s="187"/>
      <c r="IML166" s="187"/>
      <c r="IMM166" s="187"/>
      <c r="IMN166" s="187"/>
      <c r="IMO166" s="187"/>
      <c r="IMP166" s="187"/>
      <c r="IMQ166" s="187"/>
      <c r="IMR166" s="187"/>
      <c r="IMS166" s="187"/>
      <c r="IMT166" s="187"/>
      <c r="IMU166" s="187"/>
      <c r="IMV166" s="187"/>
      <c r="IMW166" s="187"/>
      <c r="IMX166" s="187"/>
      <c r="IMY166" s="187"/>
      <c r="IMZ166" s="187"/>
      <c r="INA166" s="187"/>
      <c r="INB166" s="187"/>
      <c r="INC166" s="187"/>
      <c r="IND166" s="187"/>
      <c r="INE166" s="187"/>
      <c r="INF166" s="187"/>
      <c r="ING166" s="187"/>
      <c r="INH166" s="187"/>
      <c r="INI166" s="187"/>
      <c r="INJ166" s="187"/>
      <c r="INK166" s="187"/>
      <c r="INL166" s="187"/>
      <c r="INM166" s="187"/>
      <c r="INN166" s="187"/>
      <c r="INO166" s="187"/>
      <c r="INP166" s="187"/>
      <c r="INQ166" s="187"/>
      <c r="INR166" s="187"/>
      <c r="INS166" s="187"/>
      <c r="INT166" s="187"/>
      <c r="INU166" s="187"/>
      <c r="INV166" s="187"/>
      <c r="INW166" s="187"/>
      <c r="INX166" s="187"/>
      <c r="INY166" s="187"/>
      <c r="INZ166" s="187"/>
      <c r="IOA166" s="187"/>
      <c r="IOB166" s="187"/>
      <c r="IOC166" s="187"/>
      <c r="IOD166" s="187"/>
      <c r="IOE166" s="187"/>
      <c r="IOF166" s="187"/>
      <c r="IOG166" s="187"/>
      <c r="IOH166" s="187"/>
      <c r="IOI166" s="187"/>
      <c r="IOJ166" s="187"/>
      <c r="IOK166" s="187"/>
      <c r="IOL166" s="187"/>
      <c r="IOM166" s="187"/>
      <c r="ION166" s="187"/>
      <c r="IOO166" s="187"/>
      <c r="IOP166" s="187"/>
      <c r="IOQ166" s="187"/>
      <c r="IOR166" s="187"/>
      <c r="IOS166" s="187"/>
      <c r="IOT166" s="187"/>
      <c r="IOU166" s="187"/>
      <c r="IOV166" s="187"/>
      <c r="IOW166" s="187"/>
      <c r="IOX166" s="187"/>
      <c r="IOY166" s="187"/>
      <c r="IOZ166" s="187"/>
      <c r="IPA166" s="187"/>
      <c r="IPB166" s="187"/>
      <c r="IPC166" s="187"/>
      <c r="IPD166" s="187"/>
      <c r="IPE166" s="187"/>
      <c r="IPF166" s="187"/>
      <c r="IPG166" s="187"/>
      <c r="IPH166" s="187"/>
      <c r="IPI166" s="187"/>
      <c r="IPJ166" s="187"/>
      <c r="IPK166" s="187"/>
      <c r="IPL166" s="187"/>
      <c r="IPM166" s="187"/>
      <c r="IPN166" s="187"/>
      <c r="IPO166" s="187"/>
      <c r="IPP166" s="187"/>
      <c r="IPQ166" s="187"/>
      <c r="IPR166" s="187"/>
      <c r="IPS166" s="187"/>
      <c r="IPT166" s="187"/>
      <c r="IPU166" s="187"/>
      <c r="IPV166" s="187"/>
      <c r="IPW166" s="187"/>
      <c r="IPX166" s="187"/>
      <c r="IPY166" s="187"/>
      <c r="IPZ166" s="187"/>
      <c r="IQA166" s="187"/>
      <c r="IQB166" s="187"/>
      <c r="IQC166" s="187"/>
      <c r="IQD166" s="187"/>
      <c r="IQE166" s="187"/>
      <c r="IQF166" s="187"/>
      <c r="IQG166" s="187"/>
      <c r="IQH166" s="187"/>
      <c r="IQI166" s="187"/>
      <c r="IQJ166" s="187"/>
      <c r="IQK166" s="187"/>
      <c r="IQL166" s="187"/>
      <c r="IQM166" s="187"/>
      <c r="IQN166" s="187"/>
      <c r="IQO166" s="187"/>
      <c r="IQP166" s="187"/>
      <c r="IQQ166" s="187"/>
      <c r="IQR166" s="187"/>
      <c r="IQS166" s="187"/>
      <c r="IQT166" s="187"/>
      <c r="IQU166" s="187"/>
      <c r="IQV166" s="187"/>
      <c r="IQW166" s="187"/>
      <c r="IQX166" s="187"/>
      <c r="IQY166" s="187"/>
      <c r="IQZ166" s="187"/>
      <c r="IRA166" s="187"/>
      <c r="IRB166" s="187"/>
      <c r="IRC166" s="187"/>
      <c r="IRD166" s="187"/>
      <c r="IRE166" s="187"/>
      <c r="IRF166" s="187"/>
      <c r="IRG166" s="187"/>
      <c r="IRH166" s="187"/>
      <c r="IRI166" s="187"/>
      <c r="IRJ166" s="187"/>
      <c r="IRK166" s="187"/>
      <c r="IRL166" s="187"/>
      <c r="IRM166" s="187"/>
      <c r="IRN166" s="187"/>
      <c r="IRO166" s="187"/>
      <c r="IRP166" s="187"/>
      <c r="IRQ166" s="187"/>
      <c r="IRR166" s="187"/>
      <c r="IRS166" s="187"/>
      <c r="IRT166" s="187"/>
      <c r="IRU166" s="187"/>
      <c r="IRV166" s="187"/>
      <c r="IRW166" s="187"/>
      <c r="IRX166" s="187"/>
      <c r="IRY166" s="187"/>
      <c r="IRZ166" s="187"/>
      <c r="ISA166" s="187"/>
      <c r="ISB166" s="187"/>
      <c r="ISC166" s="187"/>
      <c r="ISD166" s="187"/>
      <c r="ISE166" s="187"/>
      <c r="ISF166" s="187"/>
      <c r="ISG166" s="187"/>
      <c r="ISH166" s="187"/>
      <c r="ISI166" s="187"/>
      <c r="ISJ166" s="187"/>
      <c r="ISK166" s="187"/>
      <c r="ISL166" s="187"/>
      <c r="ISM166" s="187"/>
      <c r="ISN166" s="187"/>
      <c r="ISO166" s="187"/>
      <c r="ISP166" s="187"/>
      <c r="ISQ166" s="187"/>
      <c r="ISR166" s="187"/>
      <c r="ISS166" s="187"/>
      <c r="IST166" s="187"/>
      <c r="ISU166" s="187"/>
      <c r="ISV166" s="187"/>
      <c r="ISW166" s="187"/>
      <c r="ISX166" s="187"/>
      <c r="ISY166" s="187"/>
      <c r="ISZ166" s="187"/>
      <c r="ITA166" s="187"/>
      <c r="ITB166" s="187"/>
      <c r="ITC166" s="187"/>
      <c r="ITD166" s="187"/>
      <c r="ITE166" s="187"/>
      <c r="ITF166" s="187"/>
      <c r="ITG166" s="187"/>
      <c r="ITH166" s="187"/>
      <c r="ITI166" s="187"/>
      <c r="ITJ166" s="187"/>
      <c r="ITK166" s="187"/>
      <c r="ITL166" s="187"/>
      <c r="ITM166" s="187"/>
      <c r="ITN166" s="187"/>
      <c r="ITO166" s="187"/>
      <c r="ITP166" s="187"/>
      <c r="ITQ166" s="187"/>
      <c r="ITR166" s="187"/>
      <c r="ITS166" s="187"/>
      <c r="ITT166" s="187"/>
      <c r="ITU166" s="187"/>
      <c r="ITV166" s="187"/>
      <c r="ITW166" s="187"/>
      <c r="ITX166" s="187"/>
      <c r="ITY166" s="187"/>
      <c r="ITZ166" s="187"/>
      <c r="IUA166" s="187"/>
      <c r="IUB166" s="187"/>
      <c r="IUC166" s="187"/>
      <c r="IUD166" s="187"/>
      <c r="IUE166" s="187"/>
      <c r="IUF166" s="187"/>
      <c r="IUG166" s="187"/>
      <c r="IUH166" s="187"/>
      <c r="IUI166" s="187"/>
      <c r="IUJ166" s="187"/>
      <c r="IUK166" s="187"/>
      <c r="IUL166" s="187"/>
      <c r="IUM166" s="187"/>
      <c r="IUN166" s="187"/>
      <c r="IUO166" s="187"/>
      <c r="IUP166" s="187"/>
      <c r="IUQ166" s="187"/>
      <c r="IUR166" s="187"/>
      <c r="IUS166" s="187"/>
      <c r="IUT166" s="187"/>
      <c r="IUU166" s="187"/>
      <c r="IUV166" s="187"/>
      <c r="IUW166" s="187"/>
      <c r="IUX166" s="187"/>
      <c r="IUY166" s="187"/>
      <c r="IUZ166" s="187"/>
      <c r="IVA166" s="187"/>
      <c r="IVB166" s="187"/>
      <c r="IVC166" s="187"/>
      <c r="IVD166" s="187"/>
      <c r="IVE166" s="187"/>
      <c r="IVF166" s="187"/>
      <c r="IVG166" s="187"/>
      <c r="IVH166" s="187"/>
      <c r="IVI166" s="187"/>
      <c r="IVJ166" s="187"/>
      <c r="IVK166" s="187"/>
      <c r="IVL166" s="187"/>
      <c r="IVM166" s="187"/>
      <c r="IVN166" s="187"/>
      <c r="IVO166" s="187"/>
      <c r="IVP166" s="187"/>
      <c r="IVQ166" s="187"/>
      <c r="IVR166" s="187"/>
      <c r="IVS166" s="187"/>
      <c r="IVT166" s="187"/>
      <c r="IVU166" s="187"/>
      <c r="IVV166" s="187"/>
      <c r="IVW166" s="187"/>
      <c r="IVX166" s="187"/>
      <c r="IVY166" s="187"/>
      <c r="IVZ166" s="187"/>
      <c r="IWA166" s="187"/>
      <c r="IWB166" s="187"/>
      <c r="IWC166" s="187"/>
      <c r="IWD166" s="187"/>
      <c r="IWE166" s="187"/>
      <c r="IWF166" s="187"/>
      <c r="IWG166" s="187"/>
      <c r="IWH166" s="187"/>
      <c r="IWI166" s="187"/>
      <c r="IWJ166" s="187"/>
      <c r="IWK166" s="187"/>
      <c r="IWL166" s="187"/>
      <c r="IWM166" s="187"/>
      <c r="IWN166" s="187"/>
      <c r="IWO166" s="187"/>
      <c r="IWP166" s="187"/>
      <c r="IWQ166" s="187"/>
      <c r="IWR166" s="187"/>
      <c r="IWS166" s="187"/>
      <c r="IWT166" s="187"/>
      <c r="IWU166" s="187"/>
      <c r="IWV166" s="187"/>
      <c r="IWW166" s="187"/>
      <c r="IWX166" s="187"/>
      <c r="IWY166" s="187"/>
      <c r="IWZ166" s="187"/>
      <c r="IXA166" s="187"/>
      <c r="IXB166" s="187"/>
      <c r="IXC166" s="187"/>
      <c r="IXD166" s="187"/>
      <c r="IXE166" s="187"/>
      <c r="IXF166" s="187"/>
      <c r="IXG166" s="187"/>
      <c r="IXH166" s="187"/>
      <c r="IXI166" s="187"/>
      <c r="IXJ166" s="187"/>
      <c r="IXK166" s="187"/>
      <c r="IXL166" s="187"/>
      <c r="IXM166" s="187"/>
      <c r="IXN166" s="187"/>
      <c r="IXO166" s="187"/>
      <c r="IXP166" s="187"/>
      <c r="IXQ166" s="187"/>
      <c r="IXR166" s="187"/>
      <c r="IXS166" s="187"/>
      <c r="IXT166" s="187"/>
      <c r="IXU166" s="187"/>
      <c r="IXV166" s="187"/>
      <c r="IXW166" s="187"/>
      <c r="IXX166" s="187"/>
      <c r="IXY166" s="187"/>
      <c r="IXZ166" s="187"/>
      <c r="IYA166" s="187"/>
      <c r="IYB166" s="187"/>
      <c r="IYC166" s="187"/>
      <c r="IYD166" s="187"/>
      <c r="IYE166" s="187"/>
      <c r="IYF166" s="187"/>
      <c r="IYG166" s="187"/>
      <c r="IYH166" s="187"/>
      <c r="IYI166" s="187"/>
      <c r="IYJ166" s="187"/>
      <c r="IYK166" s="187"/>
      <c r="IYL166" s="187"/>
      <c r="IYM166" s="187"/>
      <c r="IYN166" s="187"/>
      <c r="IYO166" s="187"/>
      <c r="IYP166" s="187"/>
      <c r="IYQ166" s="187"/>
      <c r="IYR166" s="187"/>
      <c r="IYS166" s="187"/>
      <c r="IYT166" s="187"/>
      <c r="IYU166" s="187"/>
      <c r="IYV166" s="187"/>
      <c r="IYW166" s="187"/>
      <c r="IYX166" s="187"/>
      <c r="IYY166" s="187"/>
      <c r="IYZ166" s="187"/>
      <c r="IZA166" s="187"/>
      <c r="IZB166" s="187"/>
      <c r="IZC166" s="187"/>
      <c r="IZD166" s="187"/>
      <c r="IZE166" s="187"/>
      <c r="IZF166" s="187"/>
      <c r="IZG166" s="187"/>
      <c r="IZH166" s="187"/>
      <c r="IZI166" s="187"/>
      <c r="IZJ166" s="187"/>
      <c r="IZK166" s="187"/>
      <c r="IZL166" s="187"/>
      <c r="IZM166" s="187"/>
      <c r="IZN166" s="187"/>
      <c r="IZO166" s="187"/>
      <c r="IZP166" s="187"/>
      <c r="IZQ166" s="187"/>
      <c r="IZR166" s="187"/>
      <c r="IZS166" s="187"/>
      <c r="IZT166" s="187"/>
      <c r="IZU166" s="187"/>
      <c r="IZV166" s="187"/>
      <c r="IZW166" s="187"/>
      <c r="IZX166" s="187"/>
      <c r="IZY166" s="187"/>
      <c r="IZZ166" s="187"/>
      <c r="JAA166" s="187"/>
      <c r="JAB166" s="187"/>
      <c r="JAC166" s="187"/>
      <c r="JAD166" s="187"/>
      <c r="JAE166" s="187"/>
      <c r="JAF166" s="187"/>
      <c r="JAG166" s="187"/>
      <c r="JAH166" s="187"/>
      <c r="JAI166" s="187"/>
      <c r="JAJ166" s="187"/>
      <c r="JAK166" s="187"/>
      <c r="JAL166" s="187"/>
      <c r="JAM166" s="187"/>
      <c r="JAN166" s="187"/>
      <c r="JAO166" s="187"/>
      <c r="JAP166" s="187"/>
      <c r="JAQ166" s="187"/>
      <c r="JAR166" s="187"/>
      <c r="JAS166" s="187"/>
      <c r="JAT166" s="187"/>
      <c r="JAU166" s="187"/>
      <c r="JAV166" s="187"/>
      <c r="JAW166" s="187"/>
      <c r="JAX166" s="187"/>
      <c r="JAY166" s="187"/>
      <c r="JAZ166" s="187"/>
      <c r="JBA166" s="187"/>
      <c r="JBB166" s="187"/>
      <c r="JBC166" s="187"/>
      <c r="JBD166" s="187"/>
      <c r="JBE166" s="187"/>
      <c r="JBF166" s="187"/>
      <c r="JBG166" s="187"/>
      <c r="JBH166" s="187"/>
      <c r="JBI166" s="187"/>
      <c r="JBJ166" s="187"/>
      <c r="JBK166" s="187"/>
      <c r="JBL166" s="187"/>
      <c r="JBM166" s="187"/>
      <c r="JBN166" s="187"/>
      <c r="JBO166" s="187"/>
      <c r="JBP166" s="187"/>
      <c r="JBQ166" s="187"/>
      <c r="JBR166" s="187"/>
      <c r="JBS166" s="187"/>
      <c r="JBT166" s="187"/>
      <c r="JBU166" s="187"/>
      <c r="JBV166" s="187"/>
      <c r="JBW166" s="187"/>
      <c r="JBX166" s="187"/>
      <c r="JBY166" s="187"/>
      <c r="JBZ166" s="187"/>
      <c r="JCA166" s="187"/>
      <c r="JCB166" s="187"/>
      <c r="JCC166" s="187"/>
      <c r="JCD166" s="187"/>
      <c r="JCE166" s="187"/>
      <c r="JCF166" s="187"/>
      <c r="JCG166" s="187"/>
      <c r="JCH166" s="187"/>
      <c r="JCI166" s="187"/>
      <c r="JCJ166" s="187"/>
      <c r="JCK166" s="187"/>
      <c r="JCL166" s="187"/>
      <c r="JCM166" s="187"/>
      <c r="JCN166" s="187"/>
      <c r="JCO166" s="187"/>
      <c r="JCP166" s="187"/>
      <c r="JCQ166" s="187"/>
      <c r="JCR166" s="187"/>
      <c r="JCS166" s="187"/>
      <c r="JCT166" s="187"/>
      <c r="JCU166" s="187"/>
      <c r="JCV166" s="187"/>
      <c r="JCW166" s="187"/>
      <c r="JCX166" s="187"/>
      <c r="JCY166" s="187"/>
      <c r="JCZ166" s="187"/>
      <c r="JDA166" s="187"/>
      <c r="JDB166" s="187"/>
      <c r="JDC166" s="187"/>
      <c r="JDD166" s="187"/>
      <c r="JDE166" s="187"/>
      <c r="JDF166" s="187"/>
      <c r="JDG166" s="187"/>
      <c r="JDH166" s="187"/>
      <c r="JDI166" s="187"/>
      <c r="JDJ166" s="187"/>
      <c r="JDK166" s="187"/>
      <c r="JDL166" s="187"/>
      <c r="JDM166" s="187"/>
      <c r="JDN166" s="187"/>
      <c r="JDO166" s="187"/>
      <c r="JDP166" s="187"/>
      <c r="JDQ166" s="187"/>
      <c r="JDR166" s="187"/>
      <c r="JDS166" s="187"/>
      <c r="JDT166" s="187"/>
      <c r="JDU166" s="187"/>
      <c r="JDV166" s="187"/>
      <c r="JDW166" s="187"/>
      <c r="JDX166" s="187"/>
      <c r="JDY166" s="187"/>
      <c r="JDZ166" s="187"/>
      <c r="JEA166" s="187"/>
      <c r="JEB166" s="187"/>
      <c r="JEC166" s="187"/>
      <c r="JED166" s="187"/>
      <c r="JEE166" s="187"/>
      <c r="JEF166" s="187"/>
      <c r="JEG166" s="187"/>
      <c r="JEH166" s="187"/>
      <c r="JEI166" s="187"/>
      <c r="JEJ166" s="187"/>
      <c r="JEK166" s="187"/>
      <c r="JEL166" s="187"/>
      <c r="JEM166" s="187"/>
      <c r="JEN166" s="187"/>
      <c r="JEO166" s="187"/>
      <c r="JEP166" s="187"/>
      <c r="JEQ166" s="187"/>
      <c r="JER166" s="187"/>
      <c r="JES166" s="187"/>
      <c r="JET166" s="187"/>
      <c r="JEU166" s="187"/>
      <c r="JEV166" s="187"/>
      <c r="JEW166" s="187"/>
      <c r="JEX166" s="187"/>
      <c r="JEY166" s="187"/>
      <c r="JEZ166" s="187"/>
      <c r="JFA166" s="187"/>
      <c r="JFB166" s="187"/>
      <c r="JFC166" s="187"/>
      <c r="JFD166" s="187"/>
      <c r="JFE166" s="187"/>
      <c r="JFF166" s="187"/>
      <c r="JFG166" s="187"/>
      <c r="JFH166" s="187"/>
      <c r="JFI166" s="187"/>
      <c r="JFJ166" s="187"/>
      <c r="JFK166" s="187"/>
      <c r="JFL166" s="187"/>
      <c r="JFM166" s="187"/>
      <c r="JFN166" s="187"/>
      <c r="JFO166" s="187"/>
      <c r="JFP166" s="187"/>
      <c r="JFQ166" s="187"/>
      <c r="JFR166" s="187"/>
      <c r="JFS166" s="187"/>
      <c r="JFT166" s="187"/>
      <c r="JFU166" s="187"/>
      <c r="JFV166" s="187"/>
      <c r="JFW166" s="187"/>
      <c r="JFX166" s="187"/>
      <c r="JFY166" s="187"/>
      <c r="JFZ166" s="187"/>
      <c r="JGA166" s="187"/>
      <c r="JGB166" s="187"/>
      <c r="JGC166" s="187"/>
      <c r="JGD166" s="187"/>
      <c r="JGE166" s="187"/>
      <c r="JGF166" s="187"/>
      <c r="JGG166" s="187"/>
      <c r="JGH166" s="187"/>
      <c r="JGI166" s="187"/>
      <c r="JGJ166" s="187"/>
      <c r="JGK166" s="187"/>
      <c r="JGL166" s="187"/>
      <c r="JGM166" s="187"/>
      <c r="JGN166" s="187"/>
      <c r="JGO166" s="187"/>
      <c r="JGP166" s="187"/>
      <c r="JGQ166" s="187"/>
      <c r="JGR166" s="187"/>
      <c r="JGS166" s="187"/>
      <c r="JGT166" s="187"/>
      <c r="JGU166" s="187"/>
      <c r="JGV166" s="187"/>
      <c r="JGW166" s="187"/>
      <c r="JGX166" s="187"/>
      <c r="JGY166" s="187"/>
      <c r="JGZ166" s="187"/>
      <c r="JHA166" s="187"/>
      <c r="JHB166" s="187"/>
      <c r="JHC166" s="187"/>
      <c r="JHD166" s="187"/>
      <c r="JHE166" s="187"/>
      <c r="JHF166" s="187"/>
      <c r="JHG166" s="187"/>
      <c r="JHH166" s="187"/>
      <c r="JHI166" s="187"/>
      <c r="JHJ166" s="187"/>
      <c r="JHK166" s="187"/>
      <c r="JHL166" s="187"/>
      <c r="JHM166" s="187"/>
      <c r="JHN166" s="187"/>
      <c r="JHO166" s="187"/>
      <c r="JHP166" s="187"/>
      <c r="JHQ166" s="187"/>
      <c r="JHR166" s="187"/>
      <c r="JHS166" s="187"/>
      <c r="JHT166" s="187"/>
      <c r="JHU166" s="187"/>
      <c r="JHV166" s="187"/>
      <c r="JHW166" s="187"/>
      <c r="JHX166" s="187"/>
      <c r="JHY166" s="187"/>
      <c r="JHZ166" s="187"/>
      <c r="JIA166" s="187"/>
      <c r="JIB166" s="187"/>
      <c r="JIC166" s="187"/>
      <c r="JID166" s="187"/>
      <c r="JIE166" s="187"/>
      <c r="JIF166" s="187"/>
      <c r="JIG166" s="187"/>
      <c r="JIH166" s="187"/>
      <c r="JII166" s="187"/>
      <c r="JIJ166" s="187"/>
      <c r="JIK166" s="187"/>
      <c r="JIL166" s="187"/>
      <c r="JIM166" s="187"/>
      <c r="JIN166" s="187"/>
      <c r="JIO166" s="187"/>
      <c r="JIP166" s="187"/>
      <c r="JIQ166" s="187"/>
      <c r="JIR166" s="187"/>
      <c r="JIS166" s="187"/>
      <c r="JIT166" s="187"/>
      <c r="JIU166" s="187"/>
      <c r="JIV166" s="187"/>
      <c r="JIW166" s="187"/>
      <c r="JIX166" s="187"/>
      <c r="JIY166" s="187"/>
      <c r="JIZ166" s="187"/>
      <c r="JJA166" s="187"/>
      <c r="JJB166" s="187"/>
      <c r="JJC166" s="187"/>
      <c r="JJD166" s="187"/>
      <c r="JJE166" s="187"/>
      <c r="JJF166" s="187"/>
      <c r="JJG166" s="187"/>
      <c r="JJH166" s="187"/>
      <c r="JJI166" s="187"/>
      <c r="JJJ166" s="187"/>
      <c r="JJK166" s="187"/>
      <c r="JJL166" s="187"/>
      <c r="JJM166" s="187"/>
      <c r="JJN166" s="187"/>
      <c r="JJO166" s="187"/>
      <c r="JJP166" s="187"/>
      <c r="JJQ166" s="187"/>
      <c r="JJR166" s="187"/>
      <c r="JJS166" s="187"/>
      <c r="JJT166" s="187"/>
      <c r="JJU166" s="187"/>
      <c r="JJV166" s="187"/>
      <c r="JJW166" s="187"/>
      <c r="JJX166" s="187"/>
      <c r="JJY166" s="187"/>
      <c r="JJZ166" s="187"/>
      <c r="JKA166" s="187"/>
      <c r="JKB166" s="187"/>
      <c r="JKC166" s="187"/>
      <c r="JKD166" s="187"/>
      <c r="JKE166" s="187"/>
      <c r="JKF166" s="187"/>
      <c r="JKG166" s="187"/>
      <c r="JKH166" s="187"/>
      <c r="JKI166" s="187"/>
      <c r="JKJ166" s="187"/>
      <c r="JKK166" s="187"/>
      <c r="JKL166" s="187"/>
      <c r="JKM166" s="187"/>
      <c r="JKN166" s="187"/>
      <c r="JKO166" s="187"/>
      <c r="JKP166" s="187"/>
      <c r="JKQ166" s="187"/>
      <c r="JKR166" s="187"/>
      <c r="JKS166" s="187"/>
      <c r="JKT166" s="187"/>
      <c r="JKU166" s="187"/>
      <c r="JKV166" s="187"/>
      <c r="JKW166" s="187"/>
      <c r="JKX166" s="187"/>
      <c r="JKY166" s="187"/>
      <c r="JKZ166" s="187"/>
      <c r="JLA166" s="187"/>
      <c r="JLB166" s="187"/>
      <c r="JLC166" s="187"/>
      <c r="JLD166" s="187"/>
      <c r="JLE166" s="187"/>
      <c r="JLF166" s="187"/>
      <c r="JLG166" s="187"/>
      <c r="JLH166" s="187"/>
      <c r="JLI166" s="187"/>
      <c r="JLJ166" s="187"/>
      <c r="JLK166" s="187"/>
      <c r="JLL166" s="187"/>
      <c r="JLM166" s="187"/>
      <c r="JLN166" s="187"/>
      <c r="JLO166" s="187"/>
      <c r="JLP166" s="187"/>
      <c r="JLQ166" s="187"/>
      <c r="JLR166" s="187"/>
      <c r="JLS166" s="187"/>
      <c r="JLT166" s="187"/>
      <c r="JLU166" s="187"/>
      <c r="JLV166" s="187"/>
      <c r="JLW166" s="187"/>
      <c r="JLX166" s="187"/>
      <c r="JLY166" s="187"/>
      <c r="JLZ166" s="187"/>
      <c r="JMA166" s="187"/>
      <c r="JMB166" s="187"/>
      <c r="JMC166" s="187"/>
      <c r="JMD166" s="187"/>
      <c r="JME166" s="187"/>
      <c r="JMF166" s="187"/>
      <c r="JMG166" s="187"/>
      <c r="JMH166" s="187"/>
      <c r="JMI166" s="187"/>
      <c r="JMJ166" s="187"/>
      <c r="JMK166" s="187"/>
      <c r="JML166" s="187"/>
      <c r="JMM166" s="187"/>
      <c r="JMN166" s="187"/>
      <c r="JMO166" s="187"/>
      <c r="JMP166" s="187"/>
      <c r="JMQ166" s="187"/>
      <c r="JMR166" s="187"/>
      <c r="JMS166" s="187"/>
      <c r="JMT166" s="187"/>
      <c r="JMU166" s="187"/>
      <c r="JMV166" s="187"/>
      <c r="JMW166" s="187"/>
      <c r="JMX166" s="187"/>
      <c r="JMY166" s="187"/>
      <c r="JMZ166" s="187"/>
      <c r="JNA166" s="187"/>
      <c r="JNB166" s="187"/>
      <c r="JNC166" s="187"/>
      <c r="JND166" s="187"/>
      <c r="JNE166" s="187"/>
      <c r="JNF166" s="187"/>
      <c r="JNG166" s="187"/>
      <c r="JNH166" s="187"/>
      <c r="JNI166" s="187"/>
      <c r="JNJ166" s="187"/>
      <c r="JNK166" s="187"/>
      <c r="JNL166" s="187"/>
      <c r="JNM166" s="187"/>
      <c r="JNN166" s="187"/>
      <c r="JNO166" s="187"/>
      <c r="JNP166" s="187"/>
      <c r="JNQ166" s="187"/>
      <c r="JNR166" s="187"/>
      <c r="JNS166" s="187"/>
      <c r="JNT166" s="187"/>
      <c r="JNU166" s="187"/>
      <c r="JNV166" s="187"/>
      <c r="JNW166" s="187"/>
      <c r="JNX166" s="187"/>
      <c r="JNY166" s="187"/>
      <c r="JNZ166" s="187"/>
      <c r="JOA166" s="187"/>
      <c r="JOB166" s="187"/>
      <c r="JOC166" s="187"/>
      <c r="JOD166" s="187"/>
      <c r="JOE166" s="187"/>
      <c r="JOF166" s="187"/>
      <c r="JOG166" s="187"/>
      <c r="JOH166" s="187"/>
      <c r="JOI166" s="187"/>
      <c r="JOJ166" s="187"/>
      <c r="JOK166" s="187"/>
      <c r="JOL166" s="187"/>
      <c r="JOM166" s="187"/>
      <c r="JON166" s="187"/>
      <c r="JOO166" s="187"/>
      <c r="JOP166" s="187"/>
      <c r="JOQ166" s="187"/>
      <c r="JOR166" s="187"/>
      <c r="JOS166" s="187"/>
      <c r="JOT166" s="187"/>
      <c r="JOU166" s="187"/>
      <c r="JOV166" s="187"/>
      <c r="JOW166" s="187"/>
      <c r="JOX166" s="187"/>
      <c r="JOY166" s="187"/>
      <c r="JOZ166" s="187"/>
      <c r="JPA166" s="187"/>
      <c r="JPB166" s="187"/>
      <c r="JPC166" s="187"/>
      <c r="JPD166" s="187"/>
      <c r="JPE166" s="187"/>
      <c r="JPF166" s="187"/>
      <c r="JPG166" s="187"/>
      <c r="JPH166" s="187"/>
      <c r="JPI166" s="187"/>
      <c r="JPJ166" s="187"/>
      <c r="JPK166" s="187"/>
      <c r="JPL166" s="187"/>
      <c r="JPM166" s="187"/>
      <c r="JPN166" s="187"/>
      <c r="JPO166" s="187"/>
      <c r="JPP166" s="187"/>
      <c r="JPQ166" s="187"/>
      <c r="JPR166" s="187"/>
      <c r="JPS166" s="187"/>
      <c r="JPT166" s="187"/>
      <c r="JPU166" s="187"/>
      <c r="JPV166" s="187"/>
      <c r="JPW166" s="187"/>
      <c r="JPX166" s="187"/>
      <c r="JPY166" s="187"/>
      <c r="JPZ166" s="187"/>
      <c r="JQA166" s="187"/>
      <c r="JQB166" s="187"/>
      <c r="JQC166" s="187"/>
      <c r="JQD166" s="187"/>
      <c r="JQE166" s="187"/>
      <c r="JQF166" s="187"/>
      <c r="JQG166" s="187"/>
      <c r="JQH166" s="187"/>
      <c r="JQI166" s="187"/>
      <c r="JQJ166" s="187"/>
      <c r="JQK166" s="187"/>
      <c r="JQL166" s="187"/>
      <c r="JQM166" s="187"/>
      <c r="JQN166" s="187"/>
      <c r="JQO166" s="187"/>
      <c r="JQP166" s="187"/>
      <c r="JQQ166" s="187"/>
      <c r="JQR166" s="187"/>
      <c r="JQS166" s="187"/>
      <c r="JQT166" s="187"/>
      <c r="JQU166" s="187"/>
      <c r="JQV166" s="187"/>
      <c r="JQW166" s="187"/>
      <c r="JQX166" s="187"/>
      <c r="JQY166" s="187"/>
      <c r="JQZ166" s="187"/>
      <c r="JRA166" s="187"/>
      <c r="JRB166" s="187"/>
      <c r="JRC166" s="187"/>
      <c r="JRD166" s="187"/>
      <c r="JRE166" s="187"/>
      <c r="JRF166" s="187"/>
      <c r="JRG166" s="187"/>
      <c r="JRH166" s="187"/>
      <c r="JRI166" s="187"/>
      <c r="JRJ166" s="187"/>
      <c r="JRK166" s="187"/>
      <c r="JRL166" s="187"/>
      <c r="JRM166" s="187"/>
      <c r="JRN166" s="187"/>
      <c r="JRO166" s="187"/>
      <c r="JRP166" s="187"/>
      <c r="JRQ166" s="187"/>
      <c r="JRR166" s="187"/>
      <c r="JRS166" s="187"/>
      <c r="JRT166" s="187"/>
      <c r="JRU166" s="187"/>
      <c r="JRV166" s="187"/>
      <c r="JRW166" s="187"/>
      <c r="JRX166" s="187"/>
      <c r="JRY166" s="187"/>
      <c r="JRZ166" s="187"/>
      <c r="JSA166" s="187"/>
      <c r="JSB166" s="187"/>
      <c r="JSC166" s="187"/>
      <c r="JSD166" s="187"/>
      <c r="JSE166" s="187"/>
      <c r="JSF166" s="187"/>
      <c r="JSG166" s="187"/>
      <c r="JSH166" s="187"/>
      <c r="JSI166" s="187"/>
      <c r="JSJ166" s="187"/>
      <c r="JSK166" s="187"/>
      <c r="JSL166" s="187"/>
      <c r="JSM166" s="187"/>
      <c r="JSN166" s="187"/>
      <c r="JSO166" s="187"/>
      <c r="JSP166" s="187"/>
      <c r="JSQ166" s="187"/>
      <c r="JSR166" s="187"/>
      <c r="JSS166" s="187"/>
      <c r="JST166" s="187"/>
      <c r="JSU166" s="187"/>
      <c r="JSV166" s="187"/>
      <c r="JSW166" s="187"/>
      <c r="JSX166" s="187"/>
      <c r="JSY166" s="187"/>
      <c r="JSZ166" s="187"/>
      <c r="JTA166" s="187"/>
      <c r="JTB166" s="187"/>
      <c r="JTC166" s="187"/>
      <c r="JTD166" s="187"/>
      <c r="JTE166" s="187"/>
      <c r="JTF166" s="187"/>
      <c r="JTG166" s="187"/>
      <c r="JTH166" s="187"/>
      <c r="JTI166" s="187"/>
      <c r="JTJ166" s="187"/>
      <c r="JTK166" s="187"/>
      <c r="JTL166" s="187"/>
      <c r="JTM166" s="187"/>
      <c r="JTN166" s="187"/>
      <c r="JTO166" s="187"/>
      <c r="JTP166" s="187"/>
      <c r="JTQ166" s="187"/>
      <c r="JTR166" s="187"/>
      <c r="JTS166" s="187"/>
      <c r="JTT166" s="187"/>
      <c r="JTU166" s="187"/>
      <c r="JTV166" s="187"/>
      <c r="JTW166" s="187"/>
      <c r="JTX166" s="187"/>
      <c r="JTY166" s="187"/>
      <c r="JTZ166" s="187"/>
      <c r="JUA166" s="187"/>
      <c r="JUB166" s="187"/>
      <c r="JUC166" s="187"/>
      <c r="JUD166" s="187"/>
      <c r="JUE166" s="187"/>
      <c r="JUF166" s="187"/>
      <c r="JUG166" s="187"/>
      <c r="JUH166" s="187"/>
      <c r="JUI166" s="187"/>
      <c r="JUJ166" s="187"/>
      <c r="JUK166" s="187"/>
      <c r="JUL166" s="187"/>
      <c r="JUM166" s="187"/>
      <c r="JUN166" s="187"/>
      <c r="JUO166" s="187"/>
      <c r="JUP166" s="187"/>
      <c r="JUQ166" s="187"/>
      <c r="JUR166" s="187"/>
      <c r="JUS166" s="187"/>
      <c r="JUT166" s="187"/>
      <c r="JUU166" s="187"/>
      <c r="JUV166" s="187"/>
      <c r="JUW166" s="187"/>
      <c r="JUX166" s="187"/>
      <c r="JUY166" s="187"/>
      <c r="JUZ166" s="187"/>
      <c r="JVA166" s="187"/>
      <c r="JVB166" s="187"/>
      <c r="JVC166" s="187"/>
      <c r="JVD166" s="187"/>
      <c r="JVE166" s="187"/>
      <c r="JVF166" s="187"/>
      <c r="JVG166" s="187"/>
      <c r="JVH166" s="187"/>
      <c r="JVI166" s="187"/>
      <c r="JVJ166" s="187"/>
      <c r="JVK166" s="187"/>
      <c r="JVL166" s="187"/>
      <c r="JVM166" s="187"/>
      <c r="JVN166" s="187"/>
      <c r="JVO166" s="187"/>
      <c r="JVP166" s="187"/>
      <c r="JVQ166" s="187"/>
      <c r="JVR166" s="187"/>
      <c r="JVS166" s="187"/>
      <c r="JVT166" s="187"/>
      <c r="JVU166" s="187"/>
      <c r="JVV166" s="187"/>
      <c r="JVW166" s="187"/>
      <c r="JVX166" s="187"/>
      <c r="JVY166" s="187"/>
      <c r="JVZ166" s="187"/>
      <c r="JWA166" s="187"/>
      <c r="JWB166" s="187"/>
      <c r="JWC166" s="187"/>
      <c r="JWD166" s="187"/>
      <c r="JWE166" s="187"/>
      <c r="JWF166" s="187"/>
      <c r="JWG166" s="187"/>
      <c r="JWH166" s="187"/>
      <c r="JWI166" s="187"/>
      <c r="JWJ166" s="187"/>
      <c r="JWK166" s="187"/>
      <c r="JWL166" s="187"/>
      <c r="JWM166" s="187"/>
      <c r="JWN166" s="187"/>
      <c r="JWO166" s="187"/>
      <c r="JWP166" s="187"/>
      <c r="JWQ166" s="187"/>
      <c r="JWR166" s="187"/>
      <c r="JWS166" s="187"/>
      <c r="JWT166" s="187"/>
      <c r="JWU166" s="187"/>
      <c r="JWV166" s="187"/>
      <c r="JWW166" s="187"/>
      <c r="JWX166" s="187"/>
      <c r="JWY166" s="187"/>
      <c r="JWZ166" s="187"/>
      <c r="JXA166" s="187"/>
      <c r="JXB166" s="187"/>
      <c r="JXC166" s="187"/>
      <c r="JXD166" s="187"/>
      <c r="JXE166" s="187"/>
      <c r="JXF166" s="187"/>
      <c r="JXG166" s="187"/>
      <c r="JXH166" s="187"/>
      <c r="JXI166" s="187"/>
      <c r="JXJ166" s="187"/>
      <c r="JXK166" s="187"/>
      <c r="JXL166" s="187"/>
      <c r="JXM166" s="187"/>
      <c r="JXN166" s="187"/>
      <c r="JXO166" s="187"/>
      <c r="JXP166" s="187"/>
      <c r="JXQ166" s="187"/>
      <c r="JXR166" s="187"/>
      <c r="JXS166" s="187"/>
      <c r="JXT166" s="187"/>
      <c r="JXU166" s="187"/>
      <c r="JXV166" s="187"/>
      <c r="JXW166" s="187"/>
      <c r="JXX166" s="187"/>
      <c r="JXY166" s="187"/>
      <c r="JXZ166" s="187"/>
      <c r="JYA166" s="187"/>
      <c r="JYB166" s="187"/>
      <c r="JYC166" s="187"/>
      <c r="JYD166" s="187"/>
      <c r="JYE166" s="187"/>
      <c r="JYF166" s="187"/>
      <c r="JYG166" s="187"/>
      <c r="JYH166" s="187"/>
      <c r="JYI166" s="187"/>
      <c r="JYJ166" s="187"/>
      <c r="JYK166" s="187"/>
      <c r="JYL166" s="187"/>
      <c r="JYM166" s="187"/>
      <c r="JYN166" s="187"/>
      <c r="JYO166" s="187"/>
      <c r="JYP166" s="187"/>
      <c r="JYQ166" s="187"/>
      <c r="JYR166" s="187"/>
      <c r="JYS166" s="187"/>
      <c r="JYT166" s="187"/>
      <c r="JYU166" s="187"/>
      <c r="JYV166" s="187"/>
      <c r="JYW166" s="187"/>
      <c r="JYX166" s="187"/>
      <c r="JYY166" s="187"/>
      <c r="JYZ166" s="187"/>
      <c r="JZA166" s="187"/>
      <c r="JZB166" s="187"/>
      <c r="JZC166" s="187"/>
      <c r="JZD166" s="187"/>
      <c r="JZE166" s="187"/>
      <c r="JZF166" s="187"/>
      <c r="JZG166" s="187"/>
      <c r="JZH166" s="187"/>
      <c r="JZI166" s="187"/>
      <c r="JZJ166" s="187"/>
      <c r="JZK166" s="187"/>
      <c r="JZL166" s="187"/>
      <c r="JZM166" s="187"/>
      <c r="JZN166" s="187"/>
      <c r="JZO166" s="187"/>
      <c r="JZP166" s="187"/>
      <c r="JZQ166" s="187"/>
      <c r="JZR166" s="187"/>
      <c r="JZS166" s="187"/>
      <c r="JZT166" s="187"/>
      <c r="JZU166" s="187"/>
      <c r="JZV166" s="187"/>
      <c r="JZW166" s="187"/>
      <c r="JZX166" s="187"/>
      <c r="JZY166" s="187"/>
      <c r="JZZ166" s="187"/>
      <c r="KAA166" s="187"/>
      <c r="KAB166" s="187"/>
      <c r="KAC166" s="187"/>
      <c r="KAD166" s="187"/>
      <c r="KAE166" s="187"/>
      <c r="KAF166" s="187"/>
      <c r="KAG166" s="187"/>
      <c r="KAH166" s="187"/>
      <c r="KAI166" s="187"/>
      <c r="KAJ166" s="187"/>
      <c r="KAK166" s="187"/>
      <c r="KAL166" s="187"/>
      <c r="KAM166" s="187"/>
      <c r="KAN166" s="187"/>
      <c r="KAO166" s="187"/>
      <c r="KAP166" s="187"/>
      <c r="KAQ166" s="187"/>
      <c r="KAR166" s="187"/>
      <c r="KAS166" s="187"/>
      <c r="KAT166" s="187"/>
      <c r="KAU166" s="187"/>
      <c r="KAV166" s="187"/>
      <c r="KAW166" s="187"/>
      <c r="KAX166" s="187"/>
      <c r="KAY166" s="187"/>
      <c r="KAZ166" s="187"/>
      <c r="KBA166" s="187"/>
      <c r="KBB166" s="187"/>
      <c r="KBC166" s="187"/>
      <c r="KBD166" s="187"/>
      <c r="KBE166" s="187"/>
      <c r="KBF166" s="187"/>
      <c r="KBG166" s="187"/>
      <c r="KBH166" s="187"/>
      <c r="KBI166" s="187"/>
      <c r="KBJ166" s="187"/>
      <c r="KBK166" s="187"/>
      <c r="KBL166" s="187"/>
      <c r="KBM166" s="187"/>
      <c r="KBN166" s="187"/>
      <c r="KBO166" s="187"/>
      <c r="KBP166" s="187"/>
      <c r="KBQ166" s="187"/>
      <c r="KBR166" s="187"/>
      <c r="KBS166" s="187"/>
      <c r="KBT166" s="187"/>
      <c r="KBU166" s="187"/>
      <c r="KBV166" s="187"/>
      <c r="KBW166" s="187"/>
      <c r="KBX166" s="187"/>
      <c r="KBY166" s="187"/>
      <c r="KBZ166" s="187"/>
      <c r="KCA166" s="187"/>
      <c r="KCB166" s="187"/>
      <c r="KCC166" s="187"/>
      <c r="KCD166" s="187"/>
      <c r="KCE166" s="187"/>
      <c r="KCF166" s="187"/>
      <c r="KCG166" s="187"/>
      <c r="KCH166" s="187"/>
      <c r="KCI166" s="187"/>
      <c r="KCJ166" s="187"/>
      <c r="KCK166" s="187"/>
      <c r="KCL166" s="187"/>
      <c r="KCM166" s="187"/>
      <c r="KCN166" s="187"/>
      <c r="KCO166" s="187"/>
      <c r="KCP166" s="187"/>
      <c r="KCQ166" s="187"/>
      <c r="KCR166" s="187"/>
      <c r="KCS166" s="187"/>
      <c r="KCT166" s="187"/>
      <c r="KCU166" s="187"/>
      <c r="KCV166" s="187"/>
      <c r="KCW166" s="187"/>
      <c r="KCX166" s="187"/>
      <c r="KCY166" s="187"/>
      <c r="KCZ166" s="187"/>
      <c r="KDA166" s="187"/>
      <c r="KDB166" s="187"/>
      <c r="KDC166" s="187"/>
      <c r="KDD166" s="187"/>
      <c r="KDE166" s="187"/>
      <c r="KDF166" s="187"/>
      <c r="KDG166" s="187"/>
      <c r="KDH166" s="187"/>
      <c r="KDI166" s="187"/>
      <c r="KDJ166" s="187"/>
      <c r="KDK166" s="187"/>
      <c r="KDL166" s="187"/>
      <c r="KDM166" s="187"/>
      <c r="KDN166" s="187"/>
      <c r="KDO166" s="187"/>
      <c r="KDP166" s="187"/>
      <c r="KDQ166" s="187"/>
      <c r="KDR166" s="187"/>
      <c r="KDS166" s="187"/>
      <c r="KDT166" s="187"/>
      <c r="KDU166" s="187"/>
      <c r="KDV166" s="187"/>
      <c r="KDW166" s="187"/>
      <c r="KDX166" s="187"/>
      <c r="KDY166" s="187"/>
      <c r="KDZ166" s="187"/>
      <c r="KEA166" s="187"/>
      <c r="KEB166" s="187"/>
      <c r="KEC166" s="187"/>
      <c r="KED166" s="187"/>
      <c r="KEE166" s="187"/>
      <c r="KEF166" s="187"/>
      <c r="KEG166" s="187"/>
      <c r="KEH166" s="187"/>
      <c r="KEI166" s="187"/>
      <c r="KEJ166" s="187"/>
      <c r="KEK166" s="187"/>
      <c r="KEL166" s="187"/>
      <c r="KEM166" s="187"/>
      <c r="KEN166" s="187"/>
      <c r="KEO166" s="187"/>
      <c r="KEP166" s="187"/>
      <c r="KEQ166" s="187"/>
      <c r="KER166" s="187"/>
      <c r="KES166" s="187"/>
      <c r="KET166" s="187"/>
      <c r="KEU166" s="187"/>
      <c r="KEV166" s="187"/>
      <c r="KEW166" s="187"/>
      <c r="KEX166" s="187"/>
      <c r="KEY166" s="187"/>
      <c r="KEZ166" s="187"/>
      <c r="KFA166" s="187"/>
      <c r="KFB166" s="187"/>
      <c r="KFC166" s="187"/>
      <c r="KFD166" s="187"/>
      <c r="KFE166" s="187"/>
      <c r="KFF166" s="187"/>
      <c r="KFG166" s="187"/>
      <c r="KFH166" s="187"/>
      <c r="KFI166" s="187"/>
      <c r="KFJ166" s="187"/>
      <c r="KFK166" s="187"/>
      <c r="KFL166" s="187"/>
      <c r="KFM166" s="187"/>
      <c r="KFN166" s="187"/>
      <c r="KFO166" s="187"/>
      <c r="KFP166" s="187"/>
      <c r="KFQ166" s="187"/>
      <c r="KFR166" s="187"/>
      <c r="KFS166" s="187"/>
      <c r="KFT166" s="187"/>
      <c r="KFU166" s="187"/>
      <c r="KFV166" s="187"/>
      <c r="KFW166" s="187"/>
      <c r="KFX166" s="187"/>
      <c r="KFY166" s="187"/>
      <c r="KFZ166" s="187"/>
      <c r="KGA166" s="187"/>
      <c r="KGB166" s="187"/>
      <c r="KGC166" s="187"/>
      <c r="KGD166" s="187"/>
      <c r="KGE166" s="187"/>
      <c r="KGF166" s="187"/>
      <c r="KGG166" s="187"/>
      <c r="KGH166" s="187"/>
      <c r="KGI166" s="187"/>
      <c r="KGJ166" s="187"/>
      <c r="KGK166" s="187"/>
      <c r="KGL166" s="187"/>
      <c r="KGM166" s="187"/>
      <c r="KGN166" s="187"/>
      <c r="KGO166" s="187"/>
      <c r="KGP166" s="187"/>
      <c r="KGQ166" s="187"/>
      <c r="KGR166" s="187"/>
      <c r="KGS166" s="187"/>
      <c r="KGT166" s="187"/>
      <c r="KGU166" s="187"/>
      <c r="KGV166" s="187"/>
      <c r="KGW166" s="187"/>
      <c r="KGX166" s="187"/>
      <c r="KGY166" s="187"/>
      <c r="KGZ166" s="187"/>
      <c r="KHA166" s="187"/>
      <c r="KHB166" s="187"/>
      <c r="KHC166" s="187"/>
      <c r="KHD166" s="187"/>
      <c r="KHE166" s="187"/>
      <c r="KHF166" s="187"/>
      <c r="KHG166" s="187"/>
      <c r="KHH166" s="187"/>
      <c r="KHI166" s="187"/>
      <c r="KHJ166" s="187"/>
      <c r="KHK166" s="187"/>
      <c r="KHL166" s="187"/>
      <c r="KHM166" s="187"/>
      <c r="KHN166" s="187"/>
      <c r="KHO166" s="187"/>
      <c r="KHP166" s="187"/>
      <c r="KHQ166" s="187"/>
      <c r="KHR166" s="187"/>
      <c r="KHS166" s="187"/>
      <c r="KHT166" s="187"/>
      <c r="KHU166" s="187"/>
      <c r="KHV166" s="187"/>
      <c r="KHW166" s="187"/>
      <c r="KHX166" s="187"/>
      <c r="KHY166" s="187"/>
      <c r="KHZ166" s="187"/>
      <c r="KIA166" s="187"/>
      <c r="KIB166" s="187"/>
      <c r="KIC166" s="187"/>
      <c r="KID166" s="187"/>
      <c r="KIE166" s="187"/>
      <c r="KIF166" s="187"/>
      <c r="KIG166" s="187"/>
      <c r="KIH166" s="187"/>
      <c r="KII166" s="187"/>
      <c r="KIJ166" s="187"/>
      <c r="KIK166" s="187"/>
      <c r="KIL166" s="187"/>
      <c r="KIM166" s="187"/>
      <c r="KIN166" s="187"/>
      <c r="KIO166" s="187"/>
      <c r="KIP166" s="187"/>
      <c r="KIQ166" s="187"/>
      <c r="KIR166" s="187"/>
      <c r="KIS166" s="187"/>
      <c r="KIT166" s="187"/>
      <c r="KIU166" s="187"/>
      <c r="KIV166" s="187"/>
      <c r="KIW166" s="187"/>
      <c r="KIX166" s="187"/>
      <c r="KIY166" s="187"/>
      <c r="KIZ166" s="187"/>
      <c r="KJA166" s="187"/>
      <c r="KJB166" s="187"/>
      <c r="KJC166" s="187"/>
      <c r="KJD166" s="187"/>
      <c r="KJE166" s="187"/>
      <c r="KJF166" s="187"/>
      <c r="KJG166" s="187"/>
      <c r="KJH166" s="187"/>
      <c r="KJI166" s="187"/>
      <c r="KJJ166" s="187"/>
      <c r="KJK166" s="187"/>
      <c r="KJL166" s="187"/>
      <c r="KJM166" s="187"/>
      <c r="KJN166" s="187"/>
      <c r="KJO166" s="187"/>
      <c r="KJP166" s="187"/>
      <c r="KJQ166" s="187"/>
      <c r="KJR166" s="187"/>
      <c r="KJS166" s="187"/>
      <c r="KJT166" s="187"/>
      <c r="KJU166" s="187"/>
      <c r="KJV166" s="187"/>
      <c r="KJW166" s="187"/>
      <c r="KJX166" s="187"/>
      <c r="KJY166" s="187"/>
      <c r="KJZ166" s="187"/>
      <c r="KKA166" s="187"/>
      <c r="KKB166" s="187"/>
      <c r="KKC166" s="187"/>
      <c r="KKD166" s="187"/>
      <c r="KKE166" s="187"/>
      <c r="KKF166" s="187"/>
      <c r="KKG166" s="187"/>
      <c r="KKH166" s="187"/>
      <c r="KKI166" s="187"/>
      <c r="KKJ166" s="187"/>
      <c r="KKK166" s="187"/>
      <c r="KKL166" s="187"/>
      <c r="KKM166" s="187"/>
      <c r="KKN166" s="187"/>
      <c r="KKO166" s="187"/>
      <c r="KKP166" s="187"/>
      <c r="KKQ166" s="187"/>
      <c r="KKR166" s="187"/>
      <c r="KKS166" s="187"/>
      <c r="KKT166" s="187"/>
      <c r="KKU166" s="187"/>
      <c r="KKV166" s="187"/>
      <c r="KKW166" s="187"/>
      <c r="KKX166" s="187"/>
      <c r="KKY166" s="187"/>
      <c r="KKZ166" s="187"/>
      <c r="KLA166" s="187"/>
      <c r="KLB166" s="187"/>
      <c r="KLC166" s="187"/>
      <c r="KLD166" s="187"/>
      <c r="KLE166" s="187"/>
      <c r="KLF166" s="187"/>
      <c r="KLG166" s="187"/>
      <c r="KLH166" s="187"/>
      <c r="KLI166" s="187"/>
      <c r="KLJ166" s="187"/>
      <c r="KLK166" s="187"/>
      <c r="KLL166" s="187"/>
      <c r="KLM166" s="187"/>
      <c r="KLN166" s="187"/>
      <c r="KLO166" s="187"/>
      <c r="KLP166" s="187"/>
      <c r="KLQ166" s="187"/>
      <c r="KLR166" s="187"/>
      <c r="KLS166" s="187"/>
      <c r="KLT166" s="187"/>
      <c r="KLU166" s="187"/>
      <c r="KLV166" s="187"/>
      <c r="KLW166" s="187"/>
      <c r="KLX166" s="187"/>
      <c r="KLY166" s="187"/>
      <c r="KLZ166" s="187"/>
      <c r="KMA166" s="187"/>
      <c r="KMB166" s="187"/>
      <c r="KMC166" s="187"/>
      <c r="KMD166" s="187"/>
      <c r="KME166" s="187"/>
      <c r="KMF166" s="187"/>
      <c r="KMG166" s="187"/>
      <c r="KMH166" s="187"/>
      <c r="KMI166" s="187"/>
      <c r="KMJ166" s="187"/>
      <c r="KMK166" s="187"/>
      <c r="KML166" s="187"/>
      <c r="KMM166" s="187"/>
      <c r="KMN166" s="187"/>
      <c r="KMO166" s="187"/>
      <c r="KMP166" s="187"/>
      <c r="KMQ166" s="187"/>
      <c r="KMR166" s="187"/>
      <c r="KMS166" s="187"/>
      <c r="KMT166" s="187"/>
      <c r="KMU166" s="187"/>
      <c r="KMV166" s="187"/>
      <c r="KMW166" s="187"/>
      <c r="KMX166" s="187"/>
      <c r="KMY166" s="187"/>
      <c r="KMZ166" s="187"/>
      <c r="KNA166" s="187"/>
      <c r="KNB166" s="187"/>
      <c r="KNC166" s="187"/>
      <c r="KND166" s="187"/>
      <c r="KNE166" s="187"/>
      <c r="KNF166" s="187"/>
      <c r="KNG166" s="187"/>
      <c r="KNH166" s="187"/>
      <c r="KNI166" s="187"/>
      <c r="KNJ166" s="187"/>
      <c r="KNK166" s="187"/>
      <c r="KNL166" s="187"/>
      <c r="KNM166" s="187"/>
      <c r="KNN166" s="187"/>
      <c r="KNO166" s="187"/>
      <c r="KNP166" s="187"/>
      <c r="KNQ166" s="187"/>
      <c r="KNR166" s="187"/>
      <c r="KNS166" s="187"/>
      <c r="KNT166" s="187"/>
      <c r="KNU166" s="187"/>
      <c r="KNV166" s="187"/>
      <c r="KNW166" s="187"/>
      <c r="KNX166" s="187"/>
      <c r="KNY166" s="187"/>
      <c r="KNZ166" s="187"/>
      <c r="KOA166" s="187"/>
      <c r="KOB166" s="187"/>
      <c r="KOC166" s="187"/>
      <c r="KOD166" s="187"/>
      <c r="KOE166" s="187"/>
      <c r="KOF166" s="187"/>
      <c r="KOG166" s="187"/>
      <c r="KOH166" s="187"/>
      <c r="KOI166" s="187"/>
      <c r="KOJ166" s="187"/>
      <c r="KOK166" s="187"/>
      <c r="KOL166" s="187"/>
      <c r="KOM166" s="187"/>
      <c r="KON166" s="187"/>
      <c r="KOO166" s="187"/>
      <c r="KOP166" s="187"/>
      <c r="KOQ166" s="187"/>
      <c r="KOR166" s="187"/>
      <c r="KOS166" s="187"/>
      <c r="KOT166" s="187"/>
      <c r="KOU166" s="187"/>
      <c r="KOV166" s="187"/>
      <c r="KOW166" s="187"/>
      <c r="KOX166" s="187"/>
      <c r="KOY166" s="187"/>
      <c r="KOZ166" s="187"/>
      <c r="KPA166" s="187"/>
      <c r="KPB166" s="187"/>
      <c r="KPC166" s="187"/>
      <c r="KPD166" s="187"/>
      <c r="KPE166" s="187"/>
      <c r="KPF166" s="187"/>
      <c r="KPG166" s="187"/>
      <c r="KPH166" s="187"/>
      <c r="KPI166" s="187"/>
      <c r="KPJ166" s="187"/>
      <c r="KPK166" s="187"/>
      <c r="KPL166" s="187"/>
      <c r="KPM166" s="187"/>
      <c r="KPN166" s="187"/>
      <c r="KPO166" s="187"/>
      <c r="KPP166" s="187"/>
      <c r="KPQ166" s="187"/>
      <c r="KPR166" s="187"/>
      <c r="KPS166" s="187"/>
      <c r="KPT166" s="187"/>
      <c r="KPU166" s="187"/>
      <c r="KPV166" s="187"/>
      <c r="KPW166" s="187"/>
      <c r="KPX166" s="187"/>
      <c r="KPY166" s="187"/>
      <c r="KPZ166" s="187"/>
      <c r="KQA166" s="187"/>
      <c r="KQB166" s="187"/>
      <c r="KQC166" s="187"/>
      <c r="KQD166" s="187"/>
      <c r="KQE166" s="187"/>
      <c r="KQF166" s="187"/>
      <c r="KQG166" s="187"/>
      <c r="KQH166" s="187"/>
      <c r="KQI166" s="187"/>
      <c r="KQJ166" s="187"/>
      <c r="KQK166" s="187"/>
      <c r="KQL166" s="187"/>
      <c r="KQM166" s="187"/>
      <c r="KQN166" s="187"/>
      <c r="KQO166" s="187"/>
      <c r="KQP166" s="187"/>
      <c r="KQQ166" s="187"/>
      <c r="KQR166" s="187"/>
      <c r="KQS166" s="187"/>
      <c r="KQT166" s="187"/>
      <c r="KQU166" s="187"/>
      <c r="KQV166" s="187"/>
      <c r="KQW166" s="187"/>
      <c r="KQX166" s="187"/>
      <c r="KQY166" s="187"/>
      <c r="KQZ166" s="187"/>
      <c r="KRA166" s="187"/>
      <c r="KRB166" s="187"/>
      <c r="KRC166" s="187"/>
      <c r="KRD166" s="187"/>
      <c r="KRE166" s="187"/>
      <c r="KRF166" s="187"/>
      <c r="KRG166" s="187"/>
      <c r="KRH166" s="187"/>
      <c r="KRI166" s="187"/>
      <c r="KRJ166" s="187"/>
      <c r="KRK166" s="187"/>
      <c r="KRL166" s="187"/>
      <c r="KRM166" s="187"/>
      <c r="KRN166" s="187"/>
      <c r="KRO166" s="187"/>
      <c r="KRP166" s="187"/>
      <c r="KRQ166" s="187"/>
      <c r="KRR166" s="187"/>
      <c r="KRS166" s="187"/>
      <c r="KRT166" s="187"/>
      <c r="KRU166" s="187"/>
      <c r="KRV166" s="187"/>
      <c r="KRW166" s="187"/>
      <c r="KRX166" s="187"/>
      <c r="KRY166" s="187"/>
      <c r="KRZ166" s="187"/>
      <c r="KSA166" s="187"/>
      <c r="KSB166" s="187"/>
      <c r="KSC166" s="187"/>
      <c r="KSD166" s="187"/>
      <c r="KSE166" s="187"/>
      <c r="KSF166" s="187"/>
      <c r="KSG166" s="187"/>
      <c r="KSH166" s="187"/>
      <c r="KSI166" s="187"/>
      <c r="KSJ166" s="187"/>
      <c r="KSK166" s="187"/>
      <c r="KSL166" s="187"/>
      <c r="KSM166" s="187"/>
      <c r="KSN166" s="187"/>
      <c r="KSO166" s="187"/>
      <c r="KSP166" s="187"/>
      <c r="KSQ166" s="187"/>
      <c r="KSR166" s="187"/>
      <c r="KSS166" s="187"/>
      <c r="KST166" s="187"/>
      <c r="KSU166" s="187"/>
      <c r="KSV166" s="187"/>
      <c r="KSW166" s="187"/>
      <c r="KSX166" s="187"/>
      <c r="KSY166" s="187"/>
      <c r="KSZ166" s="187"/>
      <c r="KTA166" s="187"/>
      <c r="KTB166" s="187"/>
      <c r="KTC166" s="187"/>
      <c r="KTD166" s="187"/>
      <c r="KTE166" s="187"/>
      <c r="KTF166" s="187"/>
      <c r="KTG166" s="187"/>
      <c r="KTH166" s="187"/>
      <c r="KTI166" s="187"/>
      <c r="KTJ166" s="187"/>
      <c r="KTK166" s="187"/>
      <c r="KTL166" s="187"/>
      <c r="KTM166" s="187"/>
      <c r="KTN166" s="187"/>
      <c r="KTO166" s="187"/>
      <c r="KTP166" s="187"/>
      <c r="KTQ166" s="187"/>
      <c r="KTR166" s="187"/>
      <c r="KTS166" s="187"/>
      <c r="KTT166" s="187"/>
      <c r="KTU166" s="187"/>
      <c r="KTV166" s="187"/>
      <c r="KTW166" s="187"/>
      <c r="KTX166" s="187"/>
      <c r="KTY166" s="187"/>
      <c r="KTZ166" s="187"/>
      <c r="KUA166" s="187"/>
      <c r="KUB166" s="187"/>
      <c r="KUC166" s="187"/>
      <c r="KUD166" s="187"/>
      <c r="KUE166" s="187"/>
      <c r="KUF166" s="187"/>
      <c r="KUG166" s="187"/>
      <c r="KUH166" s="187"/>
      <c r="KUI166" s="187"/>
      <c r="KUJ166" s="187"/>
      <c r="KUK166" s="187"/>
      <c r="KUL166" s="187"/>
      <c r="KUM166" s="187"/>
      <c r="KUN166" s="187"/>
      <c r="KUO166" s="187"/>
      <c r="KUP166" s="187"/>
      <c r="KUQ166" s="187"/>
      <c r="KUR166" s="187"/>
      <c r="KUS166" s="187"/>
      <c r="KUT166" s="187"/>
      <c r="KUU166" s="187"/>
      <c r="KUV166" s="187"/>
      <c r="KUW166" s="187"/>
      <c r="KUX166" s="187"/>
      <c r="KUY166" s="187"/>
      <c r="KUZ166" s="187"/>
      <c r="KVA166" s="187"/>
      <c r="KVB166" s="187"/>
      <c r="KVC166" s="187"/>
      <c r="KVD166" s="187"/>
      <c r="KVE166" s="187"/>
      <c r="KVF166" s="187"/>
      <c r="KVG166" s="187"/>
      <c r="KVH166" s="187"/>
      <c r="KVI166" s="187"/>
      <c r="KVJ166" s="187"/>
      <c r="KVK166" s="187"/>
      <c r="KVL166" s="187"/>
      <c r="KVM166" s="187"/>
      <c r="KVN166" s="187"/>
      <c r="KVO166" s="187"/>
      <c r="KVP166" s="187"/>
      <c r="KVQ166" s="187"/>
      <c r="KVR166" s="187"/>
      <c r="KVS166" s="187"/>
      <c r="KVT166" s="187"/>
      <c r="KVU166" s="187"/>
      <c r="KVV166" s="187"/>
      <c r="KVW166" s="187"/>
      <c r="KVX166" s="187"/>
      <c r="KVY166" s="187"/>
      <c r="KVZ166" s="187"/>
      <c r="KWA166" s="187"/>
      <c r="KWB166" s="187"/>
      <c r="KWC166" s="187"/>
      <c r="KWD166" s="187"/>
      <c r="KWE166" s="187"/>
      <c r="KWF166" s="187"/>
      <c r="KWG166" s="187"/>
      <c r="KWH166" s="187"/>
      <c r="KWI166" s="187"/>
      <c r="KWJ166" s="187"/>
      <c r="KWK166" s="187"/>
      <c r="KWL166" s="187"/>
      <c r="KWM166" s="187"/>
      <c r="KWN166" s="187"/>
      <c r="KWO166" s="187"/>
      <c r="KWP166" s="187"/>
      <c r="KWQ166" s="187"/>
      <c r="KWR166" s="187"/>
      <c r="KWS166" s="187"/>
      <c r="KWT166" s="187"/>
      <c r="KWU166" s="187"/>
      <c r="KWV166" s="187"/>
      <c r="KWW166" s="187"/>
      <c r="KWX166" s="187"/>
      <c r="KWY166" s="187"/>
      <c r="KWZ166" s="187"/>
      <c r="KXA166" s="187"/>
      <c r="KXB166" s="187"/>
      <c r="KXC166" s="187"/>
      <c r="KXD166" s="187"/>
      <c r="KXE166" s="187"/>
      <c r="KXF166" s="187"/>
      <c r="KXG166" s="187"/>
      <c r="KXH166" s="187"/>
      <c r="KXI166" s="187"/>
      <c r="KXJ166" s="187"/>
      <c r="KXK166" s="187"/>
      <c r="KXL166" s="187"/>
      <c r="KXM166" s="187"/>
      <c r="KXN166" s="187"/>
      <c r="KXO166" s="187"/>
      <c r="KXP166" s="187"/>
      <c r="KXQ166" s="187"/>
      <c r="KXR166" s="187"/>
      <c r="KXS166" s="187"/>
      <c r="KXT166" s="187"/>
      <c r="KXU166" s="187"/>
      <c r="KXV166" s="187"/>
      <c r="KXW166" s="187"/>
      <c r="KXX166" s="187"/>
      <c r="KXY166" s="187"/>
      <c r="KXZ166" s="187"/>
      <c r="KYA166" s="187"/>
      <c r="KYB166" s="187"/>
      <c r="KYC166" s="187"/>
      <c r="KYD166" s="187"/>
      <c r="KYE166" s="187"/>
      <c r="KYF166" s="187"/>
      <c r="KYG166" s="187"/>
      <c r="KYH166" s="187"/>
      <c r="KYI166" s="187"/>
      <c r="KYJ166" s="187"/>
      <c r="KYK166" s="187"/>
      <c r="KYL166" s="187"/>
      <c r="KYM166" s="187"/>
      <c r="KYN166" s="187"/>
      <c r="KYO166" s="187"/>
      <c r="KYP166" s="187"/>
      <c r="KYQ166" s="187"/>
      <c r="KYR166" s="187"/>
      <c r="KYS166" s="187"/>
      <c r="KYT166" s="187"/>
      <c r="KYU166" s="187"/>
      <c r="KYV166" s="187"/>
      <c r="KYW166" s="187"/>
      <c r="KYX166" s="187"/>
      <c r="KYY166" s="187"/>
      <c r="KYZ166" s="187"/>
      <c r="KZA166" s="187"/>
      <c r="KZB166" s="187"/>
      <c r="KZC166" s="187"/>
      <c r="KZD166" s="187"/>
      <c r="KZE166" s="187"/>
      <c r="KZF166" s="187"/>
      <c r="KZG166" s="187"/>
      <c r="KZH166" s="187"/>
      <c r="KZI166" s="187"/>
      <c r="KZJ166" s="187"/>
      <c r="KZK166" s="187"/>
      <c r="KZL166" s="187"/>
      <c r="KZM166" s="187"/>
      <c r="KZN166" s="187"/>
      <c r="KZO166" s="187"/>
      <c r="KZP166" s="187"/>
      <c r="KZQ166" s="187"/>
      <c r="KZR166" s="187"/>
      <c r="KZS166" s="187"/>
      <c r="KZT166" s="187"/>
      <c r="KZU166" s="187"/>
      <c r="KZV166" s="187"/>
      <c r="KZW166" s="187"/>
      <c r="KZX166" s="187"/>
      <c r="KZY166" s="187"/>
      <c r="KZZ166" s="187"/>
      <c r="LAA166" s="187"/>
      <c r="LAB166" s="187"/>
      <c r="LAC166" s="187"/>
      <c r="LAD166" s="187"/>
      <c r="LAE166" s="187"/>
      <c r="LAF166" s="187"/>
      <c r="LAG166" s="187"/>
      <c r="LAH166" s="187"/>
      <c r="LAI166" s="187"/>
      <c r="LAJ166" s="187"/>
      <c r="LAK166" s="187"/>
      <c r="LAL166" s="187"/>
      <c r="LAM166" s="187"/>
      <c r="LAN166" s="187"/>
      <c r="LAO166" s="187"/>
      <c r="LAP166" s="187"/>
      <c r="LAQ166" s="187"/>
      <c r="LAR166" s="187"/>
      <c r="LAS166" s="187"/>
      <c r="LAT166" s="187"/>
      <c r="LAU166" s="187"/>
      <c r="LAV166" s="187"/>
      <c r="LAW166" s="187"/>
      <c r="LAX166" s="187"/>
      <c r="LAY166" s="187"/>
      <c r="LAZ166" s="187"/>
      <c r="LBA166" s="187"/>
      <c r="LBB166" s="187"/>
      <c r="LBC166" s="187"/>
      <c r="LBD166" s="187"/>
      <c r="LBE166" s="187"/>
      <c r="LBF166" s="187"/>
      <c r="LBG166" s="187"/>
      <c r="LBH166" s="187"/>
      <c r="LBI166" s="187"/>
      <c r="LBJ166" s="187"/>
      <c r="LBK166" s="187"/>
      <c r="LBL166" s="187"/>
      <c r="LBM166" s="187"/>
      <c r="LBN166" s="187"/>
      <c r="LBO166" s="187"/>
      <c r="LBP166" s="187"/>
      <c r="LBQ166" s="187"/>
      <c r="LBR166" s="187"/>
      <c r="LBS166" s="187"/>
      <c r="LBT166" s="187"/>
      <c r="LBU166" s="187"/>
      <c r="LBV166" s="187"/>
      <c r="LBW166" s="187"/>
      <c r="LBX166" s="187"/>
      <c r="LBY166" s="187"/>
      <c r="LBZ166" s="187"/>
      <c r="LCA166" s="187"/>
      <c r="LCB166" s="187"/>
      <c r="LCC166" s="187"/>
      <c r="LCD166" s="187"/>
      <c r="LCE166" s="187"/>
      <c r="LCF166" s="187"/>
      <c r="LCG166" s="187"/>
      <c r="LCH166" s="187"/>
      <c r="LCI166" s="187"/>
      <c r="LCJ166" s="187"/>
      <c r="LCK166" s="187"/>
      <c r="LCL166" s="187"/>
      <c r="LCM166" s="187"/>
      <c r="LCN166" s="187"/>
      <c r="LCO166" s="187"/>
      <c r="LCP166" s="187"/>
      <c r="LCQ166" s="187"/>
      <c r="LCR166" s="187"/>
      <c r="LCS166" s="187"/>
      <c r="LCT166" s="187"/>
      <c r="LCU166" s="187"/>
      <c r="LCV166" s="187"/>
      <c r="LCW166" s="187"/>
      <c r="LCX166" s="187"/>
      <c r="LCY166" s="187"/>
      <c r="LCZ166" s="187"/>
      <c r="LDA166" s="187"/>
      <c r="LDB166" s="187"/>
      <c r="LDC166" s="187"/>
      <c r="LDD166" s="187"/>
      <c r="LDE166" s="187"/>
      <c r="LDF166" s="187"/>
      <c r="LDG166" s="187"/>
      <c r="LDH166" s="187"/>
      <c r="LDI166" s="187"/>
      <c r="LDJ166" s="187"/>
      <c r="LDK166" s="187"/>
      <c r="LDL166" s="187"/>
      <c r="LDM166" s="187"/>
      <c r="LDN166" s="187"/>
      <c r="LDO166" s="187"/>
      <c r="LDP166" s="187"/>
      <c r="LDQ166" s="187"/>
      <c r="LDR166" s="187"/>
      <c r="LDS166" s="187"/>
      <c r="LDT166" s="187"/>
      <c r="LDU166" s="187"/>
      <c r="LDV166" s="187"/>
      <c r="LDW166" s="187"/>
      <c r="LDX166" s="187"/>
      <c r="LDY166" s="187"/>
      <c r="LDZ166" s="187"/>
      <c r="LEA166" s="187"/>
      <c r="LEB166" s="187"/>
      <c r="LEC166" s="187"/>
      <c r="LED166" s="187"/>
      <c r="LEE166" s="187"/>
      <c r="LEF166" s="187"/>
      <c r="LEG166" s="187"/>
      <c r="LEH166" s="187"/>
      <c r="LEI166" s="187"/>
      <c r="LEJ166" s="187"/>
      <c r="LEK166" s="187"/>
      <c r="LEL166" s="187"/>
      <c r="LEM166" s="187"/>
      <c r="LEN166" s="187"/>
      <c r="LEO166" s="187"/>
      <c r="LEP166" s="187"/>
      <c r="LEQ166" s="187"/>
      <c r="LER166" s="187"/>
      <c r="LES166" s="187"/>
      <c r="LET166" s="187"/>
      <c r="LEU166" s="187"/>
      <c r="LEV166" s="187"/>
      <c r="LEW166" s="187"/>
      <c r="LEX166" s="187"/>
      <c r="LEY166" s="187"/>
      <c r="LEZ166" s="187"/>
      <c r="LFA166" s="187"/>
      <c r="LFB166" s="187"/>
      <c r="LFC166" s="187"/>
      <c r="LFD166" s="187"/>
      <c r="LFE166" s="187"/>
      <c r="LFF166" s="187"/>
      <c r="LFG166" s="187"/>
      <c r="LFH166" s="187"/>
      <c r="LFI166" s="187"/>
      <c r="LFJ166" s="187"/>
      <c r="LFK166" s="187"/>
      <c r="LFL166" s="187"/>
      <c r="LFM166" s="187"/>
      <c r="LFN166" s="187"/>
      <c r="LFO166" s="187"/>
      <c r="LFP166" s="187"/>
      <c r="LFQ166" s="187"/>
      <c r="LFR166" s="187"/>
      <c r="LFS166" s="187"/>
      <c r="LFT166" s="187"/>
      <c r="LFU166" s="187"/>
      <c r="LFV166" s="187"/>
      <c r="LFW166" s="187"/>
      <c r="LFX166" s="187"/>
      <c r="LFY166" s="187"/>
      <c r="LFZ166" s="187"/>
      <c r="LGA166" s="187"/>
      <c r="LGB166" s="187"/>
      <c r="LGC166" s="187"/>
      <c r="LGD166" s="187"/>
      <c r="LGE166" s="187"/>
      <c r="LGF166" s="187"/>
      <c r="LGG166" s="187"/>
      <c r="LGH166" s="187"/>
      <c r="LGI166" s="187"/>
      <c r="LGJ166" s="187"/>
      <c r="LGK166" s="187"/>
      <c r="LGL166" s="187"/>
      <c r="LGM166" s="187"/>
      <c r="LGN166" s="187"/>
      <c r="LGO166" s="187"/>
      <c r="LGP166" s="187"/>
      <c r="LGQ166" s="187"/>
      <c r="LGR166" s="187"/>
      <c r="LGS166" s="187"/>
      <c r="LGT166" s="187"/>
      <c r="LGU166" s="187"/>
      <c r="LGV166" s="187"/>
      <c r="LGW166" s="187"/>
      <c r="LGX166" s="187"/>
      <c r="LGY166" s="187"/>
      <c r="LGZ166" s="187"/>
      <c r="LHA166" s="187"/>
      <c r="LHB166" s="187"/>
      <c r="LHC166" s="187"/>
      <c r="LHD166" s="187"/>
      <c r="LHE166" s="187"/>
      <c r="LHF166" s="187"/>
      <c r="LHG166" s="187"/>
      <c r="LHH166" s="187"/>
      <c r="LHI166" s="187"/>
      <c r="LHJ166" s="187"/>
      <c r="LHK166" s="187"/>
      <c r="LHL166" s="187"/>
      <c r="LHM166" s="187"/>
      <c r="LHN166" s="187"/>
      <c r="LHO166" s="187"/>
      <c r="LHP166" s="187"/>
      <c r="LHQ166" s="187"/>
      <c r="LHR166" s="187"/>
      <c r="LHS166" s="187"/>
      <c r="LHT166" s="187"/>
      <c r="LHU166" s="187"/>
      <c r="LHV166" s="187"/>
      <c r="LHW166" s="187"/>
      <c r="LHX166" s="187"/>
      <c r="LHY166" s="187"/>
      <c r="LHZ166" s="187"/>
      <c r="LIA166" s="187"/>
      <c r="LIB166" s="187"/>
      <c r="LIC166" s="187"/>
      <c r="LID166" s="187"/>
      <c r="LIE166" s="187"/>
      <c r="LIF166" s="187"/>
      <c r="LIG166" s="187"/>
      <c r="LIH166" s="187"/>
      <c r="LII166" s="187"/>
      <c r="LIJ166" s="187"/>
      <c r="LIK166" s="187"/>
      <c r="LIL166" s="187"/>
      <c r="LIM166" s="187"/>
      <c r="LIN166" s="187"/>
      <c r="LIO166" s="187"/>
      <c r="LIP166" s="187"/>
      <c r="LIQ166" s="187"/>
      <c r="LIR166" s="187"/>
      <c r="LIS166" s="187"/>
      <c r="LIT166" s="187"/>
      <c r="LIU166" s="187"/>
      <c r="LIV166" s="187"/>
      <c r="LIW166" s="187"/>
      <c r="LIX166" s="187"/>
      <c r="LIY166" s="187"/>
      <c r="LIZ166" s="187"/>
      <c r="LJA166" s="187"/>
      <c r="LJB166" s="187"/>
      <c r="LJC166" s="187"/>
      <c r="LJD166" s="187"/>
      <c r="LJE166" s="187"/>
      <c r="LJF166" s="187"/>
      <c r="LJG166" s="187"/>
      <c r="LJH166" s="187"/>
      <c r="LJI166" s="187"/>
      <c r="LJJ166" s="187"/>
      <c r="LJK166" s="187"/>
      <c r="LJL166" s="187"/>
      <c r="LJM166" s="187"/>
      <c r="LJN166" s="187"/>
      <c r="LJO166" s="187"/>
      <c r="LJP166" s="187"/>
      <c r="LJQ166" s="187"/>
      <c r="LJR166" s="187"/>
      <c r="LJS166" s="187"/>
      <c r="LJT166" s="187"/>
      <c r="LJU166" s="187"/>
      <c r="LJV166" s="187"/>
      <c r="LJW166" s="187"/>
      <c r="LJX166" s="187"/>
      <c r="LJY166" s="187"/>
      <c r="LJZ166" s="187"/>
      <c r="LKA166" s="187"/>
      <c r="LKB166" s="187"/>
      <c r="LKC166" s="187"/>
      <c r="LKD166" s="187"/>
      <c r="LKE166" s="187"/>
      <c r="LKF166" s="187"/>
      <c r="LKG166" s="187"/>
      <c r="LKH166" s="187"/>
      <c r="LKI166" s="187"/>
      <c r="LKJ166" s="187"/>
      <c r="LKK166" s="187"/>
      <c r="LKL166" s="187"/>
      <c r="LKM166" s="187"/>
      <c r="LKN166" s="187"/>
      <c r="LKO166" s="187"/>
      <c r="LKP166" s="187"/>
      <c r="LKQ166" s="187"/>
      <c r="LKR166" s="187"/>
      <c r="LKS166" s="187"/>
      <c r="LKT166" s="187"/>
      <c r="LKU166" s="187"/>
      <c r="LKV166" s="187"/>
      <c r="LKW166" s="187"/>
      <c r="LKX166" s="187"/>
      <c r="LKY166" s="187"/>
      <c r="LKZ166" s="187"/>
      <c r="LLA166" s="187"/>
      <c r="LLB166" s="187"/>
      <c r="LLC166" s="187"/>
      <c r="LLD166" s="187"/>
      <c r="LLE166" s="187"/>
      <c r="LLF166" s="187"/>
      <c r="LLG166" s="187"/>
      <c r="LLH166" s="187"/>
      <c r="LLI166" s="187"/>
      <c r="LLJ166" s="187"/>
      <c r="LLK166" s="187"/>
      <c r="LLL166" s="187"/>
      <c r="LLM166" s="187"/>
      <c r="LLN166" s="187"/>
      <c r="LLO166" s="187"/>
      <c r="LLP166" s="187"/>
      <c r="LLQ166" s="187"/>
      <c r="LLR166" s="187"/>
      <c r="LLS166" s="187"/>
      <c r="LLT166" s="187"/>
      <c r="LLU166" s="187"/>
      <c r="LLV166" s="187"/>
      <c r="LLW166" s="187"/>
      <c r="LLX166" s="187"/>
      <c r="LLY166" s="187"/>
      <c r="LLZ166" s="187"/>
      <c r="LMA166" s="187"/>
      <c r="LMB166" s="187"/>
      <c r="LMC166" s="187"/>
      <c r="LMD166" s="187"/>
      <c r="LME166" s="187"/>
      <c r="LMF166" s="187"/>
      <c r="LMG166" s="187"/>
      <c r="LMH166" s="187"/>
      <c r="LMI166" s="187"/>
      <c r="LMJ166" s="187"/>
      <c r="LMK166" s="187"/>
      <c r="LML166" s="187"/>
      <c r="LMM166" s="187"/>
      <c r="LMN166" s="187"/>
      <c r="LMO166" s="187"/>
      <c r="LMP166" s="187"/>
      <c r="LMQ166" s="187"/>
      <c r="LMR166" s="187"/>
      <c r="LMS166" s="187"/>
      <c r="LMT166" s="187"/>
      <c r="LMU166" s="187"/>
      <c r="LMV166" s="187"/>
      <c r="LMW166" s="187"/>
      <c r="LMX166" s="187"/>
      <c r="LMY166" s="187"/>
      <c r="LMZ166" s="187"/>
      <c r="LNA166" s="187"/>
      <c r="LNB166" s="187"/>
      <c r="LNC166" s="187"/>
      <c r="LND166" s="187"/>
      <c r="LNE166" s="187"/>
      <c r="LNF166" s="187"/>
      <c r="LNG166" s="187"/>
      <c r="LNH166" s="187"/>
      <c r="LNI166" s="187"/>
      <c r="LNJ166" s="187"/>
      <c r="LNK166" s="187"/>
      <c r="LNL166" s="187"/>
      <c r="LNM166" s="187"/>
      <c r="LNN166" s="187"/>
      <c r="LNO166" s="187"/>
      <c r="LNP166" s="187"/>
      <c r="LNQ166" s="187"/>
      <c r="LNR166" s="187"/>
      <c r="LNS166" s="187"/>
      <c r="LNT166" s="187"/>
      <c r="LNU166" s="187"/>
      <c r="LNV166" s="187"/>
      <c r="LNW166" s="187"/>
      <c r="LNX166" s="187"/>
      <c r="LNY166" s="187"/>
      <c r="LNZ166" s="187"/>
      <c r="LOA166" s="187"/>
      <c r="LOB166" s="187"/>
      <c r="LOC166" s="187"/>
      <c r="LOD166" s="187"/>
      <c r="LOE166" s="187"/>
      <c r="LOF166" s="187"/>
      <c r="LOG166" s="187"/>
      <c r="LOH166" s="187"/>
      <c r="LOI166" s="187"/>
      <c r="LOJ166" s="187"/>
      <c r="LOK166" s="187"/>
      <c r="LOL166" s="187"/>
      <c r="LOM166" s="187"/>
      <c r="LON166" s="187"/>
      <c r="LOO166" s="187"/>
      <c r="LOP166" s="187"/>
      <c r="LOQ166" s="187"/>
      <c r="LOR166" s="187"/>
      <c r="LOS166" s="187"/>
      <c r="LOT166" s="187"/>
      <c r="LOU166" s="187"/>
      <c r="LOV166" s="187"/>
      <c r="LOW166" s="187"/>
      <c r="LOX166" s="187"/>
      <c r="LOY166" s="187"/>
      <c r="LOZ166" s="187"/>
      <c r="LPA166" s="187"/>
      <c r="LPB166" s="187"/>
      <c r="LPC166" s="187"/>
      <c r="LPD166" s="187"/>
      <c r="LPE166" s="187"/>
      <c r="LPF166" s="187"/>
      <c r="LPG166" s="187"/>
      <c r="LPH166" s="187"/>
      <c r="LPI166" s="187"/>
      <c r="LPJ166" s="187"/>
      <c r="LPK166" s="187"/>
      <c r="LPL166" s="187"/>
      <c r="LPM166" s="187"/>
      <c r="LPN166" s="187"/>
      <c r="LPO166" s="187"/>
      <c r="LPP166" s="187"/>
      <c r="LPQ166" s="187"/>
      <c r="LPR166" s="187"/>
      <c r="LPS166" s="187"/>
      <c r="LPT166" s="187"/>
      <c r="LPU166" s="187"/>
      <c r="LPV166" s="187"/>
      <c r="LPW166" s="187"/>
      <c r="LPX166" s="187"/>
      <c r="LPY166" s="187"/>
      <c r="LPZ166" s="187"/>
      <c r="LQA166" s="187"/>
      <c r="LQB166" s="187"/>
      <c r="LQC166" s="187"/>
      <c r="LQD166" s="187"/>
      <c r="LQE166" s="187"/>
      <c r="LQF166" s="187"/>
      <c r="LQG166" s="187"/>
      <c r="LQH166" s="187"/>
      <c r="LQI166" s="187"/>
      <c r="LQJ166" s="187"/>
      <c r="LQK166" s="187"/>
      <c r="LQL166" s="187"/>
      <c r="LQM166" s="187"/>
      <c r="LQN166" s="187"/>
      <c r="LQO166" s="187"/>
      <c r="LQP166" s="187"/>
      <c r="LQQ166" s="187"/>
      <c r="LQR166" s="187"/>
      <c r="LQS166" s="187"/>
      <c r="LQT166" s="187"/>
      <c r="LQU166" s="187"/>
      <c r="LQV166" s="187"/>
      <c r="LQW166" s="187"/>
      <c r="LQX166" s="187"/>
      <c r="LQY166" s="187"/>
      <c r="LQZ166" s="187"/>
      <c r="LRA166" s="187"/>
      <c r="LRB166" s="187"/>
      <c r="LRC166" s="187"/>
      <c r="LRD166" s="187"/>
      <c r="LRE166" s="187"/>
      <c r="LRF166" s="187"/>
      <c r="LRG166" s="187"/>
      <c r="LRH166" s="187"/>
      <c r="LRI166" s="187"/>
      <c r="LRJ166" s="187"/>
      <c r="LRK166" s="187"/>
      <c r="LRL166" s="187"/>
      <c r="LRM166" s="187"/>
      <c r="LRN166" s="187"/>
      <c r="LRO166" s="187"/>
      <c r="LRP166" s="187"/>
      <c r="LRQ166" s="187"/>
      <c r="LRR166" s="187"/>
      <c r="LRS166" s="187"/>
      <c r="LRT166" s="187"/>
      <c r="LRU166" s="187"/>
      <c r="LRV166" s="187"/>
      <c r="LRW166" s="187"/>
      <c r="LRX166" s="187"/>
      <c r="LRY166" s="187"/>
      <c r="LRZ166" s="187"/>
      <c r="LSA166" s="187"/>
      <c r="LSB166" s="187"/>
      <c r="LSC166" s="187"/>
      <c r="LSD166" s="187"/>
      <c r="LSE166" s="187"/>
      <c r="LSF166" s="187"/>
      <c r="LSG166" s="187"/>
      <c r="LSH166" s="187"/>
      <c r="LSI166" s="187"/>
      <c r="LSJ166" s="187"/>
      <c r="LSK166" s="187"/>
      <c r="LSL166" s="187"/>
      <c r="LSM166" s="187"/>
      <c r="LSN166" s="187"/>
      <c r="LSO166" s="187"/>
      <c r="LSP166" s="187"/>
      <c r="LSQ166" s="187"/>
      <c r="LSR166" s="187"/>
      <c r="LSS166" s="187"/>
      <c r="LST166" s="187"/>
      <c r="LSU166" s="187"/>
      <c r="LSV166" s="187"/>
      <c r="LSW166" s="187"/>
      <c r="LSX166" s="187"/>
      <c r="LSY166" s="187"/>
      <c r="LSZ166" s="187"/>
      <c r="LTA166" s="187"/>
      <c r="LTB166" s="187"/>
      <c r="LTC166" s="187"/>
      <c r="LTD166" s="187"/>
      <c r="LTE166" s="187"/>
      <c r="LTF166" s="187"/>
      <c r="LTG166" s="187"/>
      <c r="LTH166" s="187"/>
      <c r="LTI166" s="187"/>
      <c r="LTJ166" s="187"/>
      <c r="LTK166" s="187"/>
      <c r="LTL166" s="187"/>
      <c r="LTM166" s="187"/>
      <c r="LTN166" s="187"/>
      <c r="LTO166" s="187"/>
      <c r="LTP166" s="187"/>
      <c r="LTQ166" s="187"/>
      <c r="LTR166" s="187"/>
      <c r="LTS166" s="187"/>
      <c r="LTT166" s="187"/>
      <c r="LTU166" s="187"/>
      <c r="LTV166" s="187"/>
      <c r="LTW166" s="187"/>
      <c r="LTX166" s="187"/>
      <c r="LTY166" s="187"/>
      <c r="LTZ166" s="187"/>
      <c r="LUA166" s="187"/>
      <c r="LUB166" s="187"/>
      <c r="LUC166" s="187"/>
      <c r="LUD166" s="187"/>
      <c r="LUE166" s="187"/>
      <c r="LUF166" s="187"/>
      <c r="LUG166" s="187"/>
      <c r="LUH166" s="187"/>
      <c r="LUI166" s="187"/>
      <c r="LUJ166" s="187"/>
      <c r="LUK166" s="187"/>
      <c r="LUL166" s="187"/>
      <c r="LUM166" s="187"/>
      <c r="LUN166" s="187"/>
      <c r="LUO166" s="187"/>
      <c r="LUP166" s="187"/>
      <c r="LUQ166" s="187"/>
      <c r="LUR166" s="187"/>
      <c r="LUS166" s="187"/>
      <c r="LUT166" s="187"/>
      <c r="LUU166" s="187"/>
      <c r="LUV166" s="187"/>
      <c r="LUW166" s="187"/>
      <c r="LUX166" s="187"/>
      <c r="LUY166" s="187"/>
      <c r="LUZ166" s="187"/>
      <c r="LVA166" s="187"/>
      <c r="LVB166" s="187"/>
      <c r="LVC166" s="187"/>
      <c r="LVD166" s="187"/>
      <c r="LVE166" s="187"/>
      <c r="LVF166" s="187"/>
      <c r="LVG166" s="187"/>
      <c r="LVH166" s="187"/>
      <c r="LVI166" s="187"/>
      <c r="LVJ166" s="187"/>
      <c r="LVK166" s="187"/>
      <c r="LVL166" s="187"/>
      <c r="LVM166" s="187"/>
      <c r="LVN166" s="187"/>
      <c r="LVO166" s="187"/>
      <c r="LVP166" s="187"/>
      <c r="LVQ166" s="187"/>
      <c r="LVR166" s="187"/>
      <c r="LVS166" s="187"/>
      <c r="LVT166" s="187"/>
      <c r="LVU166" s="187"/>
      <c r="LVV166" s="187"/>
      <c r="LVW166" s="187"/>
      <c r="LVX166" s="187"/>
      <c r="LVY166" s="187"/>
      <c r="LVZ166" s="187"/>
      <c r="LWA166" s="187"/>
      <c r="LWB166" s="187"/>
      <c r="LWC166" s="187"/>
      <c r="LWD166" s="187"/>
      <c r="LWE166" s="187"/>
      <c r="LWF166" s="187"/>
      <c r="LWG166" s="187"/>
      <c r="LWH166" s="187"/>
      <c r="LWI166" s="187"/>
      <c r="LWJ166" s="187"/>
      <c r="LWK166" s="187"/>
      <c r="LWL166" s="187"/>
      <c r="LWM166" s="187"/>
      <c r="LWN166" s="187"/>
      <c r="LWO166" s="187"/>
      <c r="LWP166" s="187"/>
      <c r="LWQ166" s="187"/>
      <c r="LWR166" s="187"/>
      <c r="LWS166" s="187"/>
      <c r="LWT166" s="187"/>
      <c r="LWU166" s="187"/>
      <c r="LWV166" s="187"/>
      <c r="LWW166" s="187"/>
      <c r="LWX166" s="187"/>
      <c r="LWY166" s="187"/>
      <c r="LWZ166" s="187"/>
      <c r="LXA166" s="187"/>
      <c r="LXB166" s="187"/>
      <c r="LXC166" s="187"/>
      <c r="LXD166" s="187"/>
      <c r="LXE166" s="187"/>
      <c r="LXF166" s="187"/>
      <c r="LXG166" s="187"/>
      <c r="LXH166" s="187"/>
      <c r="LXI166" s="187"/>
      <c r="LXJ166" s="187"/>
      <c r="LXK166" s="187"/>
      <c r="LXL166" s="187"/>
      <c r="LXM166" s="187"/>
      <c r="LXN166" s="187"/>
      <c r="LXO166" s="187"/>
      <c r="LXP166" s="187"/>
      <c r="LXQ166" s="187"/>
      <c r="LXR166" s="187"/>
      <c r="LXS166" s="187"/>
      <c r="LXT166" s="187"/>
      <c r="LXU166" s="187"/>
      <c r="LXV166" s="187"/>
      <c r="LXW166" s="187"/>
      <c r="LXX166" s="187"/>
      <c r="LXY166" s="187"/>
      <c r="LXZ166" s="187"/>
      <c r="LYA166" s="187"/>
      <c r="LYB166" s="187"/>
      <c r="LYC166" s="187"/>
      <c r="LYD166" s="187"/>
      <c r="LYE166" s="187"/>
      <c r="LYF166" s="187"/>
      <c r="LYG166" s="187"/>
      <c r="LYH166" s="187"/>
      <c r="LYI166" s="187"/>
      <c r="LYJ166" s="187"/>
      <c r="LYK166" s="187"/>
      <c r="LYL166" s="187"/>
      <c r="LYM166" s="187"/>
      <c r="LYN166" s="187"/>
      <c r="LYO166" s="187"/>
      <c r="LYP166" s="187"/>
      <c r="LYQ166" s="187"/>
      <c r="LYR166" s="187"/>
      <c r="LYS166" s="187"/>
      <c r="LYT166" s="187"/>
      <c r="LYU166" s="187"/>
      <c r="LYV166" s="187"/>
      <c r="LYW166" s="187"/>
      <c r="LYX166" s="187"/>
      <c r="LYY166" s="187"/>
      <c r="LYZ166" s="187"/>
      <c r="LZA166" s="187"/>
      <c r="LZB166" s="187"/>
      <c r="LZC166" s="187"/>
      <c r="LZD166" s="187"/>
      <c r="LZE166" s="187"/>
      <c r="LZF166" s="187"/>
      <c r="LZG166" s="187"/>
      <c r="LZH166" s="187"/>
      <c r="LZI166" s="187"/>
      <c r="LZJ166" s="187"/>
      <c r="LZK166" s="187"/>
      <c r="LZL166" s="187"/>
      <c r="LZM166" s="187"/>
      <c r="LZN166" s="187"/>
      <c r="LZO166" s="187"/>
      <c r="LZP166" s="187"/>
      <c r="LZQ166" s="187"/>
      <c r="LZR166" s="187"/>
      <c r="LZS166" s="187"/>
      <c r="LZT166" s="187"/>
      <c r="LZU166" s="187"/>
      <c r="LZV166" s="187"/>
      <c r="LZW166" s="187"/>
      <c r="LZX166" s="187"/>
      <c r="LZY166" s="187"/>
      <c r="LZZ166" s="187"/>
      <c r="MAA166" s="187"/>
      <c r="MAB166" s="187"/>
      <c r="MAC166" s="187"/>
      <c r="MAD166" s="187"/>
      <c r="MAE166" s="187"/>
      <c r="MAF166" s="187"/>
      <c r="MAG166" s="187"/>
      <c r="MAH166" s="187"/>
      <c r="MAI166" s="187"/>
      <c r="MAJ166" s="187"/>
      <c r="MAK166" s="187"/>
      <c r="MAL166" s="187"/>
      <c r="MAM166" s="187"/>
      <c r="MAN166" s="187"/>
      <c r="MAO166" s="187"/>
      <c r="MAP166" s="187"/>
      <c r="MAQ166" s="187"/>
      <c r="MAR166" s="187"/>
      <c r="MAS166" s="187"/>
      <c r="MAT166" s="187"/>
      <c r="MAU166" s="187"/>
      <c r="MAV166" s="187"/>
      <c r="MAW166" s="187"/>
      <c r="MAX166" s="187"/>
      <c r="MAY166" s="187"/>
      <c r="MAZ166" s="187"/>
      <c r="MBA166" s="187"/>
      <c r="MBB166" s="187"/>
      <c r="MBC166" s="187"/>
      <c r="MBD166" s="187"/>
      <c r="MBE166" s="187"/>
      <c r="MBF166" s="187"/>
      <c r="MBG166" s="187"/>
      <c r="MBH166" s="187"/>
      <c r="MBI166" s="187"/>
      <c r="MBJ166" s="187"/>
      <c r="MBK166" s="187"/>
      <c r="MBL166" s="187"/>
      <c r="MBM166" s="187"/>
      <c r="MBN166" s="187"/>
      <c r="MBO166" s="187"/>
      <c r="MBP166" s="187"/>
      <c r="MBQ166" s="187"/>
      <c r="MBR166" s="187"/>
      <c r="MBS166" s="187"/>
      <c r="MBT166" s="187"/>
      <c r="MBU166" s="187"/>
      <c r="MBV166" s="187"/>
      <c r="MBW166" s="187"/>
      <c r="MBX166" s="187"/>
      <c r="MBY166" s="187"/>
      <c r="MBZ166" s="187"/>
      <c r="MCA166" s="187"/>
      <c r="MCB166" s="187"/>
      <c r="MCC166" s="187"/>
      <c r="MCD166" s="187"/>
      <c r="MCE166" s="187"/>
      <c r="MCF166" s="187"/>
      <c r="MCG166" s="187"/>
      <c r="MCH166" s="187"/>
      <c r="MCI166" s="187"/>
      <c r="MCJ166" s="187"/>
      <c r="MCK166" s="187"/>
      <c r="MCL166" s="187"/>
      <c r="MCM166" s="187"/>
      <c r="MCN166" s="187"/>
      <c r="MCO166" s="187"/>
      <c r="MCP166" s="187"/>
      <c r="MCQ166" s="187"/>
      <c r="MCR166" s="187"/>
      <c r="MCS166" s="187"/>
      <c r="MCT166" s="187"/>
      <c r="MCU166" s="187"/>
      <c r="MCV166" s="187"/>
      <c r="MCW166" s="187"/>
      <c r="MCX166" s="187"/>
      <c r="MCY166" s="187"/>
      <c r="MCZ166" s="187"/>
      <c r="MDA166" s="187"/>
      <c r="MDB166" s="187"/>
      <c r="MDC166" s="187"/>
      <c r="MDD166" s="187"/>
      <c r="MDE166" s="187"/>
      <c r="MDF166" s="187"/>
      <c r="MDG166" s="187"/>
      <c r="MDH166" s="187"/>
      <c r="MDI166" s="187"/>
      <c r="MDJ166" s="187"/>
      <c r="MDK166" s="187"/>
      <c r="MDL166" s="187"/>
      <c r="MDM166" s="187"/>
      <c r="MDN166" s="187"/>
      <c r="MDO166" s="187"/>
      <c r="MDP166" s="187"/>
      <c r="MDQ166" s="187"/>
      <c r="MDR166" s="187"/>
      <c r="MDS166" s="187"/>
      <c r="MDT166" s="187"/>
      <c r="MDU166" s="187"/>
      <c r="MDV166" s="187"/>
      <c r="MDW166" s="187"/>
      <c r="MDX166" s="187"/>
      <c r="MDY166" s="187"/>
      <c r="MDZ166" s="187"/>
      <c r="MEA166" s="187"/>
      <c r="MEB166" s="187"/>
      <c r="MEC166" s="187"/>
      <c r="MED166" s="187"/>
      <c r="MEE166" s="187"/>
      <c r="MEF166" s="187"/>
      <c r="MEG166" s="187"/>
      <c r="MEH166" s="187"/>
      <c r="MEI166" s="187"/>
      <c r="MEJ166" s="187"/>
      <c r="MEK166" s="187"/>
      <c r="MEL166" s="187"/>
      <c r="MEM166" s="187"/>
      <c r="MEN166" s="187"/>
      <c r="MEO166" s="187"/>
      <c r="MEP166" s="187"/>
      <c r="MEQ166" s="187"/>
      <c r="MER166" s="187"/>
      <c r="MES166" s="187"/>
      <c r="MET166" s="187"/>
      <c r="MEU166" s="187"/>
      <c r="MEV166" s="187"/>
      <c r="MEW166" s="187"/>
      <c r="MEX166" s="187"/>
      <c r="MEY166" s="187"/>
      <c r="MEZ166" s="187"/>
      <c r="MFA166" s="187"/>
      <c r="MFB166" s="187"/>
      <c r="MFC166" s="187"/>
      <c r="MFD166" s="187"/>
      <c r="MFE166" s="187"/>
      <c r="MFF166" s="187"/>
      <c r="MFG166" s="187"/>
      <c r="MFH166" s="187"/>
      <c r="MFI166" s="187"/>
      <c r="MFJ166" s="187"/>
      <c r="MFK166" s="187"/>
      <c r="MFL166" s="187"/>
      <c r="MFM166" s="187"/>
      <c r="MFN166" s="187"/>
      <c r="MFO166" s="187"/>
      <c r="MFP166" s="187"/>
      <c r="MFQ166" s="187"/>
      <c r="MFR166" s="187"/>
      <c r="MFS166" s="187"/>
      <c r="MFT166" s="187"/>
      <c r="MFU166" s="187"/>
      <c r="MFV166" s="187"/>
      <c r="MFW166" s="187"/>
      <c r="MFX166" s="187"/>
      <c r="MFY166" s="187"/>
      <c r="MFZ166" s="187"/>
      <c r="MGA166" s="187"/>
      <c r="MGB166" s="187"/>
      <c r="MGC166" s="187"/>
      <c r="MGD166" s="187"/>
      <c r="MGE166" s="187"/>
      <c r="MGF166" s="187"/>
      <c r="MGG166" s="187"/>
      <c r="MGH166" s="187"/>
      <c r="MGI166" s="187"/>
      <c r="MGJ166" s="187"/>
      <c r="MGK166" s="187"/>
      <c r="MGL166" s="187"/>
      <c r="MGM166" s="187"/>
      <c r="MGN166" s="187"/>
      <c r="MGO166" s="187"/>
      <c r="MGP166" s="187"/>
      <c r="MGQ166" s="187"/>
      <c r="MGR166" s="187"/>
      <c r="MGS166" s="187"/>
      <c r="MGT166" s="187"/>
      <c r="MGU166" s="187"/>
      <c r="MGV166" s="187"/>
      <c r="MGW166" s="187"/>
      <c r="MGX166" s="187"/>
      <c r="MGY166" s="187"/>
      <c r="MGZ166" s="187"/>
      <c r="MHA166" s="187"/>
      <c r="MHB166" s="187"/>
      <c r="MHC166" s="187"/>
      <c r="MHD166" s="187"/>
      <c r="MHE166" s="187"/>
      <c r="MHF166" s="187"/>
      <c r="MHG166" s="187"/>
      <c r="MHH166" s="187"/>
      <c r="MHI166" s="187"/>
      <c r="MHJ166" s="187"/>
      <c r="MHK166" s="187"/>
      <c r="MHL166" s="187"/>
      <c r="MHM166" s="187"/>
      <c r="MHN166" s="187"/>
      <c r="MHO166" s="187"/>
      <c r="MHP166" s="187"/>
      <c r="MHQ166" s="187"/>
      <c r="MHR166" s="187"/>
      <c r="MHS166" s="187"/>
      <c r="MHT166" s="187"/>
      <c r="MHU166" s="187"/>
      <c r="MHV166" s="187"/>
      <c r="MHW166" s="187"/>
      <c r="MHX166" s="187"/>
      <c r="MHY166" s="187"/>
      <c r="MHZ166" s="187"/>
      <c r="MIA166" s="187"/>
      <c r="MIB166" s="187"/>
      <c r="MIC166" s="187"/>
      <c r="MID166" s="187"/>
      <c r="MIE166" s="187"/>
      <c r="MIF166" s="187"/>
      <c r="MIG166" s="187"/>
      <c r="MIH166" s="187"/>
      <c r="MII166" s="187"/>
      <c r="MIJ166" s="187"/>
      <c r="MIK166" s="187"/>
      <c r="MIL166" s="187"/>
      <c r="MIM166" s="187"/>
      <c r="MIN166" s="187"/>
      <c r="MIO166" s="187"/>
      <c r="MIP166" s="187"/>
      <c r="MIQ166" s="187"/>
      <c r="MIR166" s="187"/>
      <c r="MIS166" s="187"/>
      <c r="MIT166" s="187"/>
      <c r="MIU166" s="187"/>
      <c r="MIV166" s="187"/>
      <c r="MIW166" s="187"/>
      <c r="MIX166" s="187"/>
      <c r="MIY166" s="187"/>
      <c r="MIZ166" s="187"/>
      <c r="MJA166" s="187"/>
      <c r="MJB166" s="187"/>
      <c r="MJC166" s="187"/>
      <c r="MJD166" s="187"/>
      <c r="MJE166" s="187"/>
      <c r="MJF166" s="187"/>
      <c r="MJG166" s="187"/>
      <c r="MJH166" s="187"/>
      <c r="MJI166" s="187"/>
      <c r="MJJ166" s="187"/>
      <c r="MJK166" s="187"/>
      <c r="MJL166" s="187"/>
      <c r="MJM166" s="187"/>
      <c r="MJN166" s="187"/>
      <c r="MJO166" s="187"/>
      <c r="MJP166" s="187"/>
      <c r="MJQ166" s="187"/>
      <c r="MJR166" s="187"/>
      <c r="MJS166" s="187"/>
      <c r="MJT166" s="187"/>
      <c r="MJU166" s="187"/>
      <c r="MJV166" s="187"/>
      <c r="MJW166" s="187"/>
      <c r="MJX166" s="187"/>
      <c r="MJY166" s="187"/>
      <c r="MJZ166" s="187"/>
      <c r="MKA166" s="187"/>
      <c r="MKB166" s="187"/>
      <c r="MKC166" s="187"/>
      <c r="MKD166" s="187"/>
      <c r="MKE166" s="187"/>
      <c r="MKF166" s="187"/>
      <c r="MKG166" s="187"/>
      <c r="MKH166" s="187"/>
      <c r="MKI166" s="187"/>
      <c r="MKJ166" s="187"/>
      <c r="MKK166" s="187"/>
      <c r="MKL166" s="187"/>
      <c r="MKM166" s="187"/>
      <c r="MKN166" s="187"/>
      <c r="MKO166" s="187"/>
      <c r="MKP166" s="187"/>
      <c r="MKQ166" s="187"/>
      <c r="MKR166" s="187"/>
      <c r="MKS166" s="187"/>
      <c r="MKT166" s="187"/>
      <c r="MKU166" s="187"/>
      <c r="MKV166" s="187"/>
      <c r="MKW166" s="187"/>
      <c r="MKX166" s="187"/>
      <c r="MKY166" s="187"/>
      <c r="MKZ166" s="187"/>
      <c r="MLA166" s="187"/>
      <c r="MLB166" s="187"/>
      <c r="MLC166" s="187"/>
      <c r="MLD166" s="187"/>
      <c r="MLE166" s="187"/>
      <c r="MLF166" s="187"/>
      <c r="MLG166" s="187"/>
      <c r="MLH166" s="187"/>
      <c r="MLI166" s="187"/>
      <c r="MLJ166" s="187"/>
      <c r="MLK166" s="187"/>
      <c r="MLL166" s="187"/>
      <c r="MLM166" s="187"/>
      <c r="MLN166" s="187"/>
      <c r="MLO166" s="187"/>
      <c r="MLP166" s="187"/>
      <c r="MLQ166" s="187"/>
      <c r="MLR166" s="187"/>
      <c r="MLS166" s="187"/>
      <c r="MLT166" s="187"/>
      <c r="MLU166" s="187"/>
      <c r="MLV166" s="187"/>
      <c r="MLW166" s="187"/>
      <c r="MLX166" s="187"/>
      <c r="MLY166" s="187"/>
      <c r="MLZ166" s="187"/>
      <c r="MMA166" s="187"/>
      <c r="MMB166" s="187"/>
      <c r="MMC166" s="187"/>
      <c r="MMD166" s="187"/>
      <c r="MME166" s="187"/>
      <c r="MMF166" s="187"/>
      <c r="MMG166" s="187"/>
      <c r="MMH166" s="187"/>
      <c r="MMI166" s="187"/>
      <c r="MMJ166" s="187"/>
      <c r="MMK166" s="187"/>
      <c r="MML166" s="187"/>
      <c r="MMM166" s="187"/>
      <c r="MMN166" s="187"/>
      <c r="MMO166" s="187"/>
      <c r="MMP166" s="187"/>
      <c r="MMQ166" s="187"/>
      <c r="MMR166" s="187"/>
      <c r="MMS166" s="187"/>
      <c r="MMT166" s="187"/>
      <c r="MMU166" s="187"/>
      <c r="MMV166" s="187"/>
      <c r="MMW166" s="187"/>
      <c r="MMX166" s="187"/>
      <c r="MMY166" s="187"/>
      <c r="MMZ166" s="187"/>
      <c r="MNA166" s="187"/>
      <c r="MNB166" s="187"/>
      <c r="MNC166" s="187"/>
      <c r="MND166" s="187"/>
      <c r="MNE166" s="187"/>
      <c r="MNF166" s="187"/>
      <c r="MNG166" s="187"/>
      <c r="MNH166" s="187"/>
      <c r="MNI166" s="187"/>
      <c r="MNJ166" s="187"/>
      <c r="MNK166" s="187"/>
      <c r="MNL166" s="187"/>
      <c r="MNM166" s="187"/>
      <c r="MNN166" s="187"/>
      <c r="MNO166" s="187"/>
      <c r="MNP166" s="187"/>
      <c r="MNQ166" s="187"/>
      <c r="MNR166" s="187"/>
      <c r="MNS166" s="187"/>
      <c r="MNT166" s="187"/>
      <c r="MNU166" s="187"/>
      <c r="MNV166" s="187"/>
      <c r="MNW166" s="187"/>
      <c r="MNX166" s="187"/>
      <c r="MNY166" s="187"/>
      <c r="MNZ166" s="187"/>
      <c r="MOA166" s="187"/>
      <c r="MOB166" s="187"/>
      <c r="MOC166" s="187"/>
      <c r="MOD166" s="187"/>
      <c r="MOE166" s="187"/>
      <c r="MOF166" s="187"/>
      <c r="MOG166" s="187"/>
      <c r="MOH166" s="187"/>
      <c r="MOI166" s="187"/>
      <c r="MOJ166" s="187"/>
      <c r="MOK166" s="187"/>
      <c r="MOL166" s="187"/>
      <c r="MOM166" s="187"/>
      <c r="MON166" s="187"/>
      <c r="MOO166" s="187"/>
      <c r="MOP166" s="187"/>
      <c r="MOQ166" s="187"/>
      <c r="MOR166" s="187"/>
      <c r="MOS166" s="187"/>
      <c r="MOT166" s="187"/>
      <c r="MOU166" s="187"/>
      <c r="MOV166" s="187"/>
      <c r="MOW166" s="187"/>
      <c r="MOX166" s="187"/>
      <c r="MOY166" s="187"/>
      <c r="MOZ166" s="187"/>
      <c r="MPA166" s="187"/>
      <c r="MPB166" s="187"/>
      <c r="MPC166" s="187"/>
      <c r="MPD166" s="187"/>
      <c r="MPE166" s="187"/>
      <c r="MPF166" s="187"/>
      <c r="MPG166" s="187"/>
      <c r="MPH166" s="187"/>
      <c r="MPI166" s="187"/>
      <c r="MPJ166" s="187"/>
      <c r="MPK166" s="187"/>
      <c r="MPL166" s="187"/>
      <c r="MPM166" s="187"/>
      <c r="MPN166" s="187"/>
      <c r="MPO166" s="187"/>
      <c r="MPP166" s="187"/>
      <c r="MPQ166" s="187"/>
      <c r="MPR166" s="187"/>
      <c r="MPS166" s="187"/>
      <c r="MPT166" s="187"/>
      <c r="MPU166" s="187"/>
      <c r="MPV166" s="187"/>
      <c r="MPW166" s="187"/>
      <c r="MPX166" s="187"/>
      <c r="MPY166" s="187"/>
      <c r="MPZ166" s="187"/>
      <c r="MQA166" s="187"/>
      <c r="MQB166" s="187"/>
      <c r="MQC166" s="187"/>
      <c r="MQD166" s="187"/>
      <c r="MQE166" s="187"/>
      <c r="MQF166" s="187"/>
      <c r="MQG166" s="187"/>
      <c r="MQH166" s="187"/>
      <c r="MQI166" s="187"/>
      <c r="MQJ166" s="187"/>
      <c r="MQK166" s="187"/>
      <c r="MQL166" s="187"/>
      <c r="MQM166" s="187"/>
      <c r="MQN166" s="187"/>
      <c r="MQO166" s="187"/>
      <c r="MQP166" s="187"/>
      <c r="MQQ166" s="187"/>
      <c r="MQR166" s="187"/>
      <c r="MQS166" s="187"/>
      <c r="MQT166" s="187"/>
      <c r="MQU166" s="187"/>
      <c r="MQV166" s="187"/>
      <c r="MQW166" s="187"/>
      <c r="MQX166" s="187"/>
      <c r="MQY166" s="187"/>
      <c r="MQZ166" s="187"/>
      <c r="MRA166" s="187"/>
      <c r="MRB166" s="187"/>
      <c r="MRC166" s="187"/>
      <c r="MRD166" s="187"/>
      <c r="MRE166" s="187"/>
      <c r="MRF166" s="187"/>
      <c r="MRG166" s="187"/>
      <c r="MRH166" s="187"/>
      <c r="MRI166" s="187"/>
      <c r="MRJ166" s="187"/>
      <c r="MRK166" s="187"/>
      <c r="MRL166" s="187"/>
      <c r="MRM166" s="187"/>
      <c r="MRN166" s="187"/>
      <c r="MRO166" s="187"/>
      <c r="MRP166" s="187"/>
      <c r="MRQ166" s="187"/>
      <c r="MRR166" s="187"/>
      <c r="MRS166" s="187"/>
      <c r="MRT166" s="187"/>
      <c r="MRU166" s="187"/>
      <c r="MRV166" s="187"/>
      <c r="MRW166" s="187"/>
      <c r="MRX166" s="187"/>
      <c r="MRY166" s="187"/>
      <c r="MRZ166" s="187"/>
      <c r="MSA166" s="187"/>
      <c r="MSB166" s="187"/>
      <c r="MSC166" s="187"/>
      <c r="MSD166" s="187"/>
      <c r="MSE166" s="187"/>
      <c r="MSF166" s="187"/>
      <c r="MSG166" s="187"/>
      <c r="MSH166" s="187"/>
      <c r="MSI166" s="187"/>
      <c r="MSJ166" s="187"/>
      <c r="MSK166" s="187"/>
      <c r="MSL166" s="187"/>
      <c r="MSM166" s="187"/>
      <c r="MSN166" s="187"/>
      <c r="MSO166" s="187"/>
      <c r="MSP166" s="187"/>
      <c r="MSQ166" s="187"/>
      <c r="MSR166" s="187"/>
      <c r="MSS166" s="187"/>
      <c r="MST166" s="187"/>
      <c r="MSU166" s="187"/>
      <c r="MSV166" s="187"/>
      <c r="MSW166" s="187"/>
      <c r="MSX166" s="187"/>
      <c r="MSY166" s="187"/>
      <c r="MSZ166" s="187"/>
      <c r="MTA166" s="187"/>
      <c r="MTB166" s="187"/>
      <c r="MTC166" s="187"/>
      <c r="MTD166" s="187"/>
      <c r="MTE166" s="187"/>
      <c r="MTF166" s="187"/>
      <c r="MTG166" s="187"/>
      <c r="MTH166" s="187"/>
      <c r="MTI166" s="187"/>
      <c r="MTJ166" s="187"/>
      <c r="MTK166" s="187"/>
      <c r="MTL166" s="187"/>
      <c r="MTM166" s="187"/>
      <c r="MTN166" s="187"/>
      <c r="MTO166" s="187"/>
      <c r="MTP166" s="187"/>
      <c r="MTQ166" s="187"/>
      <c r="MTR166" s="187"/>
      <c r="MTS166" s="187"/>
      <c r="MTT166" s="187"/>
      <c r="MTU166" s="187"/>
      <c r="MTV166" s="187"/>
      <c r="MTW166" s="187"/>
      <c r="MTX166" s="187"/>
      <c r="MTY166" s="187"/>
      <c r="MTZ166" s="187"/>
      <c r="MUA166" s="187"/>
      <c r="MUB166" s="187"/>
      <c r="MUC166" s="187"/>
      <c r="MUD166" s="187"/>
      <c r="MUE166" s="187"/>
      <c r="MUF166" s="187"/>
      <c r="MUG166" s="187"/>
      <c r="MUH166" s="187"/>
      <c r="MUI166" s="187"/>
      <c r="MUJ166" s="187"/>
      <c r="MUK166" s="187"/>
      <c r="MUL166" s="187"/>
      <c r="MUM166" s="187"/>
      <c r="MUN166" s="187"/>
      <c r="MUO166" s="187"/>
      <c r="MUP166" s="187"/>
      <c r="MUQ166" s="187"/>
      <c r="MUR166" s="187"/>
      <c r="MUS166" s="187"/>
      <c r="MUT166" s="187"/>
      <c r="MUU166" s="187"/>
      <c r="MUV166" s="187"/>
      <c r="MUW166" s="187"/>
      <c r="MUX166" s="187"/>
      <c r="MUY166" s="187"/>
      <c r="MUZ166" s="187"/>
      <c r="MVA166" s="187"/>
      <c r="MVB166" s="187"/>
      <c r="MVC166" s="187"/>
      <c r="MVD166" s="187"/>
      <c r="MVE166" s="187"/>
      <c r="MVF166" s="187"/>
      <c r="MVG166" s="187"/>
      <c r="MVH166" s="187"/>
      <c r="MVI166" s="187"/>
      <c r="MVJ166" s="187"/>
      <c r="MVK166" s="187"/>
      <c r="MVL166" s="187"/>
      <c r="MVM166" s="187"/>
      <c r="MVN166" s="187"/>
      <c r="MVO166" s="187"/>
      <c r="MVP166" s="187"/>
      <c r="MVQ166" s="187"/>
      <c r="MVR166" s="187"/>
      <c r="MVS166" s="187"/>
      <c r="MVT166" s="187"/>
      <c r="MVU166" s="187"/>
      <c r="MVV166" s="187"/>
      <c r="MVW166" s="187"/>
      <c r="MVX166" s="187"/>
      <c r="MVY166" s="187"/>
      <c r="MVZ166" s="187"/>
      <c r="MWA166" s="187"/>
      <c r="MWB166" s="187"/>
      <c r="MWC166" s="187"/>
      <c r="MWD166" s="187"/>
      <c r="MWE166" s="187"/>
      <c r="MWF166" s="187"/>
      <c r="MWG166" s="187"/>
      <c r="MWH166" s="187"/>
      <c r="MWI166" s="187"/>
      <c r="MWJ166" s="187"/>
      <c r="MWK166" s="187"/>
      <c r="MWL166" s="187"/>
      <c r="MWM166" s="187"/>
      <c r="MWN166" s="187"/>
      <c r="MWO166" s="187"/>
      <c r="MWP166" s="187"/>
      <c r="MWQ166" s="187"/>
      <c r="MWR166" s="187"/>
      <c r="MWS166" s="187"/>
      <c r="MWT166" s="187"/>
      <c r="MWU166" s="187"/>
      <c r="MWV166" s="187"/>
      <c r="MWW166" s="187"/>
      <c r="MWX166" s="187"/>
      <c r="MWY166" s="187"/>
      <c r="MWZ166" s="187"/>
      <c r="MXA166" s="187"/>
      <c r="MXB166" s="187"/>
      <c r="MXC166" s="187"/>
      <c r="MXD166" s="187"/>
      <c r="MXE166" s="187"/>
      <c r="MXF166" s="187"/>
      <c r="MXG166" s="187"/>
      <c r="MXH166" s="187"/>
      <c r="MXI166" s="187"/>
      <c r="MXJ166" s="187"/>
      <c r="MXK166" s="187"/>
      <c r="MXL166" s="187"/>
      <c r="MXM166" s="187"/>
      <c r="MXN166" s="187"/>
      <c r="MXO166" s="187"/>
      <c r="MXP166" s="187"/>
      <c r="MXQ166" s="187"/>
      <c r="MXR166" s="187"/>
      <c r="MXS166" s="187"/>
      <c r="MXT166" s="187"/>
      <c r="MXU166" s="187"/>
      <c r="MXV166" s="187"/>
      <c r="MXW166" s="187"/>
      <c r="MXX166" s="187"/>
      <c r="MXY166" s="187"/>
      <c r="MXZ166" s="187"/>
      <c r="MYA166" s="187"/>
      <c r="MYB166" s="187"/>
      <c r="MYC166" s="187"/>
      <c r="MYD166" s="187"/>
      <c r="MYE166" s="187"/>
      <c r="MYF166" s="187"/>
      <c r="MYG166" s="187"/>
      <c r="MYH166" s="187"/>
      <c r="MYI166" s="187"/>
      <c r="MYJ166" s="187"/>
      <c r="MYK166" s="187"/>
      <c r="MYL166" s="187"/>
      <c r="MYM166" s="187"/>
      <c r="MYN166" s="187"/>
      <c r="MYO166" s="187"/>
      <c r="MYP166" s="187"/>
      <c r="MYQ166" s="187"/>
      <c r="MYR166" s="187"/>
      <c r="MYS166" s="187"/>
      <c r="MYT166" s="187"/>
      <c r="MYU166" s="187"/>
      <c r="MYV166" s="187"/>
      <c r="MYW166" s="187"/>
      <c r="MYX166" s="187"/>
      <c r="MYY166" s="187"/>
      <c r="MYZ166" s="187"/>
      <c r="MZA166" s="187"/>
      <c r="MZB166" s="187"/>
      <c r="MZC166" s="187"/>
      <c r="MZD166" s="187"/>
      <c r="MZE166" s="187"/>
      <c r="MZF166" s="187"/>
      <c r="MZG166" s="187"/>
      <c r="MZH166" s="187"/>
      <c r="MZI166" s="187"/>
      <c r="MZJ166" s="187"/>
      <c r="MZK166" s="187"/>
      <c r="MZL166" s="187"/>
      <c r="MZM166" s="187"/>
      <c r="MZN166" s="187"/>
      <c r="MZO166" s="187"/>
      <c r="MZP166" s="187"/>
      <c r="MZQ166" s="187"/>
      <c r="MZR166" s="187"/>
      <c r="MZS166" s="187"/>
      <c r="MZT166" s="187"/>
      <c r="MZU166" s="187"/>
      <c r="MZV166" s="187"/>
      <c r="MZW166" s="187"/>
      <c r="MZX166" s="187"/>
      <c r="MZY166" s="187"/>
      <c r="MZZ166" s="187"/>
      <c r="NAA166" s="187"/>
      <c r="NAB166" s="187"/>
      <c r="NAC166" s="187"/>
      <c r="NAD166" s="187"/>
      <c r="NAE166" s="187"/>
      <c r="NAF166" s="187"/>
      <c r="NAG166" s="187"/>
      <c r="NAH166" s="187"/>
      <c r="NAI166" s="187"/>
      <c r="NAJ166" s="187"/>
      <c r="NAK166" s="187"/>
      <c r="NAL166" s="187"/>
      <c r="NAM166" s="187"/>
      <c r="NAN166" s="187"/>
      <c r="NAO166" s="187"/>
      <c r="NAP166" s="187"/>
      <c r="NAQ166" s="187"/>
      <c r="NAR166" s="187"/>
      <c r="NAS166" s="187"/>
      <c r="NAT166" s="187"/>
      <c r="NAU166" s="187"/>
      <c r="NAV166" s="187"/>
      <c r="NAW166" s="187"/>
      <c r="NAX166" s="187"/>
      <c r="NAY166" s="187"/>
      <c r="NAZ166" s="187"/>
      <c r="NBA166" s="187"/>
      <c r="NBB166" s="187"/>
      <c r="NBC166" s="187"/>
      <c r="NBD166" s="187"/>
      <c r="NBE166" s="187"/>
      <c r="NBF166" s="187"/>
      <c r="NBG166" s="187"/>
      <c r="NBH166" s="187"/>
      <c r="NBI166" s="187"/>
      <c r="NBJ166" s="187"/>
      <c r="NBK166" s="187"/>
      <c r="NBL166" s="187"/>
      <c r="NBM166" s="187"/>
      <c r="NBN166" s="187"/>
      <c r="NBO166" s="187"/>
      <c r="NBP166" s="187"/>
      <c r="NBQ166" s="187"/>
      <c r="NBR166" s="187"/>
      <c r="NBS166" s="187"/>
      <c r="NBT166" s="187"/>
      <c r="NBU166" s="187"/>
      <c r="NBV166" s="187"/>
      <c r="NBW166" s="187"/>
      <c r="NBX166" s="187"/>
      <c r="NBY166" s="187"/>
      <c r="NBZ166" s="187"/>
      <c r="NCA166" s="187"/>
      <c r="NCB166" s="187"/>
      <c r="NCC166" s="187"/>
      <c r="NCD166" s="187"/>
      <c r="NCE166" s="187"/>
      <c r="NCF166" s="187"/>
      <c r="NCG166" s="187"/>
      <c r="NCH166" s="187"/>
      <c r="NCI166" s="187"/>
      <c r="NCJ166" s="187"/>
      <c r="NCK166" s="187"/>
      <c r="NCL166" s="187"/>
      <c r="NCM166" s="187"/>
      <c r="NCN166" s="187"/>
      <c r="NCO166" s="187"/>
      <c r="NCP166" s="187"/>
      <c r="NCQ166" s="187"/>
      <c r="NCR166" s="187"/>
      <c r="NCS166" s="187"/>
      <c r="NCT166" s="187"/>
      <c r="NCU166" s="187"/>
      <c r="NCV166" s="187"/>
      <c r="NCW166" s="187"/>
      <c r="NCX166" s="187"/>
      <c r="NCY166" s="187"/>
      <c r="NCZ166" s="187"/>
      <c r="NDA166" s="187"/>
      <c r="NDB166" s="187"/>
      <c r="NDC166" s="187"/>
      <c r="NDD166" s="187"/>
      <c r="NDE166" s="187"/>
      <c r="NDF166" s="187"/>
      <c r="NDG166" s="187"/>
      <c r="NDH166" s="187"/>
      <c r="NDI166" s="187"/>
      <c r="NDJ166" s="187"/>
      <c r="NDK166" s="187"/>
      <c r="NDL166" s="187"/>
      <c r="NDM166" s="187"/>
      <c r="NDN166" s="187"/>
      <c r="NDO166" s="187"/>
      <c r="NDP166" s="187"/>
      <c r="NDQ166" s="187"/>
      <c r="NDR166" s="187"/>
      <c r="NDS166" s="187"/>
      <c r="NDT166" s="187"/>
      <c r="NDU166" s="187"/>
      <c r="NDV166" s="187"/>
      <c r="NDW166" s="187"/>
      <c r="NDX166" s="187"/>
      <c r="NDY166" s="187"/>
      <c r="NDZ166" s="187"/>
      <c r="NEA166" s="187"/>
      <c r="NEB166" s="187"/>
      <c r="NEC166" s="187"/>
      <c r="NED166" s="187"/>
      <c r="NEE166" s="187"/>
      <c r="NEF166" s="187"/>
      <c r="NEG166" s="187"/>
      <c r="NEH166" s="187"/>
      <c r="NEI166" s="187"/>
      <c r="NEJ166" s="187"/>
      <c r="NEK166" s="187"/>
      <c r="NEL166" s="187"/>
      <c r="NEM166" s="187"/>
      <c r="NEN166" s="187"/>
      <c r="NEO166" s="187"/>
      <c r="NEP166" s="187"/>
      <c r="NEQ166" s="187"/>
      <c r="NER166" s="187"/>
      <c r="NES166" s="187"/>
      <c r="NET166" s="187"/>
      <c r="NEU166" s="187"/>
      <c r="NEV166" s="187"/>
      <c r="NEW166" s="187"/>
      <c r="NEX166" s="187"/>
      <c r="NEY166" s="187"/>
      <c r="NEZ166" s="187"/>
      <c r="NFA166" s="187"/>
      <c r="NFB166" s="187"/>
      <c r="NFC166" s="187"/>
      <c r="NFD166" s="187"/>
      <c r="NFE166" s="187"/>
      <c r="NFF166" s="187"/>
      <c r="NFG166" s="187"/>
      <c r="NFH166" s="187"/>
      <c r="NFI166" s="187"/>
      <c r="NFJ166" s="187"/>
      <c r="NFK166" s="187"/>
      <c r="NFL166" s="187"/>
      <c r="NFM166" s="187"/>
      <c r="NFN166" s="187"/>
      <c r="NFO166" s="187"/>
      <c r="NFP166" s="187"/>
      <c r="NFQ166" s="187"/>
      <c r="NFR166" s="187"/>
      <c r="NFS166" s="187"/>
      <c r="NFT166" s="187"/>
      <c r="NFU166" s="187"/>
      <c r="NFV166" s="187"/>
      <c r="NFW166" s="187"/>
      <c r="NFX166" s="187"/>
      <c r="NFY166" s="187"/>
      <c r="NFZ166" s="187"/>
      <c r="NGA166" s="187"/>
      <c r="NGB166" s="187"/>
      <c r="NGC166" s="187"/>
      <c r="NGD166" s="187"/>
      <c r="NGE166" s="187"/>
      <c r="NGF166" s="187"/>
      <c r="NGG166" s="187"/>
      <c r="NGH166" s="187"/>
      <c r="NGI166" s="187"/>
      <c r="NGJ166" s="187"/>
      <c r="NGK166" s="187"/>
      <c r="NGL166" s="187"/>
      <c r="NGM166" s="187"/>
      <c r="NGN166" s="187"/>
      <c r="NGO166" s="187"/>
      <c r="NGP166" s="187"/>
      <c r="NGQ166" s="187"/>
      <c r="NGR166" s="187"/>
      <c r="NGS166" s="187"/>
      <c r="NGT166" s="187"/>
      <c r="NGU166" s="187"/>
      <c r="NGV166" s="187"/>
      <c r="NGW166" s="187"/>
      <c r="NGX166" s="187"/>
      <c r="NGY166" s="187"/>
      <c r="NGZ166" s="187"/>
      <c r="NHA166" s="187"/>
      <c r="NHB166" s="187"/>
      <c r="NHC166" s="187"/>
      <c r="NHD166" s="187"/>
      <c r="NHE166" s="187"/>
      <c r="NHF166" s="187"/>
      <c r="NHG166" s="187"/>
      <c r="NHH166" s="187"/>
      <c r="NHI166" s="187"/>
      <c r="NHJ166" s="187"/>
      <c r="NHK166" s="187"/>
      <c r="NHL166" s="187"/>
      <c r="NHM166" s="187"/>
      <c r="NHN166" s="187"/>
      <c r="NHO166" s="187"/>
      <c r="NHP166" s="187"/>
      <c r="NHQ166" s="187"/>
      <c r="NHR166" s="187"/>
      <c r="NHS166" s="187"/>
      <c r="NHT166" s="187"/>
      <c r="NHU166" s="187"/>
      <c r="NHV166" s="187"/>
      <c r="NHW166" s="187"/>
      <c r="NHX166" s="187"/>
      <c r="NHY166" s="187"/>
      <c r="NHZ166" s="187"/>
      <c r="NIA166" s="187"/>
      <c r="NIB166" s="187"/>
      <c r="NIC166" s="187"/>
      <c r="NID166" s="187"/>
      <c r="NIE166" s="187"/>
      <c r="NIF166" s="187"/>
      <c r="NIG166" s="187"/>
      <c r="NIH166" s="187"/>
      <c r="NII166" s="187"/>
      <c r="NIJ166" s="187"/>
      <c r="NIK166" s="187"/>
      <c r="NIL166" s="187"/>
      <c r="NIM166" s="187"/>
      <c r="NIN166" s="187"/>
      <c r="NIO166" s="187"/>
      <c r="NIP166" s="187"/>
      <c r="NIQ166" s="187"/>
      <c r="NIR166" s="187"/>
      <c r="NIS166" s="187"/>
      <c r="NIT166" s="187"/>
      <c r="NIU166" s="187"/>
      <c r="NIV166" s="187"/>
      <c r="NIW166" s="187"/>
      <c r="NIX166" s="187"/>
      <c r="NIY166" s="187"/>
      <c r="NIZ166" s="187"/>
      <c r="NJA166" s="187"/>
      <c r="NJB166" s="187"/>
      <c r="NJC166" s="187"/>
      <c r="NJD166" s="187"/>
      <c r="NJE166" s="187"/>
      <c r="NJF166" s="187"/>
      <c r="NJG166" s="187"/>
      <c r="NJH166" s="187"/>
      <c r="NJI166" s="187"/>
      <c r="NJJ166" s="187"/>
      <c r="NJK166" s="187"/>
      <c r="NJL166" s="187"/>
      <c r="NJM166" s="187"/>
      <c r="NJN166" s="187"/>
      <c r="NJO166" s="187"/>
      <c r="NJP166" s="187"/>
      <c r="NJQ166" s="187"/>
      <c r="NJR166" s="187"/>
      <c r="NJS166" s="187"/>
      <c r="NJT166" s="187"/>
      <c r="NJU166" s="187"/>
      <c r="NJV166" s="187"/>
      <c r="NJW166" s="187"/>
      <c r="NJX166" s="187"/>
      <c r="NJY166" s="187"/>
      <c r="NJZ166" s="187"/>
      <c r="NKA166" s="187"/>
      <c r="NKB166" s="187"/>
      <c r="NKC166" s="187"/>
      <c r="NKD166" s="187"/>
      <c r="NKE166" s="187"/>
      <c r="NKF166" s="187"/>
      <c r="NKG166" s="187"/>
      <c r="NKH166" s="187"/>
      <c r="NKI166" s="187"/>
      <c r="NKJ166" s="187"/>
      <c r="NKK166" s="187"/>
      <c r="NKL166" s="187"/>
      <c r="NKM166" s="187"/>
      <c r="NKN166" s="187"/>
      <c r="NKO166" s="187"/>
      <c r="NKP166" s="187"/>
      <c r="NKQ166" s="187"/>
      <c r="NKR166" s="187"/>
      <c r="NKS166" s="187"/>
      <c r="NKT166" s="187"/>
      <c r="NKU166" s="187"/>
      <c r="NKV166" s="187"/>
      <c r="NKW166" s="187"/>
      <c r="NKX166" s="187"/>
      <c r="NKY166" s="187"/>
      <c r="NKZ166" s="187"/>
      <c r="NLA166" s="187"/>
      <c r="NLB166" s="187"/>
      <c r="NLC166" s="187"/>
      <c r="NLD166" s="187"/>
      <c r="NLE166" s="187"/>
      <c r="NLF166" s="187"/>
      <c r="NLG166" s="187"/>
      <c r="NLH166" s="187"/>
      <c r="NLI166" s="187"/>
      <c r="NLJ166" s="187"/>
      <c r="NLK166" s="187"/>
      <c r="NLL166" s="187"/>
      <c r="NLM166" s="187"/>
      <c r="NLN166" s="187"/>
      <c r="NLO166" s="187"/>
      <c r="NLP166" s="187"/>
      <c r="NLQ166" s="187"/>
      <c r="NLR166" s="187"/>
      <c r="NLS166" s="187"/>
      <c r="NLT166" s="187"/>
      <c r="NLU166" s="187"/>
      <c r="NLV166" s="187"/>
      <c r="NLW166" s="187"/>
      <c r="NLX166" s="187"/>
      <c r="NLY166" s="187"/>
      <c r="NLZ166" s="187"/>
      <c r="NMA166" s="187"/>
      <c r="NMB166" s="187"/>
      <c r="NMC166" s="187"/>
      <c r="NMD166" s="187"/>
      <c r="NME166" s="187"/>
      <c r="NMF166" s="187"/>
      <c r="NMG166" s="187"/>
      <c r="NMH166" s="187"/>
      <c r="NMI166" s="187"/>
      <c r="NMJ166" s="187"/>
      <c r="NMK166" s="187"/>
      <c r="NML166" s="187"/>
      <c r="NMM166" s="187"/>
      <c r="NMN166" s="187"/>
      <c r="NMO166" s="187"/>
      <c r="NMP166" s="187"/>
      <c r="NMQ166" s="187"/>
      <c r="NMR166" s="187"/>
      <c r="NMS166" s="187"/>
      <c r="NMT166" s="187"/>
      <c r="NMU166" s="187"/>
      <c r="NMV166" s="187"/>
      <c r="NMW166" s="187"/>
      <c r="NMX166" s="187"/>
      <c r="NMY166" s="187"/>
      <c r="NMZ166" s="187"/>
      <c r="NNA166" s="187"/>
      <c r="NNB166" s="187"/>
      <c r="NNC166" s="187"/>
      <c r="NND166" s="187"/>
      <c r="NNE166" s="187"/>
      <c r="NNF166" s="187"/>
      <c r="NNG166" s="187"/>
      <c r="NNH166" s="187"/>
      <c r="NNI166" s="187"/>
      <c r="NNJ166" s="187"/>
      <c r="NNK166" s="187"/>
      <c r="NNL166" s="187"/>
      <c r="NNM166" s="187"/>
      <c r="NNN166" s="187"/>
      <c r="NNO166" s="187"/>
      <c r="NNP166" s="187"/>
      <c r="NNQ166" s="187"/>
      <c r="NNR166" s="187"/>
      <c r="NNS166" s="187"/>
      <c r="NNT166" s="187"/>
      <c r="NNU166" s="187"/>
      <c r="NNV166" s="187"/>
      <c r="NNW166" s="187"/>
      <c r="NNX166" s="187"/>
      <c r="NNY166" s="187"/>
      <c r="NNZ166" s="187"/>
      <c r="NOA166" s="187"/>
      <c r="NOB166" s="187"/>
      <c r="NOC166" s="187"/>
      <c r="NOD166" s="187"/>
      <c r="NOE166" s="187"/>
      <c r="NOF166" s="187"/>
      <c r="NOG166" s="187"/>
      <c r="NOH166" s="187"/>
      <c r="NOI166" s="187"/>
      <c r="NOJ166" s="187"/>
      <c r="NOK166" s="187"/>
      <c r="NOL166" s="187"/>
      <c r="NOM166" s="187"/>
      <c r="NON166" s="187"/>
      <c r="NOO166" s="187"/>
      <c r="NOP166" s="187"/>
      <c r="NOQ166" s="187"/>
      <c r="NOR166" s="187"/>
      <c r="NOS166" s="187"/>
      <c r="NOT166" s="187"/>
      <c r="NOU166" s="187"/>
      <c r="NOV166" s="187"/>
      <c r="NOW166" s="187"/>
      <c r="NOX166" s="187"/>
      <c r="NOY166" s="187"/>
      <c r="NOZ166" s="187"/>
      <c r="NPA166" s="187"/>
      <c r="NPB166" s="187"/>
      <c r="NPC166" s="187"/>
      <c r="NPD166" s="187"/>
      <c r="NPE166" s="187"/>
      <c r="NPF166" s="187"/>
      <c r="NPG166" s="187"/>
      <c r="NPH166" s="187"/>
      <c r="NPI166" s="187"/>
      <c r="NPJ166" s="187"/>
      <c r="NPK166" s="187"/>
      <c r="NPL166" s="187"/>
      <c r="NPM166" s="187"/>
      <c r="NPN166" s="187"/>
      <c r="NPO166" s="187"/>
      <c r="NPP166" s="187"/>
      <c r="NPQ166" s="187"/>
      <c r="NPR166" s="187"/>
      <c r="NPS166" s="187"/>
      <c r="NPT166" s="187"/>
      <c r="NPU166" s="187"/>
      <c r="NPV166" s="187"/>
      <c r="NPW166" s="187"/>
      <c r="NPX166" s="187"/>
      <c r="NPY166" s="187"/>
      <c r="NPZ166" s="187"/>
      <c r="NQA166" s="187"/>
      <c r="NQB166" s="187"/>
      <c r="NQC166" s="187"/>
      <c r="NQD166" s="187"/>
      <c r="NQE166" s="187"/>
      <c r="NQF166" s="187"/>
      <c r="NQG166" s="187"/>
      <c r="NQH166" s="187"/>
      <c r="NQI166" s="187"/>
      <c r="NQJ166" s="187"/>
      <c r="NQK166" s="187"/>
      <c r="NQL166" s="187"/>
      <c r="NQM166" s="187"/>
      <c r="NQN166" s="187"/>
      <c r="NQO166" s="187"/>
      <c r="NQP166" s="187"/>
      <c r="NQQ166" s="187"/>
      <c r="NQR166" s="187"/>
      <c r="NQS166" s="187"/>
      <c r="NQT166" s="187"/>
      <c r="NQU166" s="187"/>
      <c r="NQV166" s="187"/>
      <c r="NQW166" s="187"/>
      <c r="NQX166" s="187"/>
      <c r="NQY166" s="187"/>
      <c r="NQZ166" s="187"/>
      <c r="NRA166" s="187"/>
      <c r="NRB166" s="187"/>
      <c r="NRC166" s="187"/>
      <c r="NRD166" s="187"/>
      <c r="NRE166" s="187"/>
      <c r="NRF166" s="187"/>
      <c r="NRG166" s="187"/>
      <c r="NRH166" s="187"/>
      <c r="NRI166" s="187"/>
      <c r="NRJ166" s="187"/>
      <c r="NRK166" s="187"/>
      <c r="NRL166" s="187"/>
      <c r="NRM166" s="187"/>
      <c r="NRN166" s="187"/>
      <c r="NRO166" s="187"/>
      <c r="NRP166" s="187"/>
      <c r="NRQ166" s="187"/>
      <c r="NRR166" s="187"/>
      <c r="NRS166" s="187"/>
      <c r="NRT166" s="187"/>
      <c r="NRU166" s="187"/>
      <c r="NRV166" s="187"/>
      <c r="NRW166" s="187"/>
      <c r="NRX166" s="187"/>
      <c r="NRY166" s="187"/>
      <c r="NRZ166" s="187"/>
      <c r="NSA166" s="187"/>
      <c r="NSB166" s="187"/>
      <c r="NSC166" s="187"/>
      <c r="NSD166" s="187"/>
      <c r="NSE166" s="187"/>
      <c r="NSF166" s="187"/>
      <c r="NSG166" s="187"/>
      <c r="NSH166" s="187"/>
      <c r="NSI166" s="187"/>
      <c r="NSJ166" s="187"/>
      <c r="NSK166" s="187"/>
      <c r="NSL166" s="187"/>
      <c r="NSM166" s="187"/>
      <c r="NSN166" s="187"/>
      <c r="NSO166" s="187"/>
      <c r="NSP166" s="187"/>
      <c r="NSQ166" s="187"/>
      <c r="NSR166" s="187"/>
      <c r="NSS166" s="187"/>
      <c r="NST166" s="187"/>
      <c r="NSU166" s="187"/>
      <c r="NSV166" s="187"/>
      <c r="NSW166" s="187"/>
      <c r="NSX166" s="187"/>
      <c r="NSY166" s="187"/>
      <c r="NSZ166" s="187"/>
      <c r="NTA166" s="187"/>
      <c r="NTB166" s="187"/>
      <c r="NTC166" s="187"/>
      <c r="NTD166" s="187"/>
      <c r="NTE166" s="187"/>
      <c r="NTF166" s="187"/>
      <c r="NTG166" s="187"/>
      <c r="NTH166" s="187"/>
      <c r="NTI166" s="187"/>
      <c r="NTJ166" s="187"/>
      <c r="NTK166" s="187"/>
      <c r="NTL166" s="187"/>
      <c r="NTM166" s="187"/>
      <c r="NTN166" s="187"/>
      <c r="NTO166" s="187"/>
      <c r="NTP166" s="187"/>
      <c r="NTQ166" s="187"/>
      <c r="NTR166" s="187"/>
      <c r="NTS166" s="187"/>
      <c r="NTT166" s="187"/>
      <c r="NTU166" s="187"/>
      <c r="NTV166" s="187"/>
      <c r="NTW166" s="187"/>
      <c r="NTX166" s="187"/>
      <c r="NTY166" s="187"/>
      <c r="NTZ166" s="187"/>
      <c r="NUA166" s="187"/>
      <c r="NUB166" s="187"/>
      <c r="NUC166" s="187"/>
      <c r="NUD166" s="187"/>
      <c r="NUE166" s="187"/>
      <c r="NUF166" s="187"/>
      <c r="NUG166" s="187"/>
      <c r="NUH166" s="187"/>
      <c r="NUI166" s="187"/>
      <c r="NUJ166" s="187"/>
      <c r="NUK166" s="187"/>
      <c r="NUL166" s="187"/>
      <c r="NUM166" s="187"/>
      <c r="NUN166" s="187"/>
      <c r="NUO166" s="187"/>
      <c r="NUP166" s="187"/>
      <c r="NUQ166" s="187"/>
      <c r="NUR166" s="187"/>
      <c r="NUS166" s="187"/>
      <c r="NUT166" s="187"/>
      <c r="NUU166" s="187"/>
      <c r="NUV166" s="187"/>
      <c r="NUW166" s="187"/>
      <c r="NUX166" s="187"/>
      <c r="NUY166" s="187"/>
      <c r="NUZ166" s="187"/>
      <c r="NVA166" s="187"/>
      <c r="NVB166" s="187"/>
      <c r="NVC166" s="187"/>
      <c r="NVD166" s="187"/>
      <c r="NVE166" s="187"/>
      <c r="NVF166" s="187"/>
      <c r="NVG166" s="187"/>
      <c r="NVH166" s="187"/>
      <c r="NVI166" s="187"/>
      <c r="NVJ166" s="187"/>
      <c r="NVK166" s="187"/>
      <c r="NVL166" s="187"/>
      <c r="NVM166" s="187"/>
      <c r="NVN166" s="187"/>
      <c r="NVO166" s="187"/>
      <c r="NVP166" s="187"/>
      <c r="NVQ166" s="187"/>
      <c r="NVR166" s="187"/>
      <c r="NVS166" s="187"/>
      <c r="NVT166" s="187"/>
      <c r="NVU166" s="187"/>
      <c r="NVV166" s="187"/>
      <c r="NVW166" s="187"/>
      <c r="NVX166" s="187"/>
      <c r="NVY166" s="187"/>
      <c r="NVZ166" s="187"/>
      <c r="NWA166" s="187"/>
      <c r="NWB166" s="187"/>
      <c r="NWC166" s="187"/>
      <c r="NWD166" s="187"/>
      <c r="NWE166" s="187"/>
      <c r="NWF166" s="187"/>
      <c r="NWG166" s="187"/>
      <c r="NWH166" s="187"/>
      <c r="NWI166" s="187"/>
      <c r="NWJ166" s="187"/>
      <c r="NWK166" s="187"/>
      <c r="NWL166" s="187"/>
      <c r="NWM166" s="187"/>
      <c r="NWN166" s="187"/>
      <c r="NWO166" s="187"/>
      <c r="NWP166" s="187"/>
      <c r="NWQ166" s="187"/>
      <c r="NWR166" s="187"/>
      <c r="NWS166" s="187"/>
      <c r="NWT166" s="187"/>
      <c r="NWU166" s="187"/>
      <c r="NWV166" s="187"/>
      <c r="NWW166" s="187"/>
      <c r="NWX166" s="187"/>
      <c r="NWY166" s="187"/>
      <c r="NWZ166" s="187"/>
      <c r="NXA166" s="187"/>
      <c r="NXB166" s="187"/>
      <c r="NXC166" s="187"/>
      <c r="NXD166" s="187"/>
      <c r="NXE166" s="187"/>
      <c r="NXF166" s="187"/>
      <c r="NXG166" s="187"/>
      <c r="NXH166" s="187"/>
      <c r="NXI166" s="187"/>
      <c r="NXJ166" s="187"/>
      <c r="NXK166" s="187"/>
      <c r="NXL166" s="187"/>
      <c r="NXM166" s="187"/>
      <c r="NXN166" s="187"/>
      <c r="NXO166" s="187"/>
      <c r="NXP166" s="187"/>
      <c r="NXQ166" s="187"/>
      <c r="NXR166" s="187"/>
      <c r="NXS166" s="187"/>
      <c r="NXT166" s="187"/>
      <c r="NXU166" s="187"/>
      <c r="NXV166" s="187"/>
      <c r="NXW166" s="187"/>
      <c r="NXX166" s="187"/>
      <c r="NXY166" s="187"/>
      <c r="NXZ166" s="187"/>
      <c r="NYA166" s="187"/>
      <c r="NYB166" s="187"/>
      <c r="NYC166" s="187"/>
      <c r="NYD166" s="187"/>
      <c r="NYE166" s="187"/>
      <c r="NYF166" s="187"/>
      <c r="NYG166" s="187"/>
      <c r="NYH166" s="187"/>
      <c r="NYI166" s="187"/>
      <c r="NYJ166" s="187"/>
      <c r="NYK166" s="187"/>
      <c r="NYL166" s="187"/>
      <c r="NYM166" s="187"/>
      <c r="NYN166" s="187"/>
      <c r="NYO166" s="187"/>
      <c r="NYP166" s="187"/>
      <c r="NYQ166" s="187"/>
      <c r="NYR166" s="187"/>
      <c r="NYS166" s="187"/>
      <c r="NYT166" s="187"/>
      <c r="NYU166" s="187"/>
      <c r="NYV166" s="187"/>
      <c r="NYW166" s="187"/>
      <c r="NYX166" s="187"/>
      <c r="NYY166" s="187"/>
      <c r="NYZ166" s="187"/>
      <c r="NZA166" s="187"/>
      <c r="NZB166" s="187"/>
      <c r="NZC166" s="187"/>
      <c r="NZD166" s="187"/>
      <c r="NZE166" s="187"/>
      <c r="NZF166" s="187"/>
      <c r="NZG166" s="187"/>
      <c r="NZH166" s="187"/>
      <c r="NZI166" s="187"/>
      <c r="NZJ166" s="187"/>
      <c r="NZK166" s="187"/>
      <c r="NZL166" s="187"/>
      <c r="NZM166" s="187"/>
      <c r="NZN166" s="187"/>
      <c r="NZO166" s="187"/>
      <c r="NZP166" s="187"/>
      <c r="NZQ166" s="187"/>
      <c r="NZR166" s="187"/>
      <c r="NZS166" s="187"/>
      <c r="NZT166" s="187"/>
      <c r="NZU166" s="187"/>
      <c r="NZV166" s="187"/>
      <c r="NZW166" s="187"/>
      <c r="NZX166" s="187"/>
      <c r="NZY166" s="187"/>
      <c r="NZZ166" s="187"/>
      <c r="OAA166" s="187"/>
      <c r="OAB166" s="187"/>
      <c r="OAC166" s="187"/>
      <c r="OAD166" s="187"/>
      <c r="OAE166" s="187"/>
      <c r="OAF166" s="187"/>
      <c r="OAG166" s="187"/>
      <c r="OAH166" s="187"/>
      <c r="OAI166" s="187"/>
      <c r="OAJ166" s="187"/>
      <c r="OAK166" s="187"/>
      <c r="OAL166" s="187"/>
      <c r="OAM166" s="187"/>
      <c r="OAN166" s="187"/>
      <c r="OAO166" s="187"/>
      <c r="OAP166" s="187"/>
      <c r="OAQ166" s="187"/>
      <c r="OAR166" s="187"/>
      <c r="OAS166" s="187"/>
      <c r="OAT166" s="187"/>
      <c r="OAU166" s="187"/>
      <c r="OAV166" s="187"/>
      <c r="OAW166" s="187"/>
      <c r="OAX166" s="187"/>
      <c r="OAY166" s="187"/>
      <c r="OAZ166" s="187"/>
      <c r="OBA166" s="187"/>
      <c r="OBB166" s="187"/>
      <c r="OBC166" s="187"/>
      <c r="OBD166" s="187"/>
      <c r="OBE166" s="187"/>
      <c r="OBF166" s="187"/>
      <c r="OBG166" s="187"/>
      <c r="OBH166" s="187"/>
      <c r="OBI166" s="187"/>
      <c r="OBJ166" s="187"/>
      <c r="OBK166" s="187"/>
      <c r="OBL166" s="187"/>
      <c r="OBM166" s="187"/>
      <c r="OBN166" s="187"/>
      <c r="OBO166" s="187"/>
      <c r="OBP166" s="187"/>
      <c r="OBQ166" s="187"/>
      <c r="OBR166" s="187"/>
      <c r="OBS166" s="187"/>
      <c r="OBT166" s="187"/>
      <c r="OBU166" s="187"/>
      <c r="OBV166" s="187"/>
      <c r="OBW166" s="187"/>
      <c r="OBX166" s="187"/>
      <c r="OBY166" s="187"/>
      <c r="OBZ166" s="187"/>
      <c r="OCA166" s="187"/>
      <c r="OCB166" s="187"/>
      <c r="OCC166" s="187"/>
      <c r="OCD166" s="187"/>
      <c r="OCE166" s="187"/>
      <c r="OCF166" s="187"/>
      <c r="OCG166" s="187"/>
      <c r="OCH166" s="187"/>
      <c r="OCI166" s="187"/>
      <c r="OCJ166" s="187"/>
      <c r="OCK166" s="187"/>
      <c r="OCL166" s="187"/>
      <c r="OCM166" s="187"/>
      <c r="OCN166" s="187"/>
      <c r="OCO166" s="187"/>
      <c r="OCP166" s="187"/>
      <c r="OCQ166" s="187"/>
      <c r="OCR166" s="187"/>
      <c r="OCS166" s="187"/>
      <c r="OCT166" s="187"/>
      <c r="OCU166" s="187"/>
      <c r="OCV166" s="187"/>
      <c r="OCW166" s="187"/>
      <c r="OCX166" s="187"/>
      <c r="OCY166" s="187"/>
      <c r="OCZ166" s="187"/>
      <c r="ODA166" s="187"/>
      <c r="ODB166" s="187"/>
      <c r="ODC166" s="187"/>
      <c r="ODD166" s="187"/>
      <c r="ODE166" s="187"/>
      <c r="ODF166" s="187"/>
      <c r="ODG166" s="187"/>
      <c r="ODH166" s="187"/>
      <c r="ODI166" s="187"/>
      <c r="ODJ166" s="187"/>
      <c r="ODK166" s="187"/>
      <c r="ODL166" s="187"/>
      <c r="ODM166" s="187"/>
      <c r="ODN166" s="187"/>
      <c r="ODO166" s="187"/>
      <c r="ODP166" s="187"/>
      <c r="ODQ166" s="187"/>
      <c r="ODR166" s="187"/>
      <c r="ODS166" s="187"/>
      <c r="ODT166" s="187"/>
      <c r="ODU166" s="187"/>
      <c r="ODV166" s="187"/>
      <c r="ODW166" s="187"/>
      <c r="ODX166" s="187"/>
      <c r="ODY166" s="187"/>
      <c r="ODZ166" s="187"/>
      <c r="OEA166" s="187"/>
      <c r="OEB166" s="187"/>
      <c r="OEC166" s="187"/>
      <c r="OED166" s="187"/>
      <c r="OEE166" s="187"/>
      <c r="OEF166" s="187"/>
      <c r="OEG166" s="187"/>
      <c r="OEH166" s="187"/>
      <c r="OEI166" s="187"/>
      <c r="OEJ166" s="187"/>
      <c r="OEK166" s="187"/>
      <c r="OEL166" s="187"/>
      <c r="OEM166" s="187"/>
      <c r="OEN166" s="187"/>
      <c r="OEO166" s="187"/>
      <c r="OEP166" s="187"/>
      <c r="OEQ166" s="187"/>
      <c r="OER166" s="187"/>
      <c r="OES166" s="187"/>
      <c r="OET166" s="187"/>
      <c r="OEU166" s="187"/>
      <c r="OEV166" s="187"/>
      <c r="OEW166" s="187"/>
      <c r="OEX166" s="187"/>
      <c r="OEY166" s="187"/>
      <c r="OEZ166" s="187"/>
      <c r="OFA166" s="187"/>
      <c r="OFB166" s="187"/>
      <c r="OFC166" s="187"/>
      <c r="OFD166" s="187"/>
      <c r="OFE166" s="187"/>
      <c r="OFF166" s="187"/>
      <c r="OFG166" s="187"/>
      <c r="OFH166" s="187"/>
      <c r="OFI166" s="187"/>
      <c r="OFJ166" s="187"/>
      <c r="OFK166" s="187"/>
      <c r="OFL166" s="187"/>
      <c r="OFM166" s="187"/>
      <c r="OFN166" s="187"/>
      <c r="OFO166" s="187"/>
      <c r="OFP166" s="187"/>
      <c r="OFQ166" s="187"/>
      <c r="OFR166" s="187"/>
      <c r="OFS166" s="187"/>
      <c r="OFT166" s="187"/>
      <c r="OFU166" s="187"/>
      <c r="OFV166" s="187"/>
      <c r="OFW166" s="187"/>
      <c r="OFX166" s="187"/>
      <c r="OFY166" s="187"/>
      <c r="OFZ166" s="187"/>
      <c r="OGA166" s="187"/>
      <c r="OGB166" s="187"/>
      <c r="OGC166" s="187"/>
      <c r="OGD166" s="187"/>
      <c r="OGE166" s="187"/>
      <c r="OGF166" s="187"/>
      <c r="OGG166" s="187"/>
      <c r="OGH166" s="187"/>
      <c r="OGI166" s="187"/>
      <c r="OGJ166" s="187"/>
      <c r="OGK166" s="187"/>
      <c r="OGL166" s="187"/>
      <c r="OGM166" s="187"/>
      <c r="OGN166" s="187"/>
      <c r="OGO166" s="187"/>
      <c r="OGP166" s="187"/>
      <c r="OGQ166" s="187"/>
      <c r="OGR166" s="187"/>
      <c r="OGS166" s="187"/>
      <c r="OGT166" s="187"/>
      <c r="OGU166" s="187"/>
      <c r="OGV166" s="187"/>
      <c r="OGW166" s="187"/>
      <c r="OGX166" s="187"/>
      <c r="OGY166" s="187"/>
      <c r="OGZ166" s="187"/>
      <c r="OHA166" s="187"/>
      <c r="OHB166" s="187"/>
      <c r="OHC166" s="187"/>
      <c r="OHD166" s="187"/>
      <c r="OHE166" s="187"/>
      <c r="OHF166" s="187"/>
      <c r="OHG166" s="187"/>
      <c r="OHH166" s="187"/>
      <c r="OHI166" s="187"/>
      <c r="OHJ166" s="187"/>
      <c r="OHK166" s="187"/>
      <c r="OHL166" s="187"/>
      <c r="OHM166" s="187"/>
      <c r="OHN166" s="187"/>
      <c r="OHO166" s="187"/>
      <c r="OHP166" s="187"/>
      <c r="OHQ166" s="187"/>
      <c r="OHR166" s="187"/>
      <c r="OHS166" s="187"/>
      <c r="OHT166" s="187"/>
      <c r="OHU166" s="187"/>
      <c r="OHV166" s="187"/>
      <c r="OHW166" s="187"/>
      <c r="OHX166" s="187"/>
      <c r="OHY166" s="187"/>
      <c r="OHZ166" s="187"/>
      <c r="OIA166" s="187"/>
      <c r="OIB166" s="187"/>
      <c r="OIC166" s="187"/>
      <c r="OID166" s="187"/>
      <c r="OIE166" s="187"/>
      <c r="OIF166" s="187"/>
      <c r="OIG166" s="187"/>
      <c r="OIH166" s="187"/>
      <c r="OII166" s="187"/>
      <c r="OIJ166" s="187"/>
      <c r="OIK166" s="187"/>
      <c r="OIL166" s="187"/>
      <c r="OIM166" s="187"/>
      <c r="OIN166" s="187"/>
      <c r="OIO166" s="187"/>
      <c r="OIP166" s="187"/>
      <c r="OIQ166" s="187"/>
      <c r="OIR166" s="187"/>
      <c r="OIS166" s="187"/>
      <c r="OIT166" s="187"/>
      <c r="OIU166" s="187"/>
      <c r="OIV166" s="187"/>
      <c r="OIW166" s="187"/>
      <c r="OIX166" s="187"/>
      <c r="OIY166" s="187"/>
      <c r="OIZ166" s="187"/>
      <c r="OJA166" s="187"/>
      <c r="OJB166" s="187"/>
      <c r="OJC166" s="187"/>
      <c r="OJD166" s="187"/>
      <c r="OJE166" s="187"/>
      <c r="OJF166" s="187"/>
      <c r="OJG166" s="187"/>
      <c r="OJH166" s="187"/>
      <c r="OJI166" s="187"/>
      <c r="OJJ166" s="187"/>
      <c r="OJK166" s="187"/>
      <c r="OJL166" s="187"/>
      <c r="OJM166" s="187"/>
      <c r="OJN166" s="187"/>
      <c r="OJO166" s="187"/>
      <c r="OJP166" s="187"/>
      <c r="OJQ166" s="187"/>
      <c r="OJR166" s="187"/>
      <c r="OJS166" s="187"/>
      <c r="OJT166" s="187"/>
      <c r="OJU166" s="187"/>
      <c r="OJV166" s="187"/>
      <c r="OJW166" s="187"/>
      <c r="OJX166" s="187"/>
      <c r="OJY166" s="187"/>
      <c r="OJZ166" s="187"/>
      <c r="OKA166" s="187"/>
      <c r="OKB166" s="187"/>
      <c r="OKC166" s="187"/>
      <c r="OKD166" s="187"/>
      <c r="OKE166" s="187"/>
      <c r="OKF166" s="187"/>
      <c r="OKG166" s="187"/>
      <c r="OKH166" s="187"/>
      <c r="OKI166" s="187"/>
      <c r="OKJ166" s="187"/>
      <c r="OKK166" s="187"/>
      <c r="OKL166" s="187"/>
      <c r="OKM166" s="187"/>
      <c r="OKN166" s="187"/>
      <c r="OKO166" s="187"/>
      <c r="OKP166" s="187"/>
      <c r="OKQ166" s="187"/>
      <c r="OKR166" s="187"/>
      <c r="OKS166" s="187"/>
      <c r="OKT166" s="187"/>
      <c r="OKU166" s="187"/>
      <c r="OKV166" s="187"/>
      <c r="OKW166" s="187"/>
      <c r="OKX166" s="187"/>
      <c r="OKY166" s="187"/>
      <c r="OKZ166" s="187"/>
      <c r="OLA166" s="187"/>
      <c r="OLB166" s="187"/>
      <c r="OLC166" s="187"/>
      <c r="OLD166" s="187"/>
      <c r="OLE166" s="187"/>
      <c r="OLF166" s="187"/>
      <c r="OLG166" s="187"/>
      <c r="OLH166" s="187"/>
      <c r="OLI166" s="187"/>
      <c r="OLJ166" s="187"/>
      <c r="OLK166" s="187"/>
      <c r="OLL166" s="187"/>
      <c r="OLM166" s="187"/>
      <c r="OLN166" s="187"/>
      <c r="OLO166" s="187"/>
      <c r="OLP166" s="187"/>
      <c r="OLQ166" s="187"/>
      <c r="OLR166" s="187"/>
      <c r="OLS166" s="187"/>
      <c r="OLT166" s="187"/>
      <c r="OLU166" s="187"/>
      <c r="OLV166" s="187"/>
      <c r="OLW166" s="187"/>
      <c r="OLX166" s="187"/>
      <c r="OLY166" s="187"/>
      <c r="OLZ166" s="187"/>
      <c r="OMA166" s="187"/>
      <c r="OMB166" s="187"/>
      <c r="OMC166" s="187"/>
      <c r="OMD166" s="187"/>
      <c r="OME166" s="187"/>
      <c r="OMF166" s="187"/>
      <c r="OMG166" s="187"/>
      <c r="OMH166" s="187"/>
      <c r="OMI166" s="187"/>
      <c r="OMJ166" s="187"/>
      <c r="OMK166" s="187"/>
      <c r="OML166" s="187"/>
      <c r="OMM166" s="187"/>
      <c r="OMN166" s="187"/>
      <c r="OMO166" s="187"/>
      <c r="OMP166" s="187"/>
      <c r="OMQ166" s="187"/>
      <c r="OMR166" s="187"/>
      <c r="OMS166" s="187"/>
      <c r="OMT166" s="187"/>
      <c r="OMU166" s="187"/>
      <c r="OMV166" s="187"/>
      <c r="OMW166" s="187"/>
      <c r="OMX166" s="187"/>
      <c r="OMY166" s="187"/>
      <c r="OMZ166" s="187"/>
      <c r="ONA166" s="187"/>
      <c r="ONB166" s="187"/>
      <c r="ONC166" s="187"/>
      <c r="OND166" s="187"/>
      <c r="ONE166" s="187"/>
      <c r="ONF166" s="187"/>
      <c r="ONG166" s="187"/>
      <c r="ONH166" s="187"/>
      <c r="ONI166" s="187"/>
      <c r="ONJ166" s="187"/>
      <c r="ONK166" s="187"/>
      <c r="ONL166" s="187"/>
      <c r="ONM166" s="187"/>
      <c r="ONN166" s="187"/>
      <c r="ONO166" s="187"/>
      <c r="ONP166" s="187"/>
      <c r="ONQ166" s="187"/>
      <c r="ONR166" s="187"/>
      <c r="ONS166" s="187"/>
      <c r="ONT166" s="187"/>
      <c r="ONU166" s="187"/>
      <c r="ONV166" s="187"/>
      <c r="ONW166" s="187"/>
      <c r="ONX166" s="187"/>
      <c r="ONY166" s="187"/>
      <c r="ONZ166" s="187"/>
      <c r="OOA166" s="187"/>
      <c r="OOB166" s="187"/>
      <c r="OOC166" s="187"/>
      <c r="OOD166" s="187"/>
      <c r="OOE166" s="187"/>
      <c r="OOF166" s="187"/>
      <c r="OOG166" s="187"/>
      <c r="OOH166" s="187"/>
      <c r="OOI166" s="187"/>
      <c r="OOJ166" s="187"/>
      <c r="OOK166" s="187"/>
      <c r="OOL166" s="187"/>
      <c r="OOM166" s="187"/>
      <c r="OON166" s="187"/>
      <c r="OOO166" s="187"/>
      <c r="OOP166" s="187"/>
      <c r="OOQ166" s="187"/>
      <c r="OOR166" s="187"/>
      <c r="OOS166" s="187"/>
      <c r="OOT166" s="187"/>
      <c r="OOU166" s="187"/>
      <c r="OOV166" s="187"/>
      <c r="OOW166" s="187"/>
      <c r="OOX166" s="187"/>
      <c r="OOY166" s="187"/>
      <c r="OOZ166" s="187"/>
      <c r="OPA166" s="187"/>
      <c r="OPB166" s="187"/>
      <c r="OPC166" s="187"/>
      <c r="OPD166" s="187"/>
      <c r="OPE166" s="187"/>
      <c r="OPF166" s="187"/>
      <c r="OPG166" s="187"/>
      <c r="OPH166" s="187"/>
      <c r="OPI166" s="187"/>
      <c r="OPJ166" s="187"/>
      <c r="OPK166" s="187"/>
      <c r="OPL166" s="187"/>
      <c r="OPM166" s="187"/>
      <c r="OPN166" s="187"/>
      <c r="OPO166" s="187"/>
      <c r="OPP166" s="187"/>
      <c r="OPQ166" s="187"/>
      <c r="OPR166" s="187"/>
      <c r="OPS166" s="187"/>
      <c r="OPT166" s="187"/>
      <c r="OPU166" s="187"/>
      <c r="OPV166" s="187"/>
      <c r="OPW166" s="187"/>
      <c r="OPX166" s="187"/>
      <c r="OPY166" s="187"/>
      <c r="OPZ166" s="187"/>
      <c r="OQA166" s="187"/>
      <c r="OQB166" s="187"/>
      <c r="OQC166" s="187"/>
      <c r="OQD166" s="187"/>
      <c r="OQE166" s="187"/>
      <c r="OQF166" s="187"/>
      <c r="OQG166" s="187"/>
      <c r="OQH166" s="187"/>
      <c r="OQI166" s="187"/>
      <c r="OQJ166" s="187"/>
      <c r="OQK166" s="187"/>
      <c r="OQL166" s="187"/>
      <c r="OQM166" s="187"/>
      <c r="OQN166" s="187"/>
      <c r="OQO166" s="187"/>
      <c r="OQP166" s="187"/>
      <c r="OQQ166" s="187"/>
      <c r="OQR166" s="187"/>
      <c r="OQS166" s="187"/>
      <c r="OQT166" s="187"/>
      <c r="OQU166" s="187"/>
      <c r="OQV166" s="187"/>
      <c r="OQW166" s="187"/>
      <c r="OQX166" s="187"/>
      <c r="OQY166" s="187"/>
      <c r="OQZ166" s="187"/>
      <c r="ORA166" s="187"/>
      <c r="ORB166" s="187"/>
      <c r="ORC166" s="187"/>
      <c r="ORD166" s="187"/>
      <c r="ORE166" s="187"/>
      <c r="ORF166" s="187"/>
      <c r="ORG166" s="187"/>
      <c r="ORH166" s="187"/>
      <c r="ORI166" s="187"/>
      <c r="ORJ166" s="187"/>
      <c r="ORK166" s="187"/>
      <c r="ORL166" s="187"/>
      <c r="ORM166" s="187"/>
      <c r="ORN166" s="187"/>
      <c r="ORO166" s="187"/>
      <c r="ORP166" s="187"/>
      <c r="ORQ166" s="187"/>
      <c r="ORR166" s="187"/>
      <c r="ORS166" s="187"/>
      <c r="ORT166" s="187"/>
      <c r="ORU166" s="187"/>
      <c r="ORV166" s="187"/>
      <c r="ORW166" s="187"/>
      <c r="ORX166" s="187"/>
      <c r="ORY166" s="187"/>
      <c r="ORZ166" s="187"/>
      <c r="OSA166" s="187"/>
      <c r="OSB166" s="187"/>
      <c r="OSC166" s="187"/>
      <c r="OSD166" s="187"/>
      <c r="OSE166" s="187"/>
      <c r="OSF166" s="187"/>
      <c r="OSG166" s="187"/>
      <c r="OSH166" s="187"/>
      <c r="OSI166" s="187"/>
      <c r="OSJ166" s="187"/>
      <c r="OSK166" s="187"/>
      <c r="OSL166" s="187"/>
      <c r="OSM166" s="187"/>
      <c r="OSN166" s="187"/>
      <c r="OSO166" s="187"/>
      <c r="OSP166" s="187"/>
      <c r="OSQ166" s="187"/>
      <c r="OSR166" s="187"/>
      <c r="OSS166" s="187"/>
      <c r="OST166" s="187"/>
      <c r="OSU166" s="187"/>
      <c r="OSV166" s="187"/>
      <c r="OSW166" s="187"/>
      <c r="OSX166" s="187"/>
      <c r="OSY166" s="187"/>
      <c r="OSZ166" s="187"/>
      <c r="OTA166" s="187"/>
      <c r="OTB166" s="187"/>
      <c r="OTC166" s="187"/>
      <c r="OTD166" s="187"/>
      <c r="OTE166" s="187"/>
      <c r="OTF166" s="187"/>
      <c r="OTG166" s="187"/>
      <c r="OTH166" s="187"/>
      <c r="OTI166" s="187"/>
      <c r="OTJ166" s="187"/>
      <c r="OTK166" s="187"/>
      <c r="OTL166" s="187"/>
      <c r="OTM166" s="187"/>
      <c r="OTN166" s="187"/>
      <c r="OTO166" s="187"/>
      <c r="OTP166" s="187"/>
      <c r="OTQ166" s="187"/>
      <c r="OTR166" s="187"/>
      <c r="OTS166" s="187"/>
      <c r="OTT166" s="187"/>
      <c r="OTU166" s="187"/>
      <c r="OTV166" s="187"/>
      <c r="OTW166" s="187"/>
      <c r="OTX166" s="187"/>
      <c r="OTY166" s="187"/>
      <c r="OTZ166" s="187"/>
      <c r="OUA166" s="187"/>
      <c r="OUB166" s="187"/>
      <c r="OUC166" s="187"/>
      <c r="OUD166" s="187"/>
      <c r="OUE166" s="187"/>
      <c r="OUF166" s="187"/>
      <c r="OUG166" s="187"/>
      <c r="OUH166" s="187"/>
      <c r="OUI166" s="187"/>
      <c r="OUJ166" s="187"/>
      <c r="OUK166" s="187"/>
      <c r="OUL166" s="187"/>
      <c r="OUM166" s="187"/>
      <c r="OUN166" s="187"/>
      <c r="OUO166" s="187"/>
      <c r="OUP166" s="187"/>
      <c r="OUQ166" s="187"/>
      <c r="OUR166" s="187"/>
      <c r="OUS166" s="187"/>
      <c r="OUT166" s="187"/>
      <c r="OUU166" s="187"/>
      <c r="OUV166" s="187"/>
      <c r="OUW166" s="187"/>
      <c r="OUX166" s="187"/>
      <c r="OUY166" s="187"/>
      <c r="OUZ166" s="187"/>
      <c r="OVA166" s="187"/>
      <c r="OVB166" s="187"/>
      <c r="OVC166" s="187"/>
      <c r="OVD166" s="187"/>
      <c r="OVE166" s="187"/>
      <c r="OVF166" s="187"/>
      <c r="OVG166" s="187"/>
      <c r="OVH166" s="187"/>
      <c r="OVI166" s="187"/>
      <c r="OVJ166" s="187"/>
      <c r="OVK166" s="187"/>
      <c r="OVL166" s="187"/>
      <c r="OVM166" s="187"/>
      <c r="OVN166" s="187"/>
      <c r="OVO166" s="187"/>
      <c r="OVP166" s="187"/>
      <c r="OVQ166" s="187"/>
      <c r="OVR166" s="187"/>
      <c r="OVS166" s="187"/>
      <c r="OVT166" s="187"/>
      <c r="OVU166" s="187"/>
      <c r="OVV166" s="187"/>
      <c r="OVW166" s="187"/>
      <c r="OVX166" s="187"/>
      <c r="OVY166" s="187"/>
      <c r="OVZ166" s="187"/>
      <c r="OWA166" s="187"/>
      <c r="OWB166" s="187"/>
      <c r="OWC166" s="187"/>
      <c r="OWD166" s="187"/>
      <c r="OWE166" s="187"/>
      <c r="OWF166" s="187"/>
      <c r="OWG166" s="187"/>
      <c r="OWH166" s="187"/>
      <c r="OWI166" s="187"/>
      <c r="OWJ166" s="187"/>
      <c r="OWK166" s="187"/>
      <c r="OWL166" s="187"/>
      <c r="OWM166" s="187"/>
      <c r="OWN166" s="187"/>
      <c r="OWO166" s="187"/>
      <c r="OWP166" s="187"/>
      <c r="OWQ166" s="187"/>
      <c r="OWR166" s="187"/>
      <c r="OWS166" s="187"/>
      <c r="OWT166" s="187"/>
      <c r="OWU166" s="187"/>
      <c r="OWV166" s="187"/>
      <c r="OWW166" s="187"/>
      <c r="OWX166" s="187"/>
      <c r="OWY166" s="187"/>
      <c r="OWZ166" s="187"/>
      <c r="OXA166" s="187"/>
      <c r="OXB166" s="187"/>
      <c r="OXC166" s="187"/>
      <c r="OXD166" s="187"/>
      <c r="OXE166" s="187"/>
      <c r="OXF166" s="187"/>
      <c r="OXG166" s="187"/>
      <c r="OXH166" s="187"/>
      <c r="OXI166" s="187"/>
      <c r="OXJ166" s="187"/>
      <c r="OXK166" s="187"/>
      <c r="OXL166" s="187"/>
      <c r="OXM166" s="187"/>
      <c r="OXN166" s="187"/>
      <c r="OXO166" s="187"/>
      <c r="OXP166" s="187"/>
      <c r="OXQ166" s="187"/>
      <c r="OXR166" s="187"/>
      <c r="OXS166" s="187"/>
      <c r="OXT166" s="187"/>
      <c r="OXU166" s="187"/>
      <c r="OXV166" s="187"/>
      <c r="OXW166" s="187"/>
      <c r="OXX166" s="187"/>
      <c r="OXY166" s="187"/>
      <c r="OXZ166" s="187"/>
      <c r="OYA166" s="187"/>
      <c r="OYB166" s="187"/>
      <c r="OYC166" s="187"/>
      <c r="OYD166" s="187"/>
      <c r="OYE166" s="187"/>
      <c r="OYF166" s="187"/>
      <c r="OYG166" s="187"/>
      <c r="OYH166" s="187"/>
      <c r="OYI166" s="187"/>
      <c r="OYJ166" s="187"/>
      <c r="OYK166" s="187"/>
      <c r="OYL166" s="187"/>
      <c r="OYM166" s="187"/>
      <c r="OYN166" s="187"/>
      <c r="OYO166" s="187"/>
      <c r="OYP166" s="187"/>
      <c r="OYQ166" s="187"/>
      <c r="OYR166" s="187"/>
      <c r="OYS166" s="187"/>
      <c r="OYT166" s="187"/>
      <c r="OYU166" s="187"/>
      <c r="OYV166" s="187"/>
      <c r="OYW166" s="187"/>
      <c r="OYX166" s="187"/>
      <c r="OYY166" s="187"/>
      <c r="OYZ166" s="187"/>
      <c r="OZA166" s="187"/>
      <c r="OZB166" s="187"/>
      <c r="OZC166" s="187"/>
      <c r="OZD166" s="187"/>
      <c r="OZE166" s="187"/>
      <c r="OZF166" s="187"/>
      <c r="OZG166" s="187"/>
      <c r="OZH166" s="187"/>
      <c r="OZI166" s="187"/>
      <c r="OZJ166" s="187"/>
      <c r="OZK166" s="187"/>
      <c r="OZL166" s="187"/>
      <c r="OZM166" s="187"/>
      <c r="OZN166" s="187"/>
      <c r="OZO166" s="187"/>
      <c r="OZP166" s="187"/>
      <c r="OZQ166" s="187"/>
      <c r="OZR166" s="187"/>
      <c r="OZS166" s="187"/>
      <c r="OZT166" s="187"/>
      <c r="OZU166" s="187"/>
      <c r="OZV166" s="187"/>
      <c r="OZW166" s="187"/>
      <c r="OZX166" s="187"/>
      <c r="OZY166" s="187"/>
      <c r="OZZ166" s="187"/>
      <c r="PAA166" s="187"/>
      <c r="PAB166" s="187"/>
      <c r="PAC166" s="187"/>
      <c r="PAD166" s="187"/>
      <c r="PAE166" s="187"/>
      <c r="PAF166" s="187"/>
      <c r="PAG166" s="187"/>
      <c r="PAH166" s="187"/>
      <c r="PAI166" s="187"/>
      <c r="PAJ166" s="187"/>
      <c r="PAK166" s="187"/>
      <c r="PAL166" s="187"/>
      <c r="PAM166" s="187"/>
      <c r="PAN166" s="187"/>
      <c r="PAO166" s="187"/>
      <c r="PAP166" s="187"/>
      <c r="PAQ166" s="187"/>
      <c r="PAR166" s="187"/>
      <c r="PAS166" s="187"/>
      <c r="PAT166" s="187"/>
      <c r="PAU166" s="187"/>
      <c r="PAV166" s="187"/>
      <c r="PAW166" s="187"/>
      <c r="PAX166" s="187"/>
      <c r="PAY166" s="187"/>
      <c r="PAZ166" s="187"/>
      <c r="PBA166" s="187"/>
      <c r="PBB166" s="187"/>
      <c r="PBC166" s="187"/>
      <c r="PBD166" s="187"/>
      <c r="PBE166" s="187"/>
      <c r="PBF166" s="187"/>
      <c r="PBG166" s="187"/>
      <c r="PBH166" s="187"/>
      <c r="PBI166" s="187"/>
      <c r="PBJ166" s="187"/>
      <c r="PBK166" s="187"/>
      <c r="PBL166" s="187"/>
      <c r="PBM166" s="187"/>
      <c r="PBN166" s="187"/>
      <c r="PBO166" s="187"/>
      <c r="PBP166" s="187"/>
      <c r="PBQ166" s="187"/>
      <c r="PBR166" s="187"/>
      <c r="PBS166" s="187"/>
      <c r="PBT166" s="187"/>
      <c r="PBU166" s="187"/>
      <c r="PBV166" s="187"/>
      <c r="PBW166" s="187"/>
      <c r="PBX166" s="187"/>
      <c r="PBY166" s="187"/>
      <c r="PBZ166" s="187"/>
      <c r="PCA166" s="187"/>
      <c r="PCB166" s="187"/>
      <c r="PCC166" s="187"/>
      <c r="PCD166" s="187"/>
      <c r="PCE166" s="187"/>
      <c r="PCF166" s="187"/>
      <c r="PCG166" s="187"/>
      <c r="PCH166" s="187"/>
      <c r="PCI166" s="187"/>
      <c r="PCJ166" s="187"/>
      <c r="PCK166" s="187"/>
      <c r="PCL166" s="187"/>
      <c r="PCM166" s="187"/>
      <c r="PCN166" s="187"/>
      <c r="PCO166" s="187"/>
      <c r="PCP166" s="187"/>
      <c r="PCQ166" s="187"/>
      <c r="PCR166" s="187"/>
      <c r="PCS166" s="187"/>
      <c r="PCT166" s="187"/>
      <c r="PCU166" s="187"/>
      <c r="PCV166" s="187"/>
      <c r="PCW166" s="187"/>
      <c r="PCX166" s="187"/>
      <c r="PCY166" s="187"/>
      <c r="PCZ166" s="187"/>
      <c r="PDA166" s="187"/>
      <c r="PDB166" s="187"/>
      <c r="PDC166" s="187"/>
      <c r="PDD166" s="187"/>
      <c r="PDE166" s="187"/>
      <c r="PDF166" s="187"/>
      <c r="PDG166" s="187"/>
      <c r="PDH166" s="187"/>
      <c r="PDI166" s="187"/>
      <c r="PDJ166" s="187"/>
      <c r="PDK166" s="187"/>
      <c r="PDL166" s="187"/>
      <c r="PDM166" s="187"/>
      <c r="PDN166" s="187"/>
      <c r="PDO166" s="187"/>
      <c r="PDP166" s="187"/>
      <c r="PDQ166" s="187"/>
      <c r="PDR166" s="187"/>
      <c r="PDS166" s="187"/>
      <c r="PDT166" s="187"/>
      <c r="PDU166" s="187"/>
      <c r="PDV166" s="187"/>
      <c r="PDW166" s="187"/>
      <c r="PDX166" s="187"/>
      <c r="PDY166" s="187"/>
      <c r="PDZ166" s="187"/>
      <c r="PEA166" s="187"/>
      <c r="PEB166" s="187"/>
      <c r="PEC166" s="187"/>
      <c r="PED166" s="187"/>
      <c r="PEE166" s="187"/>
      <c r="PEF166" s="187"/>
      <c r="PEG166" s="187"/>
      <c r="PEH166" s="187"/>
      <c r="PEI166" s="187"/>
      <c r="PEJ166" s="187"/>
      <c r="PEK166" s="187"/>
      <c r="PEL166" s="187"/>
      <c r="PEM166" s="187"/>
      <c r="PEN166" s="187"/>
      <c r="PEO166" s="187"/>
      <c r="PEP166" s="187"/>
      <c r="PEQ166" s="187"/>
      <c r="PER166" s="187"/>
      <c r="PES166" s="187"/>
      <c r="PET166" s="187"/>
      <c r="PEU166" s="187"/>
      <c r="PEV166" s="187"/>
      <c r="PEW166" s="187"/>
      <c r="PEX166" s="187"/>
      <c r="PEY166" s="187"/>
      <c r="PEZ166" s="187"/>
      <c r="PFA166" s="187"/>
      <c r="PFB166" s="187"/>
      <c r="PFC166" s="187"/>
      <c r="PFD166" s="187"/>
      <c r="PFE166" s="187"/>
      <c r="PFF166" s="187"/>
      <c r="PFG166" s="187"/>
      <c r="PFH166" s="187"/>
      <c r="PFI166" s="187"/>
      <c r="PFJ166" s="187"/>
      <c r="PFK166" s="187"/>
      <c r="PFL166" s="187"/>
      <c r="PFM166" s="187"/>
      <c r="PFN166" s="187"/>
      <c r="PFO166" s="187"/>
      <c r="PFP166" s="187"/>
      <c r="PFQ166" s="187"/>
      <c r="PFR166" s="187"/>
      <c r="PFS166" s="187"/>
      <c r="PFT166" s="187"/>
      <c r="PFU166" s="187"/>
      <c r="PFV166" s="187"/>
      <c r="PFW166" s="187"/>
      <c r="PFX166" s="187"/>
      <c r="PFY166" s="187"/>
      <c r="PFZ166" s="187"/>
      <c r="PGA166" s="187"/>
      <c r="PGB166" s="187"/>
      <c r="PGC166" s="187"/>
      <c r="PGD166" s="187"/>
      <c r="PGE166" s="187"/>
      <c r="PGF166" s="187"/>
      <c r="PGG166" s="187"/>
      <c r="PGH166" s="187"/>
      <c r="PGI166" s="187"/>
      <c r="PGJ166" s="187"/>
      <c r="PGK166" s="187"/>
      <c r="PGL166" s="187"/>
      <c r="PGM166" s="187"/>
      <c r="PGN166" s="187"/>
      <c r="PGO166" s="187"/>
      <c r="PGP166" s="187"/>
      <c r="PGQ166" s="187"/>
      <c r="PGR166" s="187"/>
      <c r="PGS166" s="187"/>
      <c r="PGT166" s="187"/>
      <c r="PGU166" s="187"/>
      <c r="PGV166" s="187"/>
      <c r="PGW166" s="187"/>
      <c r="PGX166" s="187"/>
      <c r="PGY166" s="187"/>
      <c r="PGZ166" s="187"/>
      <c r="PHA166" s="187"/>
      <c r="PHB166" s="187"/>
      <c r="PHC166" s="187"/>
      <c r="PHD166" s="187"/>
      <c r="PHE166" s="187"/>
      <c r="PHF166" s="187"/>
      <c r="PHG166" s="187"/>
      <c r="PHH166" s="187"/>
      <c r="PHI166" s="187"/>
      <c r="PHJ166" s="187"/>
      <c r="PHK166" s="187"/>
      <c r="PHL166" s="187"/>
      <c r="PHM166" s="187"/>
      <c r="PHN166" s="187"/>
      <c r="PHO166" s="187"/>
      <c r="PHP166" s="187"/>
      <c r="PHQ166" s="187"/>
      <c r="PHR166" s="187"/>
      <c r="PHS166" s="187"/>
      <c r="PHT166" s="187"/>
      <c r="PHU166" s="187"/>
      <c r="PHV166" s="187"/>
      <c r="PHW166" s="187"/>
      <c r="PHX166" s="187"/>
      <c r="PHY166" s="187"/>
      <c r="PHZ166" s="187"/>
      <c r="PIA166" s="187"/>
      <c r="PIB166" s="187"/>
      <c r="PIC166" s="187"/>
      <c r="PID166" s="187"/>
      <c r="PIE166" s="187"/>
      <c r="PIF166" s="187"/>
      <c r="PIG166" s="187"/>
      <c r="PIH166" s="187"/>
      <c r="PII166" s="187"/>
      <c r="PIJ166" s="187"/>
      <c r="PIK166" s="187"/>
      <c r="PIL166" s="187"/>
      <c r="PIM166" s="187"/>
      <c r="PIN166" s="187"/>
      <c r="PIO166" s="187"/>
      <c r="PIP166" s="187"/>
      <c r="PIQ166" s="187"/>
      <c r="PIR166" s="187"/>
      <c r="PIS166" s="187"/>
      <c r="PIT166" s="187"/>
      <c r="PIU166" s="187"/>
      <c r="PIV166" s="187"/>
      <c r="PIW166" s="187"/>
      <c r="PIX166" s="187"/>
      <c r="PIY166" s="187"/>
      <c r="PIZ166" s="187"/>
      <c r="PJA166" s="187"/>
      <c r="PJB166" s="187"/>
      <c r="PJC166" s="187"/>
      <c r="PJD166" s="187"/>
      <c r="PJE166" s="187"/>
      <c r="PJF166" s="187"/>
      <c r="PJG166" s="187"/>
      <c r="PJH166" s="187"/>
      <c r="PJI166" s="187"/>
      <c r="PJJ166" s="187"/>
      <c r="PJK166" s="187"/>
      <c r="PJL166" s="187"/>
      <c r="PJM166" s="187"/>
      <c r="PJN166" s="187"/>
      <c r="PJO166" s="187"/>
      <c r="PJP166" s="187"/>
      <c r="PJQ166" s="187"/>
      <c r="PJR166" s="187"/>
      <c r="PJS166" s="187"/>
      <c r="PJT166" s="187"/>
      <c r="PJU166" s="187"/>
      <c r="PJV166" s="187"/>
      <c r="PJW166" s="187"/>
      <c r="PJX166" s="187"/>
      <c r="PJY166" s="187"/>
      <c r="PJZ166" s="187"/>
      <c r="PKA166" s="187"/>
      <c r="PKB166" s="187"/>
      <c r="PKC166" s="187"/>
      <c r="PKD166" s="187"/>
      <c r="PKE166" s="187"/>
      <c r="PKF166" s="187"/>
      <c r="PKG166" s="187"/>
      <c r="PKH166" s="187"/>
      <c r="PKI166" s="187"/>
      <c r="PKJ166" s="187"/>
      <c r="PKK166" s="187"/>
      <c r="PKL166" s="187"/>
      <c r="PKM166" s="187"/>
      <c r="PKN166" s="187"/>
      <c r="PKO166" s="187"/>
      <c r="PKP166" s="187"/>
      <c r="PKQ166" s="187"/>
      <c r="PKR166" s="187"/>
      <c r="PKS166" s="187"/>
      <c r="PKT166" s="187"/>
      <c r="PKU166" s="187"/>
      <c r="PKV166" s="187"/>
      <c r="PKW166" s="187"/>
      <c r="PKX166" s="187"/>
      <c r="PKY166" s="187"/>
      <c r="PKZ166" s="187"/>
      <c r="PLA166" s="187"/>
      <c r="PLB166" s="187"/>
      <c r="PLC166" s="187"/>
      <c r="PLD166" s="187"/>
      <c r="PLE166" s="187"/>
      <c r="PLF166" s="187"/>
      <c r="PLG166" s="187"/>
      <c r="PLH166" s="187"/>
      <c r="PLI166" s="187"/>
      <c r="PLJ166" s="187"/>
      <c r="PLK166" s="187"/>
      <c r="PLL166" s="187"/>
      <c r="PLM166" s="187"/>
      <c r="PLN166" s="187"/>
      <c r="PLO166" s="187"/>
      <c r="PLP166" s="187"/>
      <c r="PLQ166" s="187"/>
      <c r="PLR166" s="187"/>
      <c r="PLS166" s="187"/>
      <c r="PLT166" s="187"/>
      <c r="PLU166" s="187"/>
      <c r="PLV166" s="187"/>
      <c r="PLW166" s="187"/>
      <c r="PLX166" s="187"/>
      <c r="PLY166" s="187"/>
      <c r="PLZ166" s="187"/>
      <c r="PMA166" s="187"/>
      <c r="PMB166" s="187"/>
      <c r="PMC166" s="187"/>
      <c r="PMD166" s="187"/>
      <c r="PME166" s="187"/>
      <c r="PMF166" s="187"/>
      <c r="PMG166" s="187"/>
      <c r="PMH166" s="187"/>
      <c r="PMI166" s="187"/>
      <c r="PMJ166" s="187"/>
      <c r="PMK166" s="187"/>
      <c r="PML166" s="187"/>
      <c r="PMM166" s="187"/>
      <c r="PMN166" s="187"/>
      <c r="PMO166" s="187"/>
      <c r="PMP166" s="187"/>
      <c r="PMQ166" s="187"/>
      <c r="PMR166" s="187"/>
      <c r="PMS166" s="187"/>
      <c r="PMT166" s="187"/>
      <c r="PMU166" s="187"/>
      <c r="PMV166" s="187"/>
      <c r="PMW166" s="187"/>
      <c r="PMX166" s="187"/>
      <c r="PMY166" s="187"/>
      <c r="PMZ166" s="187"/>
      <c r="PNA166" s="187"/>
      <c r="PNB166" s="187"/>
      <c r="PNC166" s="187"/>
      <c r="PND166" s="187"/>
      <c r="PNE166" s="187"/>
      <c r="PNF166" s="187"/>
      <c r="PNG166" s="187"/>
      <c r="PNH166" s="187"/>
      <c r="PNI166" s="187"/>
      <c r="PNJ166" s="187"/>
      <c r="PNK166" s="187"/>
      <c r="PNL166" s="187"/>
      <c r="PNM166" s="187"/>
      <c r="PNN166" s="187"/>
      <c r="PNO166" s="187"/>
      <c r="PNP166" s="187"/>
      <c r="PNQ166" s="187"/>
      <c r="PNR166" s="187"/>
      <c r="PNS166" s="187"/>
      <c r="PNT166" s="187"/>
      <c r="PNU166" s="187"/>
      <c r="PNV166" s="187"/>
      <c r="PNW166" s="187"/>
      <c r="PNX166" s="187"/>
      <c r="PNY166" s="187"/>
      <c r="PNZ166" s="187"/>
      <c r="POA166" s="187"/>
      <c r="POB166" s="187"/>
      <c r="POC166" s="187"/>
      <c r="POD166" s="187"/>
      <c r="POE166" s="187"/>
      <c r="POF166" s="187"/>
      <c r="POG166" s="187"/>
      <c r="POH166" s="187"/>
      <c r="POI166" s="187"/>
      <c r="POJ166" s="187"/>
      <c r="POK166" s="187"/>
      <c r="POL166" s="187"/>
      <c r="POM166" s="187"/>
      <c r="PON166" s="187"/>
      <c r="POO166" s="187"/>
      <c r="POP166" s="187"/>
      <c r="POQ166" s="187"/>
      <c r="POR166" s="187"/>
      <c r="POS166" s="187"/>
      <c r="POT166" s="187"/>
      <c r="POU166" s="187"/>
      <c r="POV166" s="187"/>
      <c r="POW166" s="187"/>
      <c r="POX166" s="187"/>
      <c r="POY166" s="187"/>
      <c r="POZ166" s="187"/>
      <c r="PPA166" s="187"/>
      <c r="PPB166" s="187"/>
      <c r="PPC166" s="187"/>
      <c r="PPD166" s="187"/>
      <c r="PPE166" s="187"/>
      <c r="PPF166" s="187"/>
      <c r="PPG166" s="187"/>
      <c r="PPH166" s="187"/>
      <c r="PPI166" s="187"/>
      <c r="PPJ166" s="187"/>
      <c r="PPK166" s="187"/>
      <c r="PPL166" s="187"/>
      <c r="PPM166" s="187"/>
      <c r="PPN166" s="187"/>
      <c r="PPO166" s="187"/>
      <c r="PPP166" s="187"/>
      <c r="PPQ166" s="187"/>
      <c r="PPR166" s="187"/>
      <c r="PPS166" s="187"/>
      <c r="PPT166" s="187"/>
      <c r="PPU166" s="187"/>
      <c r="PPV166" s="187"/>
      <c r="PPW166" s="187"/>
      <c r="PPX166" s="187"/>
      <c r="PPY166" s="187"/>
      <c r="PPZ166" s="187"/>
      <c r="PQA166" s="187"/>
      <c r="PQB166" s="187"/>
      <c r="PQC166" s="187"/>
      <c r="PQD166" s="187"/>
      <c r="PQE166" s="187"/>
      <c r="PQF166" s="187"/>
      <c r="PQG166" s="187"/>
      <c r="PQH166" s="187"/>
      <c r="PQI166" s="187"/>
      <c r="PQJ166" s="187"/>
      <c r="PQK166" s="187"/>
      <c r="PQL166" s="187"/>
      <c r="PQM166" s="187"/>
      <c r="PQN166" s="187"/>
      <c r="PQO166" s="187"/>
      <c r="PQP166" s="187"/>
      <c r="PQQ166" s="187"/>
      <c r="PQR166" s="187"/>
      <c r="PQS166" s="187"/>
      <c r="PQT166" s="187"/>
      <c r="PQU166" s="187"/>
      <c r="PQV166" s="187"/>
      <c r="PQW166" s="187"/>
      <c r="PQX166" s="187"/>
      <c r="PQY166" s="187"/>
      <c r="PQZ166" s="187"/>
      <c r="PRA166" s="187"/>
      <c r="PRB166" s="187"/>
      <c r="PRC166" s="187"/>
      <c r="PRD166" s="187"/>
      <c r="PRE166" s="187"/>
      <c r="PRF166" s="187"/>
      <c r="PRG166" s="187"/>
      <c r="PRH166" s="187"/>
      <c r="PRI166" s="187"/>
      <c r="PRJ166" s="187"/>
      <c r="PRK166" s="187"/>
      <c r="PRL166" s="187"/>
      <c r="PRM166" s="187"/>
      <c r="PRN166" s="187"/>
      <c r="PRO166" s="187"/>
      <c r="PRP166" s="187"/>
      <c r="PRQ166" s="187"/>
      <c r="PRR166" s="187"/>
      <c r="PRS166" s="187"/>
      <c r="PRT166" s="187"/>
      <c r="PRU166" s="187"/>
      <c r="PRV166" s="187"/>
      <c r="PRW166" s="187"/>
      <c r="PRX166" s="187"/>
      <c r="PRY166" s="187"/>
      <c r="PRZ166" s="187"/>
      <c r="PSA166" s="187"/>
      <c r="PSB166" s="187"/>
      <c r="PSC166" s="187"/>
      <c r="PSD166" s="187"/>
      <c r="PSE166" s="187"/>
      <c r="PSF166" s="187"/>
      <c r="PSG166" s="187"/>
      <c r="PSH166" s="187"/>
      <c r="PSI166" s="187"/>
      <c r="PSJ166" s="187"/>
      <c r="PSK166" s="187"/>
      <c r="PSL166" s="187"/>
      <c r="PSM166" s="187"/>
      <c r="PSN166" s="187"/>
      <c r="PSO166" s="187"/>
      <c r="PSP166" s="187"/>
      <c r="PSQ166" s="187"/>
      <c r="PSR166" s="187"/>
      <c r="PSS166" s="187"/>
      <c r="PST166" s="187"/>
      <c r="PSU166" s="187"/>
      <c r="PSV166" s="187"/>
      <c r="PSW166" s="187"/>
      <c r="PSX166" s="187"/>
      <c r="PSY166" s="187"/>
      <c r="PSZ166" s="187"/>
      <c r="PTA166" s="187"/>
      <c r="PTB166" s="187"/>
      <c r="PTC166" s="187"/>
      <c r="PTD166" s="187"/>
      <c r="PTE166" s="187"/>
      <c r="PTF166" s="187"/>
      <c r="PTG166" s="187"/>
      <c r="PTH166" s="187"/>
      <c r="PTI166" s="187"/>
      <c r="PTJ166" s="187"/>
      <c r="PTK166" s="187"/>
      <c r="PTL166" s="187"/>
      <c r="PTM166" s="187"/>
      <c r="PTN166" s="187"/>
      <c r="PTO166" s="187"/>
      <c r="PTP166" s="187"/>
      <c r="PTQ166" s="187"/>
      <c r="PTR166" s="187"/>
      <c r="PTS166" s="187"/>
      <c r="PTT166" s="187"/>
      <c r="PTU166" s="187"/>
      <c r="PTV166" s="187"/>
      <c r="PTW166" s="187"/>
      <c r="PTX166" s="187"/>
      <c r="PTY166" s="187"/>
      <c r="PTZ166" s="187"/>
      <c r="PUA166" s="187"/>
      <c r="PUB166" s="187"/>
      <c r="PUC166" s="187"/>
      <c r="PUD166" s="187"/>
      <c r="PUE166" s="187"/>
      <c r="PUF166" s="187"/>
      <c r="PUG166" s="187"/>
      <c r="PUH166" s="187"/>
      <c r="PUI166" s="187"/>
      <c r="PUJ166" s="187"/>
      <c r="PUK166" s="187"/>
      <c r="PUL166" s="187"/>
      <c r="PUM166" s="187"/>
      <c r="PUN166" s="187"/>
      <c r="PUO166" s="187"/>
      <c r="PUP166" s="187"/>
      <c r="PUQ166" s="187"/>
      <c r="PUR166" s="187"/>
      <c r="PUS166" s="187"/>
      <c r="PUT166" s="187"/>
      <c r="PUU166" s="187"/>
      <c r="PUV166" s="187"/>
      <c r="PUW166" s="187"/>
      <c r="PUX166" s="187"/>
      <c r="PUY166" s="187"/>
      <c r="PUZ166" s="187"/>
      <c r="PVA166" s="187"/>
      <c r="PVB166" s="187"/>
      <c r="PVC166" s="187"/>
      <c r="PVD166" s="187"/>
      <c r="PVE166" s="187"/>
      <c r="PVF166" s="187"/>
      <c r="PVG166" s="187"/>
      <c r="PVH166" s="187"/>
      <c r="PVI166" s="187"/>
      <c r="PVJ166" s="187"/>
      <c r="PVK166" s="187"/>
      <c r="PVL166" s="187"/>
      <c r="PVM166" s="187"/>
      <c r="PVN166" s="187"/>
      <c r="PVO166" s="187"/>
      <c r="PVP166" s="187"/>
      <c r="PVQ166" s="187"/>
      <c r="PVR166" s="187"/>
      <c r="PVS166" s="187"/>
      <c r="PVT166" s="187"/>
      <c r="PVU166" s="187"/>
      <c r="PVV166" s="187"/>
      <c r="PVW166" s="187"/>
      <c r="PVX166" s="187"/>
      <c r="PVY166" s="187"/>
      <c r="PVZ166" s="187"/>
      <c r="PWA166" s="187"/>
      <c r="PWB166" s="187"/>
      <c r="PWC166" s="187"/>
      <c r="PWD166" s="187"/>
      <c r="PWE166" s="187"/>
      <c r="PWF166" s="187"/>
      <c r="PWG166" s="187"/>
      <c r="PWH166" s="187"/>
      <c r="PWI166" s="187"/>
      <c r="PWJ166" s="187"/>
      <c r="PWK166" s="187"/>
      <c r="PWL166" s="187"/>
      <c r="PWM166" s="187"/>
      <c r="PWN166" s="187"/>
      <c r="PWO166" s="187"/>
      <c r="PWP166" s="187"/>
      <c r="PWQ166" s="187"/>
      <c r="PWR166" s="187"/>
      <c r="PWS166" s="187"/>
      <c r="PWT166" s="187"/>
      <c r="PWU166" s="187"/>
      <c r="PWV166" s="187"/>
      <c r="PWW166" s="187"/>
      <c r="PWX166" s="187"/>
      <c r="PWY166" s="187"/>
      <c r="PWZ166" s="187"/>
      <c r="PXA166" s="187"/>
      <c r="PXB166" s="187"/>
      <c r="PXC166" s="187"/>
      <c r="PXD166" s="187"/>
      <c r="PXE166" s="187"/>
      <c r="PXF166" s="187"/>
      <c r="PXG166" s="187"/>
      <c r="PXH166" s="187"/>
      <c r="PXI166" s="187"/>
      <c r="PXJ166" s="187"/>
      <c r="PXK166" s="187"/>
      <c r="PXL166" s="187"/>
      <c r="PXM166" s="187"/>
      <c r="PXN166" s="187"/>
      <c r="PXO166" s="187"/>
      <c r="PXP166" s="187"/>
      <c r="PXQ166" s="187"/>
      <c r="PXR166" s="187"/>
      <c r="PXS166" s="187"/>
      <c r="PXT166" s="187"/>
      <c r="PXU166" s="187"/>
      <c r="PXV166" s="187"/>
      <c r="PXW166" s="187"/>
      <c r="PXX166" s="187"/>
      <c r="PXY166" s="187"/>
      <c r="PXZ166" s="187"/>
      <c r="PYA166" s="187"/>
      <c r="PYB166" s="187"/>
      <c r="PYC166" s="187"/>
      <c r="PYD166" s="187"/>
      <c r="PYE166" s="187"/>
      <c r="PYF166" s="187"/>
      <c r="PYG166" s="187"/>
      <c r="PYH166" s="187"/>
      <c r="PYI166" s="187"/>
      <c r="PYJ166" s="187"/>
      <c r="PYK166" s="187"/>
      <c r="PYL166" s="187"/>
      <c r="PYM166" s="187"/>
      <c r="PYN166" s="187"/>
      <c r="PYO166" s="187"/>
      <c r="PYP166" s="187"/>
      <c r="PYQ166" s="187"/>
      <c r="PYR166" s="187"/>
      <c r="PYS166" s="187"/>
      <c r="PYT166" s="187"/>
      <c r="PYU166" s="187"/>
      <c r="PYV166" s="187"/>
      <c r="PYW166" s="187"/>
      <c r="PYX166" s="187"/>
      <c r="PYY166" s="187"/>
      <c r="PYZ166" s="187"/>
      <c r="PZA166" s="187"/>
      <c r="PZB166" s="187"/>
      <c r="PZC166" s="187"/>
      <c r="PZD166" s="187"/>
      <c r="PZE166" s="187"/>
      <c r="PZF166" s="187"/>
      <c r="PZG166" s="187"/>
      <c r="PZH166" s="187"/>
      <c r="PZI166" s="187"/>
      <c r="PZJ166" s="187"/>
      <c r="PZK166" s="187"/>
      <c r="PZL166" s="187"/>
      <c r="PZM166" s="187"/>
      <c r="PZN166" s="187"/>
      <c r="PZO166" s="187"/>
      <c r="PZP166" s="187"/>
      <c r="PZQ166" s="187"/>
      <c r="PZR166" s="187"/>
      <c r="PZS166" s="187"/>
      <c r="PZT166" s="187"/>
      <c r="PZU166" s="187"/>
      <c r="PZV166" s="187"/>
      <c r="PZW166" s="187"/>
      <c r="PZX166" s="187"/>
      <c r="PZY166" s="187"/>
      <c r="PZZ166" s="187"/>
      <c r="QAA166" s="187"/>
      <c r="QAB166" s="187"/>
      <c r="QAC166" s="187"/>
      <c r="QAD166" s="187"/>
      <c r="QAE166" s="187"/>
      <c r="QAF166" s="187"/>
      <c r="QAG166" s="187"/>
      <c r="QAH166" s="187"/>
      <c r="QAI166" s="187"/>
      <c r="QAJ166" s="187"/>
      <c r="QAK166" s="187"/>
      <c r="QAL166" s="187"/>
      <c r="QAM166" s="187"/>
      <c r="QAN166" s="187"/>
      <c r="QAO166" s="187"/>
      <c r="QAP166" s="187"/>
      <c r="QAQ166" s="187"/>
      <c r="QAR166" s="187"/>
      <c r="QAS166" s="187"/>
      <c r="QAT166" s="187"/>
      <c r="QAU166" s="187"/>
      <c r="QAV166" s="187"/>
      <c r="QAW166" s="187"/>
      <c r="QAX166" s="187"/>
      <c r="QAY166" s="187"/>
      <c r="QAZ166" s="187"/>
      <c r="QBA166" s="187"/>
      <c r="QBB166" s="187"/>
      <c r="QBC166" s="187"/>
      <c r="QBD166" s="187"/>
      <c r="QBE166" s="187"/>
      <c r="QBF166" s="187"/>
      <c r="QBG166" s="187"/>
      <c r="QBH166" s="187"/>
      <c r="QBI166" s="187"/>
      <c r="QBJ166" s="187"/>
      <c r="QBK166" s="187"/>
      <c r="QBL166" s="187"/>
      <c r="QBM166" s="187"/>
      <c r="QBN166" s="187"/>
      <c r="QBO166" s="187"/>
      <c r="QBP166" s="187"/>
      <c r="QBQ166" s="187"/>
      <c r="QBR166" s="187"/>
      <c r="QBS166" s="187"/>
      <c r="QBT166" s="187"/>
      <c r="QBU166" s="187"/>
      <c r="QBV166" s="187"/>
      <c r="QBW166" s="187"/>
      <c r="QBX166" s="187"/>
      <c r="QBY166" s="187"/>
      <c r="QBZ166" s="187"/>
      <c r="QCA166" s="187"/>
      <c r="QCB166" s="187"/>
      <c r="QCC166" s="187"/>
      <c r="QCD166" s="187"/>
      <c r="QCE166" s="187"/>
      <c r="QCF166" s="187"/>
      <c r="QCG166" s="187"/>
      <c r="QCH166" s="187"/>
      <c r="QCI166" s="187"/>
      <c r="QCJ166" s="187"/>
      <c r="QCK166" s="187"/>
      <c r="QCL166" s="187"/>
      <c r="QCM166" s="187"/>
      <c r="QCN166" s="187"/>
      <c r="QCO166" s="187"/>
      <c r="QCP166" s="187"/>
      <c r="QCQ166" s="187"/>
      <c r="QCR166" s="187"/>
      <c r="QCS166" s="187"/>
      <c r="QCT166" s="187"/>
      <c r="QCU166" s="187"/>
      <c r="QCV166" s="187"/>
      <c r="QCW166" s="187"/>
      <c r="QCX166" s="187"/>
      <c r="QCY166" s="187"/>
      <c r="QCZ166" s="187"/>
      <c r="QDA166" s="187"/>
      <c r="QDB166" s="187"/>
      <c r="QDC166" s="187"/>
      <c r="QDD166" s="187"/>
      <c r="QDE166" s="187"/>
      <c r="QDF166" s="187"/>
      <c r="QDG166" s="187"/>
      <c r="QDH166" s="187"/>
      <c r="QDI166" s="187"/>
      <c r="QDJ166" s="187"/>
      <c r="QDK166" s="187"/>
      <c r="QDL166" s="187"/>
      <c r="QDM166" s="187"/>
      <c r="QDN166" s="187"/>
      <c r="QDO166" s="187"/>
      <c r="QDP166" s="187"/>
      <c r="QDQ166" s="187"/>
      <c r="QDR166" s="187"/>
      <c r="QDS166" s="187"/>
      <c r="QDT166" s="187"/>
      <c r="QDU166" s="187"/>
      <c r="QDV166" s="187"/>
      <c r="QDW166" s="187"/>
      <c r="QDX166" s="187"/>
      <c r="QDY166" s="187"/>
      <c r="QDZ166" s="187"/>
      <c r="QEA166" s="187"/>
      <c r="QEB166" s="187"/>
      <c r="QEC166" s="187"/>
      <c r="QED166" s="187"/>
      <c r="QEE166" s="187"/>
      <c r="QEF166" s="187"/>
      <c r="QEG166" s="187"/>
      <c r="QEH166" s="187"/>
      <c r="QEI166" s="187"/>
      <c r="QEJ166" s="187"/>
      <c r="QEK166" s="187"/>
      <c r="QEL166" s="187"/>
      <c r="QEM166" s="187"/>
      <c r="QEN166" s="187"/>
      <c r="QEO166" s="187"/>
      <c r="QEP166" s="187"/>
      <c r="QEQ166" s="187"/>
      <c r="QER166" s="187"/>
      <c r="QES166" s="187"/>
      <c r="QET166" s="187"/>
      <c r="QEU166" s="187"/>
      <c r="QEV166" s="187"/>
      <c r="QEW166" s="187"/>
      <c r="QEX166" s="187"/>
      <c r="QEY166" s="187"/>
      <c r="QEZ166" s="187"/>
      <c r="QFA166" s="187"/>
      <c r="QFB166" s="187"/>
      <c r="QFC166" s="187"/>
      <c r="QFD166" s="187"/>
      <c r="QFE166" s="187"/>
      <c r="QFF166" s="187"/>
      <c r="QFG166" s="187"/>
      <c r="QFH166" s="187"/>
      <c r="QFI166" s="187"/>
      <c r="QFJ166" s="187"/>
      <c r="QFK166" s="187"/>
      <c r="QFL166" s="187"/>
      <c r="QFM166" s="187"/>
      <c r="QFN166" s="187"/>
      <c r="QFO166" s="187"/>
      <c r="QFP166" s="187"/>
      <c r="QFQ166" s="187"/>
      <c r="QFR166" s="187"/>
      <c r="QFS166" s="187"/>
      <c r="QFT166" s="187"/>
      <c r="QFU166" s="187"/>
      <c r="QFV166" s="187"/>
      <c r="QFW166" s="187"/>
      <c r="QFX166" s="187"/>
      <c r="QFY166" s="187"/>
      <c r="QFZ166" s="187"/>
      <c r="QGA166" s="187"/>
      <c r="QGB166" s="187"/>
      <c r="QGC166" s="187"/>
      <c r="QGD166" s="187"/>
      <c r="QGE166" s="187"/>
      <c r="QGF166" s="187"/>
      <c r="QGG166" s="187"/>
      <c r="QGH166" s="187"/>
      <c r="QGI166" s="187"/>
      <c r="QGJ166" s="187"/>
      <c r="QGK166" s="187"/>
      <c r="QGL166" s="187"/>
      <c r="QGM166" s="187"/>
      <c r="QGN166" s="187"/>
      <c r="QGO166" s="187"/>
      <c r="QGP166" s="187"/>
      <c r="QGQ166" s="187"/>
      <c r="QGR166" s="187"/>
      <c r="QGS166" s="187"/>
      <c r="QGT166" s="187"/>
      <c r="QGU166" s="187"/>
      <c r="QGV166" s="187"/>
      <c r="QGW166" s="187"/>
      <c r="QGX166" s="187"/>
      <c r="QGY166" s="187"/>
      <c r="QGZ166" s="187"/>
      <c r="QHA166" s="187"/>
      <c r="QHB166" s="187"/>
      <c r="QHC166" s="187"/>
      <c r="QHD166" s="187"/>
      <c r="QHE166" s="187"/>
      <c r="QHF166" s="187"/>
      <c r="QHG166" s="187"/>
      <c r="QHH166" s="187"/>
      <c r="QHI166" s="187"/>
      <c r="QHJ166" s="187"/>
      <c r="QHK166" s="187"/>
      <c r="QHL166" s="187"/>
      <c r="QHM166" s="187"/>
      <c r="QHN166" s="187"/>
      <c r="QHO166" s="187"/>
      <c r="QHP166" s="187"/>
      <c r="QHQ166" s="187"/>
      <c r="QHR166" s="187"/>
      <c r="QHS166" s="187"/>
      <c r="QHT166" s="187"/>
      <c r="QHU166" s="187"/>
      <c r="QHV166" s="187"/>
      <c r="QHW166" s="187"/>
      <c r="QHX166" s="187"/>
      <c r="QHY166" s="187"/>
      <c r="QHZ166" s="187"/>
      <c r="QIA166" s="187"/>
      <c r="QIB166" s="187"/>
      <c r="QIC166" s="187"/>
      <c r="QID166" s="187"/>
      <c r="QIE166" s="187"/>
      <c r="QIF166" s="187"/>
      <c r="QIG166" s="187"/>
      <c r="QIH166" s="187"/>
      <c r="QII166" s="187"/>
      <c r="QIJ166" s="187"/>
      <c r="QIK166" s="187"/>
      <c r="QIL166" s="187"/>
      <c r="QIM166" s="187"/>
      <c r="QIN166" s="187"/>
      <c r="QIO166" s="187"/>
      <c r="QIP166" s="187"/>
      <c r="QIQ166" s="187"/>
      <c r="QIR166" s="187"/>
      <c r="QIS166" s="187"/>
      <c r="QIT166" s="187"/>
      <c r="QIU166" s="187"/>
      <c r="QIV166" s="187"/>
      <c r="QIW166" s="187"/>
      <c r="QIX166" s="187"/>
      <c r="QIY166" s="187"/>
      <c r="QIZ166" s="187"/>
      <c r="QJA166" s="187"/>
      <c r="QJB166" s="187"/>
      <c r="QJC166" s="187"/>
      <c r="QJD166" s="187"/>
      <c r="QJE166" s="187"/>
      <c r="QJF166" s="187"/>
      <c r="QJG166" s="187"/>
      <c r="QJH166" s="187"/>
      <c r="QJI166" s="187"/>
      <c r="QJJ166" s="187"/>
      <c r="QJK166" s="187"/>
      <c r="QJL166" s="187"/>
      <c r="QJM166" s="187"/>
      <c r="QJN166" s="187"/>
      <c r="QJO166" s="187"/>
      <c r="QJP166" s="187"/>
      <c r="QJQ166" s="187"/>
      <c r="QJR166" s="187"/>
      <c r="QJS166" s="187"/>
      <c r="QJT166" s="187"/>
      <c r="QJU166" s="187"/>
      <c r="QJV166" s="187"/>
      <c r="QJW166" s="187"/>
      <c r="QJX166" s="187"/>
      <c r="QJY166" s="187"/>
      <c r="QJZ166" s="187"/>
      <c r="QKA166" s="187"/>
      <c r="QKB166" s="187"/>
      <c r="QKC166" s="187"/>
      <c r="QKD166" s="187"/>
      <c r="QKE166" s="187"/>
      <c r="QKF166" s="187"/>
      <c r="QKG166" s="187"/>
      <c r="QKH166" s="187"/>
      <c r="QKI166" s="187"/>
      <c r="QKJ166" s="187"/>
      <c r="QKK166" s="187"/>
      <c r="QKL166" s="187"/>
      <c r="QKM166" s="187"/>
      <c r="QKN166" s="187"/>
      <c r="QKO166" s="187"/>
      <c r="QKP166" s="187"/>
      <c r="QKQ166" s="187"/>
      <c r="QKR166" s="187"/>
      <c r="QKS166" s="187"/>
      <c r="QKT166" s="187"/>
      <c r="QKU166" s="187"/>
      <c r="QKV166" s="187"/>
      <c r="QKW166" s="187"/>
      <c r="QKX166" s="187"/>
      <c r="QKY166" s="187"/>
      <c r="QKZ166" s="187"/>
      <c r="QLA166" s="187"/>
      <c r="QLB166" s="187"/>
      <c r="QLC166" s="187"/>
      <c r="QLD166" s="187"/>
      <c r="QLE166" s="187"/>
      <c r="QLF166" s="187"/>
      <c r="QLG166" s="187"/>
      <c r="QLH166" s="187"/>
      <c r="QLI166" s="187"/>
      <c r="QLJ166" s="187"/>
      <c r="QLK166" s="187"/>
      <c r="QLL166" s="187"/>
      <c r="QLM166" s="187"/>
      <c r="QLN166" s="187"/>
      <c r="QLO166" s="187"/>
      <c r="QLP166" s="187"/>
      <c r="QLQ166" s="187"/>
      <c r="QLR166" s="187"/>
      <c r="QLS166" s="187"/>
      <c r="QLT166" s="187"/>
      <c r="QLU166" s="187"/>
      <c r="QLV166" s="187"/>
      <c r="QLW166" s="187"/>
      <c r="QLX166" s="187"/>
      <c r="QLY166" s="187"/>
      <c r="QLZ166" s="187"/>
      <c r="QMA166" s="187"/>
      <c r="QMB166" s="187"/>
      <c r="QMC166" s="187"/>
      <c r="QMD166" s="187"/>
      <c r="QME166" s="187"/>
      <c r="QMF166" s="187"/>
      <c r="QMG166" s="187"/>
      <c r="QMH166" s="187"/>
      <c r="QMI166" s="187"/>
      <c r="QMJ166" s="187"/>
      <c r="QMK166" s="187"/>
      <c r="QML166" s="187"/>
      <c r="QMM166" s="187"/>
      <c r="QMN166" s="187"/>
      <c r="QMO166" s="187"/>
      <c r="QMP166" s="187"/>
      <c r="QMQ166" s="187"/>
      <c r="QMR166" s="187"/>
      <c r="QMS166" s="187"/>
      <c r="QMT166" s="187"/>
      <c r="QMU166" s="187"/>
      <c r="QMV166" s="187"/>
      <c r="QMW166" s="187"/>
      <c r="QMX166" s="187"/>
      <c r="QMY166" s="187"/>
      <c r="QMZ166" s="187"/>
      <c r="QNA166" s="187"/>
      <c r="QNB166" s="187"/>
      <c r="QNC166" s="187"/>
      <c r="QND166" s="187"/>
      <c r="QNE166" s="187"/>
      <c r="QNF166" s="187"/>
      <c r="QNG166" s="187"/>
      <c r="QNH166" s="187"/>
      <c r="QNI166" s="187"/>
      <c r="QNJ166" s="187"/>
      <c r="QNK166" s="187"/>
      <c r="QNL166" s="187"/>
      <c r="QNM166" s="187"/>
      <c r="QNN166" s="187"/>
      <c r="QNO166" s="187"/>
      <c r="QNP166" s="187"/>
      <c r="QNQ166" s="187"/>
      <c r="QNR166" s="187"/>
      <c r="QNS166" s="187"/>
      <c r="QNT166" s="187"/>
      <c r="QNU166" s="187"/>
      <c r="QNV166" s="187"/>
      <c r="QNW166" s="187"/>
      <c r="QNX166" s="187"/>
      <c r="QNY166" s="187"/>
      <c r="QNZ166" s="187"/>
      <c r="QOA166" s="187"/>
      <c r="QOB166" s="187"/>
      <c r="QOC166" s="187"/>
      <c r="QOD166" s="187"/>
      <c r="QOE166" s="187"/>
      <c r="QOF166" s="187"/>
      <c r="QOG166" s="187"/>
      <c r="QOH166" s="187"/>
      <c r="QOI166" s="187"/>
      <c r="QOJ166" s="187"/>
      <c r="QOK166" s="187"/>
      <c r="QOL166" s="187"/>
      <c r="QOM166" s="187"/>
      <c r="QON166" s="187"/>
      <c r="QOO166" s="187"/>
      <c r="QOP166" s="187"/>
      <c r="QOQ166" s="187"/>
      <c r="QOR166" s="187"/>
      <c r="QOS166" s="187"/>
      <c r="QOT166" s="187"/>
      <c r="QOU166" s="187"/>
      <c r="QOV166" s="187"/>
      <c r="QOW166" s="187"/>
      <c r="QOX166" s="187"/>
      <c r="QOY166" s="187"/>
      <c r="QOZ166" s="187"/>
      <c r="QPA166" s="187"/>
      <c r="QPB166" s="187"/>
      <c r="QPC166" s="187"/>
      <c r="QPD166" s="187"/>
      <c r="QPE166" s="187"/>
      <c r="QPF166" s="187"/>
      <c r="QPG166" s="187"/>
      <c r="QPH166" s="187"/>
      <c r="QPI166" s="187"/>
      <c r="QPJ166" s="187"/>
      <c r="QPK166" s="187"/>
      <c r="QPL166" s="187"/>
      <c r="QPM166" s="187"/>
      <c r="QPN166" s="187"/>
      <c r="QPO166" s="187"/>
      <c r="QPP166" s="187"/>
      <c r="QPQ166" s="187"/>
      <c r="QPR166" s="187"/>
      <c r="QPS166" s="187"/>
      <c r="QPT166" s="187"/>
      <c r="QPU166" s="187"/>
      <c r="QPV166" s="187"/>
      <c r="QPW166" s="187"/>
      <c r="QPX166" s="187"/>
      <c r="QPY166" s="187"/>
      <c r="QPZ166" s="187"/>
      <c r="QQA166" s="187"/>
      <c r="QQB166" s="187"/>
      <c r="QQC166" s="187"/>
      <c r="QQD166" s="187"/>
      <c r="QQE166" s="187"/>
      <c r="QQF166" s="187"/>
      <c r="QQG166" s="187"/>
      <c r="QQH166" s="187"/>
      <c r="QQI166" s="187"/>
      <c r="QQJ166" s="187"/>
      <c r="QQK166" s="187"/>
      <c r="QQL166" s="187"/>
      <c r="QQM166" s="187"/>
      <c r="QQN166" s="187"/>
      <c r="QQO166" s="187"/>
      <c r="QQP166" s="187"/>
      <c r="QQQ166" s="187"/>
      <c r="QQR166" s="187"/>
      <c r="QQS166" s="187"/>
      <c r="QQT166" s="187"/>
      <c r="QQU166" s="187"/>
      <c r="QQV166" s="187"/>
      <c r="QQW166" s="187"/>
      <c r="QQX166" s="187"/>
      <c r="QQY166" s="187"/>
      <c r="QQZ166" s="187"/>
      <c r="QRA166" s="187"/>
      <c r="QRB166" s="187"/>
      <c r="QRC166" s="187"/>
      <c r="QRD166" s="187"/>
      <c r="QRE166" s="187"/>
      <c r="QRF166" s="187"/>
      <c r="QRG166" s="187"/>
      <c r="QRH166" s="187"/>
      <c r="QRI166" s="187"/>
      <c r="QRJ166" s="187"/>
      <c r="QRK166" s="187"/>
      <c r="QRL166" s="187"/>
      <c r="QRM166" s="187"/>
      <c r="QRN166" s="187"/>
      <c r="QRO166" s="187"/>
      <c r="QRP166" s="187"/>
      <c r="QRQ166" s="187"/>
      <c r="QRR166" s="187"/>
      <c r="QRS166" s="187"/>
      <c r="QRT166" s="187"/>
      <c r="QRU166" s="187"/>
      <c r="QRV166" s="187"/>
      <c r="QRW166" s="187"/>
      <c r="QRX166" s="187"/>
      <c r="QRY166" s="187"/>
      <c r="QRZ166" s="187"/>
      <c r="QSA166" s="187"/>
      <c r="QSB166" s="187"/>
      <c r="QSC166" s="187"/>
      <c r="QSD166" s="187"/>
      <c r="QSE166" s="187"/>
      <c r="QSF166" s="187"/>
      <c r="QSG166" s="187"/>
      <c r="QSH166" s="187"/>
      <c r="QSI166" s="187"/>
      <c r="QSJ166" s="187"/>
      <c r="QSK166" s="187"/>
      <c r="QSL166" s="187"/>
      <c r="QSM166" s="187"/>
      <c r="QSN166" s="187"/>
      <c r="QSO166" s="187"/>
      <c r="QSP166" s="187"/>
      <c r="QSQ166" s="187"/>
      <c r="QSR166" s="187"/>
      <c r="QSS166" s="187"/>
      <c r="QST166" s="187"/>
      <c r="QSU166" s="187"/>
      <c r="QSV166" s="187"/>
      <c r="QSW166" s="187"/>
      <c r="QSX166" s="187"/>
      <c r="QSY166" s="187"/>
      <c r="QSZ166" s="187"/>
      <c r="QTA166" s="187"/>
      <c r="QTB166" s="187"/>
      <c r="QTC166" s="187"/>
      <c r="QTD166" s="187"/>
      <c r="QTE166" s="187"/>
      <c r="QTF166" s="187"/>
      <c r="QTG166" s="187"/>
      <c r="QTH166" s="187"/>
      <c r="QTI166" s="187"/>
      <c r="QTJ166" s="187"/>
      <c r="QTK166" s="187"/>
      <c r="QTL166" s="187"/>
      <c r="QTM166" s="187"/>
      <c r="QTN166" s="187"/>
      <c r="QTO166" s="187"/>
      <c r="QTP166" s="187"/>
      <c r="QTQ166" s="187"/>
      <c r="QTR166" s="187"/>
      <c r="QTS166" s="187"/>
      <c r="QTT166" s="187"/>
      <c r="QTU166" s="187"/>
      <c r="QTV166" s="187"/>
      <c r="QTW166" s="187"/>
      <c r="QTX166" s="187"/>
      <c r="QTY166" s="187"/>
      <c r="QTZ166" s="187"/>
      <c r="QUA166" s="187"/>
      <c r="QUB166" s="187"/>
      <c r="QUC166" s="187"/>
      <c r="QUD166" s="187"/>
      <c r="QUE166" s="187"/>
      <c r="QUF166" s="187"/>
      <c r="QUG166" s="187"/>
      <c r="QUH166" s="187"/>
      <c r="QUI166" s="187"/>
      <c r="QUJ166" s="187"/>
      <c r="QUK166" s="187"/>
      <c r="QUL166" s="187"/>
      <c r="QUM166" s="187"/>
      <c r="QUN166" s="187"/>
      <c r="QUO166" s="187"/>
      <c r="QUP166" s="187"/>
      <c r="QUQ166" s="187"/>
      <c r="QUR166" s="187"/>
      <c r="QUS166" s="187"/>
      <c r="QUT166" s="187"/>
      <c r="QUU166" s="187"/>
      <c r="QUV166" s="187"/>
      <c r="QUW166" s="187"/>
      <c r="QUX166" s="187"/>
      <c r="QUY166" s="187"/>
      <c r="QUZ166" s="187"/>
      <c r="QVA166" s="187"/>
      <c r="QVB166" s="187"/>
      <c r="QVC166" s="187"/>
      <c r="QVD166" s="187"/>
      <c r="QVE166" s="187"/>
      <c r="QVF166" s="187"/>
      <c r="QVG166" s="187"/>
      <c r="QVH166" s="187"/>
      <c r="QVI166" s="187"/>
      <c r="QVJ166" s="187"/>
      <c r="QVK166" s="187"/>
      <c r="QVL166" s="187"/>
      <c r="QVM166" s="187"/>
      <c r="QVN166" s="187"/>
      <c r="QVO166" s="187"/>
      <c r="QVP166" s="187"/>
      <c r="QVQ166" s="187"/>
      <c r="QVR166" s="187"/>
      <c r="QVS166" s="187"/>
      <c r="QVT166" s="187"/>
      <c r="QVU166" s="187"/>
      <c r="QVV166" s="187"/>
      <c r="QVW166" s="187"/>
      <c r="QVX166" s="187"/>
      <c r="QVY166" s="187"/>
      <c r="QVZ166" s="187"/>
      <c r="QWA166" s="187"/>
      <c r="QWB166" s="187"/>
      <c r="QWC166" s="187"/>
      <c r="QWD166" s="187"/>
      <c r="QWE166" s="187"/>
      <c r="QWF166" s="187"/>
      <c r="QWG166" s="187"/>
      <c r="QWH166" s="187"/>
      <c r="QWI166" s="187"/>
      <c r="QWJ166" s="187"/>
      <c r="QWK166" s="187"/>
      <c r="QWL166" s="187"/>
      <c r="QWM166" s="187"/>
      <c r="QWN166" s="187"/>
      <c r="QWO166" s="187"/>
      <c r="QWP166" s="187"/>
      <c r="QWQ166" s="187"/>
      <c r="QWR166" s="187"/>
      <c r="QWS166" s="187"/>
      <c r="QWT166" s="187"/>
      <c r="QWU166" s="187"/>
      <c r="QWV166" s="187"/>
      <c r="QWW166" s="187"/>
      <c r="QWX166" s="187"/>
      <c r="QWY166" s="187"/>
      <c r="QWZ166" s="187"/>
      <c r="QXA166" s="187"/>
      <c r="QXB166" s="187"/>
      <c r="QXC166" s="187"/>
      <c r="QXD166" s="187"/>
      <c r="QXE166" s="187"/>
      <c r="QXF166" s="187"/>
      <c r="QXG166" s="187"/>
      <c r="QXH166" s="187"/>
      <c r="QXI166" s="187"/>
      <c r="QXJ166" s="187"/>
      <c r="QXK166" s="187"/>
      <c r="QXL166" s="187"/>
      <c r="QXM166" s="187"/>
      <c r="QXN166" s="187"/>
      <c r="QXO166" s="187"/>
      <c r="QXP166" s="187"/>
      <c r="QXQ166" s="187"/>
      <c r="QXR166" s="187"/>
      <c r="QXS166" s="187"/>
      <c r="QXT166" s="187"/>
      <c r="QXU166" s="187"/>
      <c r="QXV166" s="187"/>
      <c r="QXW166" s="187"/>
      <c r="QXX166" s="187"/>
      <c r="QXY166" s="187"/>
      <c r="QXZ166" s="187"/>
      <c r="QYA166" s="187"/>
      <c r="QYB166" s="187"/>
      <c r="QYC166" s="187"/>
      <c r="QYD166" s="187"/>
      <c r="QYE166" s="187"/>
      <c r="QYF166" s="187"/>
      <c r="QYG166" s="187"/>
      <c r="QYH166" s="187"/>
      <c r="QYI166" s="187"/>
      <c r="QYJ166" s="187"/>
      <c r="QYK166" s="187"/>
      <c r="QYL166" s="187"/>
      <c r="QYM166" s="187"/>
      <c r="QYN166" s="187"/>
      <c r="QYO166" s="187"/>
      <c r="QYP166" s="187"/>
      <c r="QYQ166" s="187"/>
      <c r="QYR166" s="187"/>
      <c r="QYS166" s="187"/>
      <c r="QYT166" s="187"/>
      <c r="QYU166" s="187"/>
      <c r="QYV166" s="187"/>
      <c r="QYW166" s="187"/>
      <c r="QYX166" s="187"/>
      <c r="QYY166" s="187"/>
      <c r="QYZ166" s="187"/>
      <c r="QZA166" s="187"/>
      <c r="QZB166" s="187"/>
      <c r="QZC166" s="187"/>
      <c r="QZD166" s="187"/>
      <c r="QZE166" s="187"/>
      <c r="QZF166" s="187"/>
      <c r="QZG166" s="187"/>
      <c r="QZH166" s="187"/>
      <c r="QZI166" s="187"/>
      <c r="QZJ166" s="187"/>
      <c r="QZK166" s="187"/>
      <c r="QZL166" s="187"/>
      <c r="QZM166" s="187"/>
      <c r="QZN166" s="187"/>
      <c r="QZO166" s="187"/>
      <c r="QZP166" s="187"/>
      <c r="QZQ166" s="187"/>
      <c r="QZR166" s="187"/>
      <c r="QZS166" s="187"/>
      <c r="QZT166" s="187"/>
      <c r="QZU166" s="187"/>
      <c r="QZV166" s="187"/>
      <c r="QZW166" s="187"/>
      <c r="QZX166" s="187"/>
      <c r="QZY166" s="187"/>
      <c r="QZZ166" s="187"/>
      <c r="RAA166" s="187"/>
      <c r="RAB166" s="187"/>
      <c r="RAC166" s="187"/>
      <c r="RAD166" s="187"/>
      <c r="RAE166" s="187"/>
      <c r="RAF166" s="187"/>
      <c r="RAG166" s="187"/>
      <c r="RAH166" s="187"/>
      <c r="RAI166" s="187"/>
      <c r="RAJ166" s="187"/>
      <c r="RAK166" s="187"/>
      <c r="RAL166" s="187"/>
      <c r="RAM166" s="187"/>
      <c r="RAN166" s="187"/>
      <c r="RAO166" s="187"/>
      <c r="RAP166" s="187"/>
      <c r="RAQ166" s="187"/>
      <c r="RAR166" s="187"/>
      <c r="RAS166" s="187"/>
      <c r="RAT166" s="187"/>
      <c r="RAU166" s="187"/>
      <c r="RAV166" s="187"/>
      <c r="RAW166" s="187"/>
      <c r="RAX166" s="187"/>
      <c r="RAY166" s="187"/>
      <c r="RAZ166" s="187"/>
      <c r="RBA166" s="187"/>
      <c r="RBB166" s="187"/>
      <c r="RBC166" s="187"/>
      <c r="RBD166" s="187"/>
      <c r="RBE166" s="187"/>
      <c r="RBF166" s="187"/>
      <c r="RBG166" s="187"/>
      <c r="RBH166" s="187"/>
      <c r="RBI166" s="187"/>
      <c r="RBJ166" s="187"/>
      <c r="RBK166" s="187"/>
      <c r="RBL166" s="187"/>
      <c r="RBM166" s="187"/>
      <c r="RBN166" s="187"/>
      <c r="RBO166" s="187"/>
      <c r="RBP166" s="187"/>
      <c r="RBQ166" s="187"/>
      <c r="RBR166" s="187"/>
      <c r="RBS166" s="187"/>
      <c r="RBT166" s="187"/>
      <c r="RBU166" s="187"/>
      <c r="RBV166" s="187"/>
      <c r="RBW166" s="187"/>
      <c r="RBX166" s="187"/>
      <c r="RBY166" s="187"/>
      <c r="RBZ166" s="187"/>
      <c r="RCA166" s="187"/>
      <c r="RCB166" s="187"/>
      <c r="RCC166" s="187"/>
      <c r="RCD166" s="187"/>
      <c r="RCE166" s="187"/>
      <c r="RCF166" s="187"/>
      <c r="RCG166" s="187"/>
      <c r="RCH166" s="187"/>
      <c r="RCI166" s="187"/>
      <c r="RCJ166" s="187"/>
      <c r="RCK166" s="187"/>
      <c r="RCL166" s="187"/>
      <c r="RCM166" s="187"/>
      <c r="RCN166" s="187"/>
      <c r="RCO166" s="187"/>
      <c r="RCP166" s="187"/>
      <c r="RCQ166" s="187"/>
      <c r="RCR166" s="187"/>
      <c r="RCS166" s="187"/>
      <c r="RCT166" s="187"/>
      <c r="RCU166" s="187"/>
      <c r="RCV166" s="187"/>
      <c r="RCW166" s="187"/>
      <c r="RCX166" s="187"/>
      <c r="RCY166" s="187"/>
      <c r="RCZ166" s="187"/>
      <c r="RDA166" s="187"/>
      <c r="RDB166" s="187"/>
      <c r="RDC166" s="187"/>
      <c r="RDD166" s="187"/>
      <c r="RDE166" s="187"/>
      <c r="RDF166" s="187"/>
      <c r="RDG166" s="187"/>
      <c r="RDH166" s="187"/>
      <c r="RDI166" s="187"/>
      <c r="RDJ166" s="187"/>
      <c r="RDK166" s="187"/>
      <c r="RDL166" s="187"/>
      <c r="RDM166" s="187"/>
      <c r="RDN166" s="187"/>
      <c r="RDO166" s="187"/>
      <c r="RDP166" s="187"/>
      <c r="RDQ166" s="187"/>
      <c r="RDR166" s="187"/>
      <c r="RDS166" s="187"/>
      <c r="RDT166" s="187"/>
      <c r="RDU166" s="187"/>
      <c r="RDV166" s="187"/>
      <c r="RDW166" s="187"/>
      <c r="RDX166" s="187"/>
      <c r="RDY166" s="187"/>
      <c r="RDZ166" s="187"/>
      <c r="REA166" s="187"/>
      <c r="REB166" s="187"/>
      <c r="REC166" s="187"/>
      <c r="RED166" s="187"/>
      <c r="REE166" s="187"/>
      <c r="REF166" s="187"/>
      <c r="REG166" s="187"/>
      <c r="REH166" s="187"/>
      <c r="REI166" s="187"/>
      <c r="REJ166" s="187"/>
      <c r="REK166" s="187"/>
      <c r="REL166" s="187"/>
      <c r="REM166" s="187"/>
      <c r="REN166" s="187"/>
      <c r="REO166" s="187"/>
      <c r="REP166" s="187"/>
      <c r="REQ166" s="187"/>
      <c r="RER166" s="187"/>
      <c r="RES166" s="187"/>
      <c r="RET166" s="187"/>
      <c r="REU166" s="187"/>
      <c r="REV166" s="187"/>
      <c r="REW166" s="187"/>
      <c r="REX166" s="187"/>
      <c r="REY166" s="187"/>
      <c r="REZ166" s="187"/>
      <c r="RFA166" s="187"/>
      <c r="RFB166" s="187"/>
      <c r="RFC166" s="187"/>
      <c r="RFD166" s="187"/>
      <c r="RFE166" s="187"/>
      <c r="RFF166" s="187"/>
      <c r="RFG166" s="187"/>
      <c r="RFH166" s="187"/>
      <c r="RFI166" s="187"/>
      <c r="RFJ166" s="187"/>
      <c r="RFK166" s="187"/>
      <c r="RFL166" s="187"/>
      <c r="RFM166" s="187"/>
      <c r="RFN166" s="187"/>
      <c r="RFO166" s="187"/>
      <c r="RFP166" s="187"/>
      <c r="RFQ166" s="187"/>
      <c r="RFR166" s="187"/>
      <c r="RFS166" s="187"/>
      <c r="RFT166" s="187"/>
      <c r="RFU166" s="187"/>
      <c r="RFV166" s="187"/>
      <c r="RFW166" s="187"/>
      <c r="RFX166" s="187"/>
      <c r="RFY166" s="187"/>
      <c r="RFZ166" s="187"/>
      <c r="RGA166" s="187"/>
      <c r="RGB166" s="187"/>
      <c r="RGC166" s="187"/>
      <c r="RGD166" s="187"/>
      <c r="RGE166" s="187"/>
      <c r="RGF166" s="187"/>
      <c r="RGG166" s="187"/>
      <c r="RGH166" s="187"/>
      <c r="RGI166" s="187"/>
      <c r="RGJ166" s="187"/>
      <c r="RGK166" s="187"/>
      <c r="RGL166" s="187"/>
      <c r="RGM166" s="187"/>
      <c r="RGN166" s="187"/>
      <c r="RGO166" s="187"/>
      <c r="RGP166" s="187"/>
      <c r="RGQ166" s="187"/>
      <c r="RGR166" s="187"/>
      <c r="RGS166" s="187"/>
      <c r="RGT166" s="187"/>
      <c r="RGU166" s="187"/>
      <c r="RGV166" s="187"/>
      <c r="RGW166" s="187"/>
      <c r="RGX166" s="187"/>
      <c r="RGY166" s="187"/>
      <c r="RGZ166" s="187"/>
      <c r="RHA166" s="187"/>
      <c r="RHB166" s="187"/>
      <c r="RHC166" s="187"/>
      <c r="RHD166" s="187"/>
      <c r="RHE166" s="187"/>
      <c r="RHF166" s="187"/>
      <c r="RHG166" s="187"/>
      <c r="RHH166" s="187"/>
      <c r="RHI166" s="187"/>
      <c r="RHJ166" s="187"/>
      <c r="RHK166" s="187"/>
      <c r="RHL166" s="187"/>
      <c r="RHM166" s="187"/>
      <c r="RHN166" s="187"/>
      <c r="RHO166" s="187"/>
      <c r="RHP166" s="187"/>
      <c r="RHQ166" s="187"/>
      <c r="RHR166" s="187"/>
      <c r="RHS166" s="187"/>
      <c r="RHT166" s="187"/>
      <c r="RHU166" s="187"/>
      <c r="RHV166" s="187"/>
      <c r="RHW166" s="187"/>
      <c r="RHX166" s="187"/>
      <c r="RHY166" s="187"/>
      <c r="RHZ166" s="187"/>
      <c r="RIA166" s="187"/>
      <c r="RIB166" s="187"/>
      <c r="RIC166" s="187"/>
      <c r="RID166" s="187"/>
      <c r="RIE166" s="187"/>
      <c r="RIF166" s="187"/>
      <c r="RIG166" s="187"/>
      <c r="RIH166" s="187"/>
      <c r="RII166" s="187"/>
      <c r="RIJ166" s="187"/>
      <c r="RIK166" s="187"/>
      <c r="RIL166" s="187"/>
      <c r="RIM166" s="187"/>
      <c r="RIN166" s="187"/>
      <c r="RIO166" s="187"/>
      <c r="RIP166" s="187"/>
      <c r="RIQ166" s="187"/>
      <c r="RIR166" s="187"/>
      <c r="RIS166" s="187"/>
      <c r="RIT166" s="187"/>
      <c r="RIU166" s="187"/>
      <c r="RIV166" s="187"/>
      <c r="RIW166" s="187"/>
      <c r="RIX166" s="187"/>
      <c r="RIY166" s="187"/>
      <c r="RIZ166" s="187"/>
      <c r="RJA166" s="187"/>
      <c r="RJB166" s="187"/>
      <c r="RJC166" s="187"/>
      <c r="RJD166" s="187"/>
      <c r="RJE166" s="187"/>
      <c r="RJF166" s="187"/>
      <c r="RJG166" s="187"/>
      <c r="RJH166" s="187"/>
      <c r="RJI166" s="187"/>
      <c r="RJJ166" s="187"/>
      <c r="RJK166" s="187"/>
      <c r="RJL166" s="187"/>
      <c r="RJM166" s="187"/>
      <c r="RJN166" s="187"/>
      <c r="RJO166" s="187"/>
      <c r="RJP166" s="187"/>
      <c r="RJQ166" s="187"/>
      <c r="RJR166" s="187"/>
      <c r="RJS166" s="187"/>
      <c r="RJT166" s="187"/>
      <c r="RJU166" s="187"/>
      <c r="RJV166" s="187"/>
      <c r="RJW166" s="187"/>
      <c r="RJX166" s="187"/>
      <c r="RJY166" s="187"/>
      <c r="RJZ166" s="187"/>
      <c r="RKA166" s="187"/>
      <c r="RKB166" s="187"/>
      <c r="RKC166" s="187"/>
      <c r="RKD166" s="187"/>
      <c r="RKE166" s="187"/>
      <c r="RKF166" s="187"/>
      <c r="RKG166" s="187"/>
      <c r="RKH166" s="187"/>
      <c r="RKI166" s="187"/>
      <c r="RKJ166" s="187"/>
      <c r="RKK166" s="187"/>
      <c r="RKL166" s="187"/>
      <c r="RKM166" s="187"/>
      <c r="RKN166" s="187"/>
      <c r="RKO166" s="187"/>
      <c r="RKP166" s="187"/>
      <c r="RKQ166" s="187"/>
      <c r="RKR166" s="187"/>
      <c r="RKS166" s="187"/>
      <c r="RKT166" s="187"/>
      <c r="RKU166" s="187"/>
      <c r="RKV166" s="187"/>
      <c r="RKW166" s="187"/>
      <c r="RKX166" s="187"/>
      <c r="RKY166" s="187"/>
      <c r="RKZ166" s="187"/>
      <c r="RLA166" s="187"/>
      <c r="RLB166" s="187"/>
      <c r="RLC166" s="187"/>
      <c r="RLD166" s="187"/>
      <c r="RLE166" s="187"/>
      <c r="RLF166" s="187"/>
      <c r="RLG166" s="187"/>
      <c r="RLH166" s="187"/>
      <c r="RLI166" s="187"/>
      <c r="RLJ166" s="187"/>
      <c r="RLK166" s="187"/>
      <c r="RLL166" s="187"/>
      <c r="RLM166" s="187"/>
      <c r="RLN166" s="187"/>
      <c r="RLO166" s="187"/>
      <c r="RLP166" s="187"/>
      <c r="RLQ166" s="187"/>
      <c r="RLR166" s="187"/>
      <c r="RLS166" s="187"/>
      <c r="RLT166" s="187"/>
      <c r="RLU166" s="187"/>
      <c r="RLV166" s="187"/>
      <c r="RLW166" s="187"/>
      <c r="RLX166" s="187"/>
      <c r="RLY166" s="187"/>
      <c r="RLZ166" s="187"/>
      <c r="RMA166" s="187"/>
      <c r="RMB166" s="187"/>
      <c r="RMC166" s="187"/>
      <c r="RMD166" s="187"/>
      <c r="RME166" s="187"/>
      <c r="RMF166" s="187"/>
      <c r="RMG166" s="187"/>
      <c r="RMH166" s="187"/>
      <c r="RMI166" s="187"/>
      <c r="RMJ166" s="187"/>
      <c r="RMK166" s="187"/>
      <c r="RML166" s="187"/>
      <c r="RMM166" s="187"/>
      <c r="RMN166" s="187"/>
      <c r="RMO166" s="187"/>
      <c r="RMP166" s="187"/>
      <c r="RMQ166" s="187"/>
      <c r="RMR166" s="187"/>
      <c r="RMS166" s="187"/>
      <c r="RMT166" s="187"/>
      <c r="RMU166" s="187"/>
      <c r="RMV166" s="187"/>
      <c r="RMW166" s="187"/>
      <c r="RMX166" s="187"/>
      <c r="RMY166" s="187"/>
      <c r="RMZ166" s="187"/>
      <c r="RNA166" s="187"/>
      <c r="RNB166" s="187"/>
      <c r="RNC166" s="187"/>
      <c r="RND166" s="187"/>
      <c r="RNE166" s="187"/>
      <c r="RNF166" s="187"/>
      <c r="RNG166" s="187"/>
      <c r="RNH166" s="187"/>
      <c r="RNI166" s="187"/>
      <c r="RNJ166" s="187"/>
      <c r="RNK166" s="187"/>
      <c r="RNL166" s="187"/>
      <c r="RNM166" s="187"/>
      <c r="RNN166" s="187"/>
      <c r="RNO166" s="187"/>
      <c r="RNP166" s="187"/>
      <c r="RNQ166" s="187"/>
      <c r="RNR166" s="187"/>
      <c r="RNS166" s="187"/>
      <c r="RNT166" s="187"/>
      <c r="RNU166" s="187"/>
      <c r="RNV166" s="187"/>
      <c r="RNW166" s="187"/>
      <c r="RNX166" s="187"/>
      <c r="RNY166" s="187"/>
      <c r="RNZ166" s="187"/>
      <c r="ROA166" s="187"/>
      <c r="ROB166" s="187"/>
      <c r="ROC166" s="187"/>
      <c r="ROD166" s="187"/>
      <c r="ROE166" s="187"/>
      <c r="ROF166" s="187"/>
      <c r="ROG166" s="187"/>
      <c r="ROH166" s="187"/>
      <c r="ROI166" s="187"/>
      <c r="ROJ166" s="187"/>
      <c r="ROK166" s="187"/>
      <c r="ROL166" s="187"/>
      <c r="ROM166" s="187"/>
      <c r="RON166" s="187"/>
      <c r="ROO166" s="187"/>
      <c r="ROP166" s="187"/>
      <c r="ROQ166" s="187"/>
      <c r="ROR166" s="187"/>
      <c r="ROS166" s="187"/>
      <c r="ROT166" s="187"/>
      <c r="ROU166" s="187"/>
      <c r="ROV166" s="187"/>
      <c r="ROW166" s="187"/>
      <c r="ROX166" s="187"/>
      <c r="ROY166" s="187"/>
      <c r="ROZ166" s="187"/>
      <c r="RPA166" s="187"/>
      <c r="RPB166" s="187"/>
      <c r="RPC166" s="187"/>
      <c r="RPD166" s="187"/>
      <c r="RPE166" s="187"/>
      <c r="RPF166" s="187"/>
      <c r="RPG166" s="187"/>
      <c r="RPH166" s="187"/>
      <c r="RPI166" s="187"/>
      <c r="RPJ166" s="187"/>
      <c r="RPK166" s="187"/>
      <c r="RPL166" s="187"/>
      <c r="RPM166" s="187"/>
      <c r="RPN166" s="187"/>
      <c r="RPO166" s="187"/>
      <c r="RPP166" s="187"/>
      <c r="RPQ166" s="187"/>
      <c r="RPR166" s="187"/>
      <c r="RPS166" s="187"/>
      <c r="RPT166" s="187"/>
      <c r="RPU166" s="187"/>
      <c r="RPV166" s="187"/>
      <c r="RPW166" s="187"/>
      <c r="RPX166" s="187"/>
      <c r="RPY166" s="187"/>
      <c r="RPZ166" s="187"/>
      <c r="RQA166" s="187"/>
      <c r="RQB166" s="187"/>
      <c r="RQC166" s="187"/>
      <c r="RQD166" s="187"/>
      <c r="RQE166" s="187"/>
      <c r="RQF166" s="187"/>
      <c r="RQG166" s="187"/>
      <c r="RQH166" s="187"/>
      <c r="RQI166" s="187"/>
      <c r="RQJ166" s="187"/>
      <c r="RQK166" s="187"/>
      <c r="RQL166" s="187"/>
      <c r="RQM166" s="187"/>
      <c r="RQN166" s="187"/>
      <c r="RQO166" s="187"/>
      <c r="RQP166" s="187"/>
      <c r="RQQ166" s="187"/>
      <c r="RQR166" s="187"/>
      <c r="RQS166" s="187"/>
      <c r="RQT166" s="187"/>
      <c r="RQU166" s="187"/>
      <c r="RQV166" s="187"/>
      <c r="RQW166" s="187"/>
      <c r="RQX166" s="187"/>
      <c r="RQY166" s="187"/>
      <c r="RQZ166" s="187"/>
      <c r="RRA166" s="187"/>
      <c r="RRB166" s="187"/>
      <c r="RRC166" s="187"/>
      <c r="RRD166" s="187"/>
      <c r="RRE166" s="187"/>
      <c r="RRF166" s="187"/>
      <c r="RRG166" s="187"/>
      <c r="RRH166" s="187"/>
      <c r="RRI166" s="187"/>
      <c r="RRJ166" s="187"/>
      <c r="RRK166" s="187"/>
      <c r="RRL166" s="187"/>
      <c r="RRM166" s="187"/>
      <c r="RRN166" s="187"/>
      <c r="RRO166" s="187"/>
      <c r="RRP166" s="187"/>
      <c r="RRQ166" s="187"/>
      <c r="RRR166" s="187"/>
      <c r="RRS166" s="187"/>
      <c r="RRT166" s="187"/>
      <c r="RRU166" s="187"/>
      <c r="RRV166" s="187"/>
      <c r="RRW166" s="187"/>
      <c r="RRX166" s="187"/>
      <c r="RRY166" s="187"/>
      <c r="RRZ166" s="187"/>
      <c r="RSA166" s="187"/>
      <c r="RSB166" s="187"/>
      <c r="RSC166" s="187"/>
      <c r="RSD166" s="187"/>
      <c r="RSE166" s="187"/>
      <c r="RSF166" s="187"/>
      <c r="RSG166" s="187"/>
      <c r="RSH166" s="187"/>
      <c r="RSI166" s="187"/>
      <c r="RSJ166" s="187"/>
      <c r="RSK166" s="187"/>
      <c r="RSL166" s="187"/>
      <c r="RSM166" s="187"/>
      <c r="RSN166" s="187"/>
      <c r="RSO166" s="187"/>
      <c r="RSP166" s="187"/>
      <c r="RSQ166" s="187"/>
      <c r="RSR166" s="187"/>
      <c r="RSS166" s="187"/>
      <c r="RST166" s="187"/>
      <c r="RSU166" s="187"/>
      <c r="RSV166" s="187"/>
      <c r="RSW166" s="187"/>
      <c r="RSX166" s="187"/>
      <c r="RSY166" s="187"/>
      <c r="RSZ166" s="187"/>
      <c r="RTA166" s="187"/>
      <c r="RTB166" s="187"/>
      <c r="RTC166" s="187"/>
      <c r="RTD166" s="187"/>
      <c r="RTE166" s="187"/>
      <c r="RTF166" s="187"/>
      <c r="RTG166" s="187"/>
      <c r="RTH166" s="187"/>
      <c r="RTI166" s="187"/>
      <c r="RTJ166" s="187"/>
      <c r="RTK166" s="187"/>
      <c r="RTL166" s="187"/>
      <c r="RTM166" s="187"/>
      <c r="RTN166" s="187"/>
      <c r="RTO166" s="187"/>
      <c r="RTP166" s="187"/>
      <c r="RTQ166" s="187"/>
      <c r="RTR166" s="187"/>
      <c r="RTS166" s="187"/>
      <c r="RTT166" s="187"/>
      <c r="RTU166" s="187"/>
      <c r="RTV166" s="187"/>
      <c r="RTW166" s="187"/>
      <c r="RTX166" s="187"/>
      <c r="RTY166" s="187"/>
      <c r="RTZ166" s="187"/>
      <c r="RUA166" s="187"/>
      <c r="RUB166" s="187"/>
      <c r="RUC166" s="187"/>
      <c r="RUD166" s="187"/>
      <c r="RUE166" s="187"/>
      <c r="RUF166" s="187"/>
      <c r="RUG166" s="187"/>
      <c r="RUH166" s="187"/>
      <c r="RUI166" s="187"/>
      <c r="RUJ166" s="187"/>
      <c r="RUK166" s="187"/>
      <c r="RUL166" s="187"/>
      <c r="RUM166" s="187"/>
      <c r="RUN166" s="187"/>
      <c r="RUO166" s="187"/>
      <c r="RUP166" s="187"/>
      <c r="RUQ166" s="187"/>
      <c r="RUR166" s="187"/>
      <c r="RUS166" s="187"/>
      <c r="RUT166" s="187"/>
      <c r="RUU166" s="187"/>
      <c r="RUV166" s="187"/>
      <c r="RUW166" s="187"/>
      <c r="RUX166" s="187"/>
      <c r="RUY166" s="187"/>
      <c r="RUZ166" s="187"/>
      <c r="RVA166" s="187"/>
      <c r="RVB166" s="187"/>
      <c r="RVC166" s="187"/>
      <c r="RVD166" s="187"/>
      <c r="RVE166" s="187"/>
      <c r="RVF166" s="187"/>
      <c r="RVG166" s="187"/>
      <c r="RVH166" s="187"/>
      <c r="RVI166" s="187"/>
      <c r="RVJ166" s="187"/>
      <c r="RVK166" s="187"/>
      <c r="RVL166" s="187"/>
      <c r="RVM166" s="187"/>
      <c r="RVN166" s="187"/>
      <c r="RVO166" s="187"/>
      <c r="RVP166" s="187"/>
      <c r="RVQ166" s="187"/>
      <c r="RVR166" s="187"/>
      <c r="RVS166" s="187"/>
      <c r="RVT166" s="187"/>
      <c r="RVU166" s="187"/>
      <c r="RVV166" s="187"/>
      <c r="RVW166" s="187"/>
      <c r="RVX166" s="187"/>
      <c r="RVY166" s="187"/>
      <c r="RVZ166" s="187"/>
      <c r="RWA166" s="187"/>
      <c r="RWB166" s="187"/>
      <c r="RWC166" s="187"/>
      <c r="RWD166" s="187"/>
      <c r="RWE166" s="187"/>
      <c r="RWF166" s="187"/>
      <c r="RWG166" s="187"/>
      <c r="RWH166" s="187"/>
      <c r="RWI166" s="187"/>
      <c r="RWJ166" s="187"/>
      <c r="RWK166" s="187"/>
      <c r="RWL166" s="187"/>
      <c r="RWM166" s="187"/>
      <c r="RWN166" s="187"/>
      <c r="RWO166" s="187"/>
      <c r="RWP166" s="187"/>
      <c r="RWQ166" s="187"/>
      <c r="RWR166" s="187"/>
      <c r="RWS166" s="187"/>
      <c r="RWT166" s="187"/>
      <c r="RWU166" s="187"/>
      <c r="RWV166" s="187"/>
      <c r="RWW166" s="187"/>
      <c r="RWX166" s="187"/>
      <c r="RWY166" s="187"/>
      <c r="RWZ166" s="187"/>
      <c r="RXA166" s="187"/>
      <c r="RXB166" s="187"/>
      <c r="RXC166" s="187"/>
      <c r="RXD166" s="187"/>
      <c r="RXE166" s="187"/>
      <c r="RXF166" s="187"/>
      <c r="RXG166" s="187"/>
      <c r="RXH166" s="187"/>
      <c r="RXI166" s="187"/>
      <c r="RXJ166" s="187"/>
      <c r="RXK166" s="187"/>
      <c r="RXL166" s="187"/>
      <c r="RXM166" s="187"/>
      <c r="RXN166" s="187"/>
      <c r="RXO166" s="187"/>
      <c r="RXP166" s="187"/>
      <c r="RXQ166" s="187"/>
      <c r="RXR166" s="187"/>
      <c r="RXS166" s="187"/>
      <c r="RXT166" s="187"/>
      <c r="RXU166" s="187"/>
      <c r="RXV166" s="187"/>
      <c r="RXW166" s="187"/>
      <c r="RXX166" s="187"/>
      <c r="RXY166" s="187"/>
      <c r="RXZ166" s="187"/>
      <c r="RYA166" s="187"/>
      <c r="RYB166" s="187"/>
      <c r="RYC166" s="187"/>
      <c r="RYD166" s="187"/>
      <c r="RYE166" s="187"/>
      <c r="RYF166" s="187"/>
      <c r="RYG166" s="187"/>
      <c r="RYH166" s="187"/>
      <c r="RYI166" s="187"/>
      <c r="RYJ166" s="187"/>
      <c r="RYK166" s="187"/>
      <c r="RYL166" s="187"/>
      <c r="RYM166" s="187"/>
      <c r="RYN166" s="187"/>
      <c r="RYO166" s="187"/>
      <c r="RYP166" s="187"/>
      <c r="RYQ166" s="187"/>
      <c r="RYR166" s="187"/>
      <c r="RYS166" s="187"/>
      <c r="RYT166" s="187"/>
      <c r="RYU166" s="187"/>
      <c r="RYV166" s="187"/>
      <c r="RYW166" s="187"/>
      <c r="RYX166" s="187"/>
      <c r="RYY166" s="187"/>
      <c r="RYZ166" s="187"/>
      <c r="RZA166" s="187"/>
      <c r="RZB166" s="187"/>
      <c r="RZC166" s="187"/>
      <c r="RZD166" s="187"/>
      <c r="RZE166" s="187"/>
      <c r="RZF166" s="187"/>
      <c r="RZG166" s="187"/>
      <c r="RZH166" s="187"/>
      <c r="RZI166" s="187"/>
      <c r="RZJ166" s="187"/>
      <c r="RZK166" s="187"/>
      <c r="RZL166" s="187"/>
      <c r="RZM166" s="187"/>
      <c r="RZN166" s="187"/>
      <c r="RZO166" s="187"/>
      <c r="RZP166" s="187"/>
      <c r="RZQ166" s="187"/>
      <c r="RZR166" s="187"/>
      <c r="RZS166" s="187"/>
      <c r="RZT166" s="187"/>
      <c r="RZU166" s="187"/>
      <c r="RZV166" s="187"/>
      <c r="RZW166" s="187"/>
      <c r="RZX166" s="187"/>
      <c r="RZY166" s="187"/>
      <c r="RZZ166" s="187"/>
      <c r="SAA166" s="187"/>
      <c r="SAB166" s="187"/>
      <c r="SAC166" s="187"/>
      <c r="SAD166" s="187"/>
      <c r="SAE166" s="187"/>
      <c r="SAF166" s="187"/>
      <c r="SAG166" s="187"/>
      <c r="SAH166" s="187"/>
      <c r="SAI166" s="187"/>
      <c r="SAJ166" s="187"/>
      <c r="SAK166" s="187"/>
      <c r="SAL166" s="187"/>
      <c r="SAM166" s="187"/>
      <c r="SAN166" s="187"/>
      <c r="SAO166" s="187"/>
      <c r="SAP166" s="187"/>
      <c r="SAQ166" s="187"/>
      <c r="SAR166" s="187"/>
      <c r="SAS166" s="187"/>
      <c r="SAT166" s="187"/>
      <c r="SAU166" s="187"/>
      <c r="SAV166" s="187"/>
      <c r="SAW166" s="187"/>
      <c r="SAX166" s="187"/>
      <c r="SAY166" s="187"/>
      <c r="SAZ166" s="187"/>
      <c r="SBA166" s="187"/>
      <c r="SBB166" s="187"/>
      <c r="SBC166" s="187"/>
      <c r="SBD166" s="187"/>
      <c r="SBE166" s="187"/>
      <c r="SBF166" s="187"/>
      <c r="SBG166" s="187"/>
      <c r="SBH166" s="187"/>
      <c r="SBI166" s="187"/>
      <c r="SBJ166" s="187"/>
      <c r="SBK166" s="187"/>
      <c r="SBL166" s="187"/>
      <c r="SBM166" s="187"/>
      <c r="SBN166" s="187"/>
      <c r="SBO166" s="187"/>
      <c r="SBP166" s="187"/>
      <c r="SBQ166" s="187"/>
      <c r="SBR166" s="187"/>
      <c r="SBS166" s="187"/>
      <c r="SBT166" s="187"/>
      <c r="SBU166" s="187"/>
      <c r="SBV166" s="187"/>
      <c r="SBW166" s="187"/>
      <c r="SBX166" s="187"/>
      <c r="SBY166" s="187"/>
      <c r="SBZ166" s="187"/>
      <c r="SCA166" s="187"/>
      <c r="SCB166" s="187"/>
      <c r="SCC166" s="187"/>
      <c r="SCD166" s="187"/>
      <c r="SCE166" s="187"/>
      <c r="SCF166" s="187"/>
      <c r="SCG166" s="187"/>
      <c r="SCH166" s="187"/>
      <c r="SCI166" s="187"/>
      <c r="SCJ166" s="187"/>
      <c r="SCK166" s="187"/>
      <c r="SCL166" s="187"/>
      <c r="SCM166" s="187"/>
      <c r="SCN166" s="187"/>
      <c r="SCO166" s="187"/>
      <c r="SCP166" s="187"/>
      <c r="SCQ166" s="187"/>
      <c r="SCR166" s="187"/>
      <c r="SCS166" s="187"/>
      <c r="SCT166" s="187"/>
      <c r="SCU166" s="187"/>
      <c r="SCV166" s="187"/>
      <c r="SCW166" s="187"/>
      <c r="SCX166" s="187"/>
      <c r="SCY166" s="187"/>
      <c r="SCZ166" s="187"/>
      <c r="SDA166" s="187"/>
      <c r="SDB166" s="187"/>
      <c r="SDC166" s="187"/>
      <c r="SDD166" s="187"/>
      <c r="SDE166" s="187"/>
      <c r="SDF166" s="187"/>
      <c r="SDG166" s="187"/>
      <c r="SDH166" s="187"/>
      <c r="SDI166" s="187"/>
      <c r="SDJ166" s="187"/>
      <c r="SDK166" s="187"/>
      <c r="SDL166" s="187"/>
      <c r="SDM166" s="187"/>
      <c r="SDN166" s="187"/>
      <c r="SDO166" s="187"/>
      <c r="SDP166" s="187"/>
      <c r="SDQ166" s="187"/>
      <c r="SDR166" s="187"/>
      <c r="SDS166" s="187"/>
      <c r="SDT166" s="187"/>
      <c r="SDU166" s="187"/>
      <c r="SDV166" s="187"/>
      <c r="SDW166" s="187"/>
      <c r="SDX166" s="187"/>
      <c r="SDY166" s="187"/>
      <c r="SDZ166" s="187"/>
      <c r="SEA166" s="187"/>
      <c r="SEB166" s="187"/>
      <c r="SEC166" s="187"/>
      <c r="SED166" s="187"/>
      <c r="SEE166" s="187"/>
      <c r="SEF166" s="187"/>
      <c r="SEG166" s="187"/>
      <c r="SEH166" s="187"/>
      <c r="SEI166" s="187"/>
      <c r="SEJ166" s="187"/>
      <c r="SEK166" s="187"/>
      <c r="SEL166" s="187"/>
      <c r="SEM166" s="187"/>
      <c r="SEN166" s="187"/>
      <c r="SEO166" s="187"/>
      <c r="SEP166" s="187"/>
      <c r="SEQ166" s="187"/>
      <c r="SER166" s="187"/>
      <c r="SES166" s="187"/>
      <c r="SET166" s="187"/>
      <c r="SEU166" s="187"/>
      <c r="SEV166" s="187"/>
      <c r="SEW166" s="187"/>
      <c r="SEX166" s="187"/>
      <c r="SEY166" s="187"/>
      <c r="SEZ166" s="187"/>
      <c r="SFA166" s="187"/>
      <c r="SFB166" s="187"/>
      <c r="SFC166" s="187"/>
      <c r="SFD166" s="187"/>
      <c r="SFE166" s="187"/>
      <c r="SFF166" s="187"/>
      <c r="SFG166" s="187"/>
      <c r="SFH166" s="187"/>
      <c r="SFI166" s="187"/>
      <c r="SFJ166" s="187"/>
      <c r="SFK166" s="187"/>
      <c r="SFL166" s="187"/>
      <c r="SFM166" s="187"/>
      <c r="SFN166" s="187"/>
      <c r="SFO166" s="187"/>
      <c r="SFP166" s="187"/>
      <c r="SFQ166" s="187"/>
      <c r="SFR166" s="187"/>
      <c r="SFS166" s="187"/>
      <c r="SFT166" s="187"/>
      <c r="SFU166" s="187"/>
      <c r="SFV166" s="187"/>
      <c r="SFW166" s="187"/>
      <c r="SFX166" s="187"/>
      <c r="SFY166" s="187"/>
      <c r="SFZ166" s="187"/>
      <c r="SGA166" s="187"/>
      <c r="SGB166" s="187"/>
      <c r="SGC166" s="187"/>
      <c r="SGD166" s="187"/>
      <c r="SGE166" s="187"/>
      <c r="SGF166" s="187"/>
      <c r="SGG166" s="187"/>
      <c r="SGH166" s="187"/>
      <c r="SGI166" s="187"/>
      <c r="SGJ166" s="187"/>
      <c r="SGK166" s="187"/>
      <c r="SGL166" s="187"/>
      <c r="SGM166" s="187"/>
      <c r="SGN166" s="187"/>
      <c r="SGO166" s="187"/>
      <c r="SGP166" s="187"/>
      <c r="SGQ166" s="187"/>
      <c r="SGR166" s="187"/>
      <c r="SGS166" s="187"/>
      <c r="SGT166" s="187"/>
      <c r="SGU166" s="187"/>
      <c r="SGV166" s="187"/>
      <c r="SGW166" s="187"/>
      <c r="SGX166" s="187"/>
      <c r="SGY166" s="187"/>
      <c r="SGZ166" s="187"/>
      <c r="SHA166" s="187"/>
      <c r="SHB166" s="187"/>
      <c r="SHC166" s="187"/>
      <c r="SHD166" s="187"/>
      <c r="SHE166" s="187"/>
      <c r="SHF166" s="187"/>
      <c r="SHG166" s="187"/>
      <c r="SHH166" s="187"/>
      <c r="SHI166" s="187"/>
      <c r="SHJ166" s="187"/>
      <c r="SHK166" s="187"/>
      <c r="SHL166" s="187"/>
      <c r="SHM166" s="187"/>
      <c r="SHN166" s="187"/>
      <c r="SHO166" s="187"/>
      <c r="SHP166" s="187"/>
      <c r="SHQ166" s="187"/>
      <c r="SHR166" s="187"/>
      <c r="SHS166" s="187"/>
      <c r="SHT166" s="187"/>
      <c r="SHU166" s="187"/>
      <c r="SHV166" s="187"/>
      <c r="SHW166" s="187"/>
      <c r="SHX166" s="187"/>
      <c r="SHY166" s="187"/>
      <c r="SHZ166" s="187"/>
      <c r="SIA166" s="187"/>
      <c r="SIB166" s="187"/>
      <c r="SIC166" s="187"/>
      <c r="SID166" s="187"/>
      <c r="SIE166" s="187"/>
      <c r="SIF166" s="187"/>
      <c r="SIG166" s="187"/>
      <c r="SIH166" s="187"/>
      <c r="SII166" s="187"/>
      <c r="SIJ166" s="187"/>
      <c r="SIK166" s="187"/>
      <c r="SIL166" s="187"/>
      <c r="SIM166" s="187"/>
      <c r="SIN166" s="187"/>
      <c r="SIO166" s="187"/>
      <c r="SIP166" s="187"/>
      <c r="SIQ166" s="187"/>
      <c r="SIR166" s="187"/>
      <c r="SIS166" s="187"/>
      <c r="SIT166" s="187"/>
      <c r="SIU166" s="187"/>
      <c r="SIV166" s="187"/>
      <c r="SIW166" s="187"/>
      <c r="SIX166" s="187"/>
      <c r="SIY166" s="187"/>
      <c r="SIZ166" s="187"/>
      <c r="SJA166" s="187"/>
      <c r="SJB166" s="187"/>
      <c r="SJC166" s="187"/>
      <c r="SJD166" s="187"/>
      <c r="SJE166" s="187"/>
      <c r="SJF166" s="187"/>
      <c r="SJG166" s="187"/>
      <c r="SJH166" s="187"/>
      <c r="SJI166" s="187"/>
      <c r="SJJ166" s="187"/>
      <c r="SJK166" s="187"/>
      <c r="SJL166" s="187"/>
      <c r="SJM166" s="187"/>
      <c r="SJN166" s="187"/>
      <c r="SJO166" s="187"/>
      <c r="SJP166" s="187"/>
      <c r="SJQ166" s="187"/>
      <c r="SJR166" s="187"/>
      <c r="SJS166" s="187"/>
      <c r="SJT166" s="187"/>
      <c r="SJU166" s="187"/>
      <c r="SJV166" s="187"/>
      <c r="SJW166" s="187"/>
      <c r="SJX166" s="187"/>
      <c r="SJY166" s="187"/>
      <c r="SJZ166" s="187"/>
      <c r="SKA166" s="187"/>
      <c r="SKB166" s="187"/>
      <c r="SKC166" s="187"/>
      <c r="SKD166" s="187"/>
      <c r="SKE166" s="187"/>
      <c r="SKF166" s="187"/>
      <c r="SKG166" s="187"/>
      <c r="SKH166" s="187"/>
      <c r="SKI166" s="187"/>
      <c r="SKJ166" s="187"/>
      <c r="SKK166" s="187"/>
      <c r="SKL166" s="187"/>
      <c r="SKM166" s="187"/>
      <c r="SKN166" s="187"/>
      <c r="SKO166" s="187"/>
      <c r="SKP166" s="187"/>
      <c r="SKQ166" s="187"/>
      <c r="SKR166" s="187"/>
      <c r="SKS166" s="187"/>
      <c r="SKT166" s="187"/>
      <c r="SKU166" s="187"/>
      <c r="SKV166" s="187"/>
      <c r="SKW166" s="187"/>
      <c r="SKX166" s="187"/>
      <c r="SKY166" s="187"/>
      <c r="SKZ166" s="187"/>
      <c r="SLA166" s="187"/>
      <c r="SLB166" s="187"/>
      <c r="SLC166" s="187"/>
      <c r="SLD166" s="187"/>
      <c r="SLE166" s="187"/>
      <c r="SLF166" s="187"/>
      <c r="SLG166" s="187"/>
      <c r="SLH166" s="187"/>
      <c r="SLI166" s="187"/>
      <c r="SLJ166" s="187"/>
      <c r="SLK166" s="187"/>
      <c r="SLL166" s="187"/>
      <c r="SLM166" s="187"/>
      <c r="SLN166" s="187"/>
      <c r="SLO166" s="187"/>
      <c r="SLP166" s="187"/>
      <c r="SLQ166" s="187"/>
      <c r="SLR166" s="187"/>
      <c r="SLS166" s="187"/>
      <c r="SLT166" s="187"/>
      <c r="SLU166" s="187"/>
      <c r="SLV166" s="187"/>
      <c r="SLW166" s="187"/>
      <c r="SLX166" s="187"/>
      <c r="SLY166" s="187"/>
      <c r="SLZ166" s="187"/>
      <c r="SMA166" s="187"/>
      <c r="SMB166" s="187"/>
      <c r="SMC166" s="187"/>
      <c r="SMD166" s="187"/>
      <c r="SME166" s="187"/>
      <c r="SMF166" s="187"/>
      <c r="SMG166" s="187"/>
      <c r="SMH166" s="187"/>
      <c r="SMI166" s="187"/>
      <c r="SMJ166" s="187"/>
      <c r="SMK166" s="187"/>
      <c r="SML166" s="187"/>
      <c r="SMM166" s="187"/>
      <c r="SMN166" s="187"/>
      <c r="SMO166" s="187"/>
      <c r="SMP166" s="187"/>
      <c r="SMQ166" s="187"/>
      <c r="SMR166" s="187"/>
      <c r="SMS166" s="187"/>
      <c r="SMT166" s="187"/>
      <c r="SMU166" s="187"/>
      <c r="SMV166" s="187"/>
      <c r="SMW166" s="187"/>
      <c r="SMX166" s="187"/>
      <c r="SMY166" s="187"/>
      <c r="SMZ166" s="187"/>
      <c r="SNA166" s="187"/>
      <c r="SNB166" s="187"/>
      <c r="SNC166" s="187"/>
      <c r="SND166" s="187"/>
      <c r="SNE166" s="187"/>
      <c r="SNF166" s="187"/>
      <c r="SNG166" s="187"/>
      <c r="SNH166" s="187"/>
      <c r="SNI166" s="187"/>
      <c r="SNJ166" s="187"/>
      <c r="SNK166" s="187"/>
      <c r="SNL166" s="187"/>
      <c r="SNM166" s="187"/>
      <c r="SNN166" s="187"/>
      <c r="SNO166" s="187"/>
      <c r="SNP166" s="187"/>
      <c r="SNQ166" s="187"/>
      <c r="SNR166" s="187"/>
      <c r="SNS166" s="187"/>
      <c r="SNT166" s="187"/>
      <c r="SNU166" s="187"/>
      <c r="SNV166" s="187"/>
      <c r="SNW166" s="187"/>
      <c r="SNX166" s="187"/>
      <c r="SNY166" s="187"/>
      <c r="SNZ166" s="187"/>
      <c r="SOA166" s="187"/>
      <c r="SOB166" s="187"/>
      <c r="SOC166" s="187"/>
      <c r="SOD166" s="187"/>
      <c r="SOE166" s="187"/>
      <c r="SOF166" s="187"/>
      <c r="SOG166" s="187"/>
      <c r="SOH166" s="187"/>
      <c r="SOI166" s="187"/>
      <c r="SOJ166" s="187"/>
      <c r="SOK166" s="187"/>
      <c r="SOL166" s="187"/>
      <c r="SOM166" s="187"/>
      <c r="SON166" s="187"/>
      <c r="SOO166" s="187"/>
      <c r="SOP166" s="187"/>
      <c r="SOQ166" s="187"/>
      <c r="SOR166" s="187"/>
      <c r="SOS166" s="187"/>
      <c r="SOT166" s="187"/>
      <c r="SOU166" s="187"/>
      <c r="SOV166" s="187"/>
      <c r="SOW166" s="187"/>
      <c r="SOX166" s="187"/>
      <c r="SOY166" s="187"/>
      <c r="SOZ166" s="187"/>
      <c r="SPA166" s="187"/>
      <c r="SPB166" s="187"/>
      <c r="SPC166" s="187"/>
      <c r="SPD166" s="187"/>
      <c r="SPE166" s="187"/>
      <c r="SPF166" s="187"/>
      <c r="SPG166" s="187"/>
      <c r="SPH166" s="187"/>
      <c r="SPI166" s="187"/>
      <c r="SPJ166" s="187"/>
      <c r="SPK166" s="187"/>
      <c r="SPL166" s="187"/>
      <c r="SPM166" s="187"/>
      <c r="SPN166" s="187"/>
      <c r="SPO166" s="187"/>
      <c r="SPP166" s="187"/>
      <c r="SPQ166" s="187"/>
      <c r="SPR166" s="187"/>
      <c r="SPS166" s="187"/>
      <c r="SPT166" s="187"/>
      <c r="SPU166" s="187"/>
      <c r="SPV166" s="187"/>
      <c r="SPW166" s="187"/>
      <c r="SPX166" s="187"/>
      <c r="SPY166" s="187"/>
      <c r="SPZ166" s="187"/>
      <c r="SQA166" s="187"/>
      <c r="SQB166" s="187"/>
      <c r="SQC166" s="187"/>
      <c r="SQD166" s="187"/>
      <c r="SQE166" s="187"/>
      <c r="SQF166" s="187"/>
      <c r="SQG166" s="187"/>
      <c r="SQH166" s="187"/>
      <c r="SQI166" s="187"/>
      <c r="SQJ166" s="187"/>
      <c r="SQK166" s="187"/>
      <c r="SQL166" s="187"/>
      <c r="SQM166" s="187"/>
      <c r="SQN166" s="187"/>
      <c r="SQO166" s="187"/>
      <c r="SQP166" s="187"/>
      <c r="SQQ166" s="187"/>
      <c r="SQR166" s="187"/>
      <c r="SQS166" s="187"/>
      <c r="SQT166" s="187"/>
      <c r="SQU166" s="187"/>
      <c r="SQV166" s="187"/>
      <c r="SQW166" s="187"/>
      <c r="SQX166" s="187"/>
      <c r="SQY166" s="187"/>
      <c r="SQZ166" s="187"/>
      <c r="SRA166" s="187"/>
      <c r="SRB166" s="187"/>
      <c r="SRC166" s="187"/>
      <c r="SRD166" s="187"/>
      <c r="SRE166" s="187"/>
      <c r="SRF166" s="187"/>
      <c r="SRG166" s="187"/>
      <c r="SRH166" s="187"/>
      <c r="SRI166" s="187"/>
      <c r="SRJ166" s="187"/>
      <c r="SRK166" s="187"/>
      <c r="SRL166" s="187"/>
      <c r="SRM166" s="187"/>
      <c r="SRN166" s="187"/>
      <c r="SRO166" s="187"/>
      <c r="SRP166" s="187"/>
      <c r="SRQ166" s="187"/>
      <c r="SRR166" s="187"/>
      <c r="SRS166" s="187"/>
      <c r="SRT166" s="187"/>
      <c r="SRU166" s="187"/>
      <c r="SRV166" s="187"/>
      <c r="SRW166" s="187"/>
      <c r="SRX166" s="187"/>
      <c r="SRY166" s="187"/>
      <c r="SRZ166" s="187"/>
      <c r="SSA166" s="187"/>
      <c r="SSB166" s="187"/>
      <c r="SSC166" s="187"/>
      <c r="SSD166" s="187"/>
      <c r="SSE166" s="187"/>
      <c r="SSF166" s="187"/>
      <c r="SSG166" s="187"/>
      <c r="SSH166" s="187"/>
      <c r="SSI166" s="187"/>
      <c r="SSJ166" s="187"/>
      <c r="SSK166" s="187"/>
      <c r="SSL166" s="187"/>
      <c r="SSM166" s="187"/>
      <c r="SSN166" s="187"/>
      <c r="SSO166" s="187"/>
      <c r="SSP166" s="187"/>
      <c r="SSQ166" s="187"/>
      <c r="SSR166" s="187"/>
      <c r="SSS166" s="187"/>
      <c r="SST166" s="187"/>
      <c r="SSU166" s="187"/>
      <c r="SSV166" s="187"/>
      <c r="SSW166" s="187"/>
      <c r="SSX166" s="187"/>
      <c r="SSY166" s="187"/>
      <c r="SSZ166" s="187"/>
      <c r="STA166" s="187"/>
      <c r="STB166" s="187"/>
      <c r="STC166" s="187"/>
      <c r="STD166" s="187"/>
      <c r="STE166" s="187"/>
      <c r="STF166" s="187"/>
      <c r="STG166" s="187"/>
      <c r="STH166" s="187"/>
      <c r="STI166" s="187"/>
      <c r="STJ166" s="187"/>
      <c r="STK166" s="187"/>
      <c r="STL166" s="187"/>
      <c r="STM166" s="187"/>
      <c r="STN166" s="187"/>
      <c r="STO166" s="187"/>
      <c r="STP166" s="187"/>
      <c r="STQ166" s="187"/>
      <c r="STR166" s="187"/>
      <c r="STS166" s="187"/>
      <c r="STT166" s="187"/>
      <c r="STU166" s="187"/>
      <c r="STV166" s="187"/>
      <c r="STW166" s="187"/>
      <c r="STX166" s="187"/>
      <c r="STY166" s="187"/>
      <c r="STZ166" s="187"/>
      <c r="SUA166" s="187"/>
      <c r="SUB166" s="187"/>
      <c r="SUC166" s="187"/>
      <c r="SUD166" s="187"/>
      <c r="SUE166" s="187"/>
      <c r="SUF166" s="187"/>
      <c r="SUG166" s="187"/>
      <c r="SUH166" s="187"/>
      <c r="SUI166" s="187"/>
      <c r="SUJ166" s="187"/>
      <c r="SUK166" s="187"/>
      <c r="SUL166" s="187"/>
      <c r="SUM166" s="187"/>
      <c r="SUN166" s="187"/>
      <c r="SUO166" s="187"/>
      <c r="SUP166" s="187"/>
      <c r="SUQ166" s="187"/>
      <c r="SUR166" s="187"/>
      <c r="SUS166" s="187"/>
      <c r="SUT166" s="187"/>
      <c r="SUU166" s="187"/>
      <c r="SUV166" s="187"/>
      <c r="SUW166" s="187"/>
      <c r="SUX166" s="187"/>
      <c r="SUY166" s="187"/>
      <c r="SUZ166" s="187"/>
      <c r="SVA166" s="187"/>
      <c r="SVB166" s="187"/>
      <c r="SVC166" s="187"/>
      <c r="SVD166" s="187"/>
      <c r="SVE166" s="187"/>
      <c r="SVF166" s="187"/>
      <c r="SVG166" s="187"/>
      <c r="SVH166" s="187"/>
      <c r="SVI166" s="187"/>
      <c r="SVJ166" s="187"/>
      <c r="SVK166" s="187"/>
      <c r="SVL166" s="187"/>
      <c r="SVM166" s="187"/>
      <c r="SVN166" s="187"/>
      <c r="SVO166" s="187"/>
      <c r="SVP166" s="187"/>
      <c r="SVQ166" s="187"/>
      <c r="SVR166" s="187"/>
      <c r="SVS166" s="187"/>
      <c r="SVT166" s="187"/>
      <c r="SVU166" s="187"/>
      <c r="SVV166" s="187"/>
      <c r="SVW166" s="187"/>
      <c r="SVX166" s="187"/>
      <c r="SVY166" s="187"/>
      <c r="SVZ166" s="187"/>
      <c r="SWA166" s="187"/>
      <c r="SWB166" s="187"/>
      <c r="SWC166" s="187"/>
      <c r="SWD166" s="187"/>
      <c r="SWE166" s="187"/>
      <c r="SWF166" s="187"/>
      <c r="SWG166" s="187"/>
      <c r="SWH166" s="187"/>
      <c r="SWI166" s="187"/>
      <c r="SWJ166" s="187"/>
      <c r="SWK166" s="187"/>
      <c r="SWL166" s="187"/>
      <c r="SWM166" s="187"/>
      <c r="SWN166" s="187"/>
      <c r="SWO166" s="187"/>
      <c r="SWP166" s="187"/>
      <c r="SWQ166" s="187"/>
      <c r="SWR166" s="187"/>
      <c r="SWS166" s="187"/>
      <c r="SWT166" s="187"/>
      <c r="SWU166" s="187"/>
      <c r="SWV166" s="187"/>
      <c r="SWW166" s="187"/>
      <c r="SWX166" s="187"/>
      <c r="SWY166" s="187"/>
      <c r="SWZ166" s="187"/>
      <c r="SXA166" s="187"/>
      <c r="SXB166" s="187"/>
      <c r="SXC166" s="187"/>
      <c r="SXD166" s="187"/>
      <c r="SXE166" s="187"/>
      <c r="SXF166" s="187"/>
      <c r="SXG166" s="187"/>
      <c r="SXH166" s="187"/>
      <c r="SXI166" s="187"/>
      <c r="SXJ166" s="187"/>
      <c r="SXK166" s="187"/>
      <c r="SXL166" s="187"/>
      <c r="SXM166" s="187"/>
      <c r="SXN166" s="187"/>
      <c r="SXO166" s="187"/>
      <c r="SXP166" s="187"/>
      <c r="SXQ166" s="187"/>
      <c r="SXR166" s="187"/>
      <c r="SXS166" s="187"/>
      <c r="SXT166" s="187"/>
      <c r="SXU166" s="187"/>
      <c r="SXV166" s="187"/>
      <c r="SXW166" s="187"/>
      <c r="SXX166" s="187"/>
      <c r="SXY166" s="187"/>
      <c r="SXZ166" s="187"/>
      <c r="SYA166" s="187"/>
      <c r="SYB166" s="187"/>
      <c r="SYC166" s="187"/>
      <c r="SYD166" s="187"/>
      <c r="SYE166" s="187"/>
      <c r="SYF166" s="187"/>
      <c r="SYG166" s="187"/>
      <c r="SYH166" s="187"/>
      <c r="SYI166" s="187"/>
      <c r="SYJ166" s="187"/>
      <c r="SYK166" s="187"/>
      <c r="SYL166" s="187"/>
      <c r="SYM166" s="187"/>
      <c r="SYN166" s="187"/>
      <c r="SYO166" s="187"/>
      <c r="SYP166" s="187"/>
      <c r="SYQ166" s="187"/>
      <c r="SYR166" s="187"/>
      <c r="SYS166" s="187"/>
      <c r="SYT166" s="187"/>
      <c r="SYU166" s="187"/>
      <c r="SYV166" s="187"/>
      <c r="SYW166" s="187"/>
      <c r="SYX166" s="187"/>
      <c r="SYY166" s="187"/>
      <c r="SYZ166" s="187"/>
      <c r="SZA166" s="187"/>
      <c r="SZB166" s="187"/>
      <c r="SZC166" s="187"/>
      <c r="SZD166" s="187"/>
      <c r="SZE166" s="187"/>
      <c r="SZF166" s="187"/>
      <c r="SZG166" s="187"/>
      <c r="SZH166" s="187"/>
      <c r="SZI166" s="187"/>
      <c r="SZJ166" s="187"/>
      <c r="SZK166" s="187"/>
      <c r="SZL166" s="187"/>
      <c r="SZM166" s="187"/>
      <c r="SZN166" s="187"/>
      <c r="SZO166" s="187"/>
      <c r="SZP166" s="187"/>
      <c r="SZQ166" s="187"/>
      <c r="SZR166" s="187"/>
      <c r="SZS166" s="187"/>
      <c r="SZT166" s="187"/>
      <c r="SZU166" s="187"/>
      <c r="SZV166" s="187"/>
      <c r="SZW166" s="187"/>
      <c r="SZX166" s="187"/>
      <c r="SZY166" s="187"/>
      <c r="SZZ166" s="187"/>
      <c r="TAA166" s="187"/>
      <c r="TAB166" s="187"/>
      <c r="TAC166" s="187"/>
      <c r="TAD166" s="187"/>
      <c r="TAE166" s="187"/>
      <c r="TAF166" s="187"/>
      <c r="TAG166" s="187"/>
      <c r="TAH166" s="187"/>
      <c r="TAI166" s="187"/>
      <c r="TAJ166" s="187"/>
      <c r="TAK166" s="187"/>
      <c r="TAL166" s="187"/>
      <c r="TAM166" s="187"/>
      <c r="TAN166" s="187"/>
      <c r="TAO166" s="187"/>
      <c r="TAP166" s="187"/>
      <c r="TAQ166" s="187"/>
      <c r="TAR166" s="187"/>
      <c r="TAS166" s="187"/>
      <c r="TAT166" s="187"/>
      <c r="TAU166" s="187"/>
      <c r="TAV166" s="187"/>
      <c r="TAW166" s="187"/>
      <c r="TAX166" s="187"/>
      <c r="TAY166" s="187"/>
      <c r="TAZ166" s="187"/>
      <c r="TBA166" s="187"/>
      <c r="TBB166" s="187"/>
      <c r="TBC166" s="187"/>
      <c r="TBD166" s="187"/>
      <c r="TBE166" s="187"/>
      <c r="TBF166" s="187"/>
      <c r="TBG166" s="187"/>
      <c r="TBH166" s="187"/>
      <c r="TBI166" s="187"/>
      <c r="TBJ166" s="187"/>
      <c r="TBK166" s="187"/>
      <c r="TBL166" s="187"/>
      <c r="TBM166" s="187"/>
      <c r="TBN166" s="187"/>
      <c r="TBO166" s="187"/>
      <c r="TBP166" s="187"/>
      <c r="TBQ166" s="187"/>
      <c r="TBR166" s="187"/>
      <c r="TBS166" s="187"/>
      <c r="TBT166" s="187"/>
      <c r="TBU166" s="187"/>
      <c r="TBV166" s="187"/>
      <c r="TBW166" s="187"/>
      <c r="TBX166" s="187"/>
      <c r="TBY166" s="187"/>
      <c r="TBZ166" s="187"/>
      <c r="TCA166" s="187"/>
      <c r="TCB166" s="187"/>
      <c r="TCC166" s="187"/>
      <c r="TCD166" s="187"/>
      <c r="TCE166" s="187"/>
      <c r="TCF166" s="187"/>
      <c r="TCG166" s="187"/>
      <c r="TCH166" s="187"/>
      <c r="TCI166" s="187"/>
      <c r="TCJ166" s="187"/>
      <c r="TCK166" s="187"/>
      <c r="TCL166" s="187"/>
      <c r="TCM166" s="187"/>
      <c r="TCN166" s="187"/>
      <c r="TCO166" s="187"/>
      <c r="TCP166" s="187"/>
      <c r="TCQ166" s="187"/>
      <c r="TCR166" s="187"/>
      <c r="TCS166" s="187"/>
      <c r="TCT166" s="187"/>
      <c r="TCU166" s="187"/>
      <c r="TCV166" s="187"/>
      <c r="TCW166" s="187"/>
      <c r="TCX166" s="187"/>
      <c r="TCY166" s="187"/>
      <c r="TCZ166" s="187"/>
      <c r="TDA166" s="187"/>
      <c r="TDB166" s="187"/>
      <c r="TDC166" s="187"/>
      <c r="TDD166" s="187"/>
      <c r="TDE166" s="187"/>
      <c r="TDF166" s="187"/>
      <c r="TDG166" s="187"/>
      <c r="TDH166" s="187"/>
      <c r="TDI166" s="187"/>
      <c r="TDJ166" s="187"/>
      <c r="TDK166" s="187"/>
      <c r="TDL166" s="187"/>
      <c r="TDM166" s="187"/>
      <c r="TDN166" s="187"/>
      <c r="TDO166" s="187"/>
      <c r="TDP166" s="187"/>
      <c r="TDQ166" s="187"/>
      <c r="TDR166" s="187"/>
      <c r="TDS166" s="187"/>
      <c r="TDT166" s="187"/>
      <c r="TDU166" s="187"/>
      <c r="TDV166" s="187"/>
      <c r="TDW166" s="187"/>
      <c r="TDX166" s="187"/>
      <c r="TDY166" s="187"/>
      <c r="TDZ166" s="187"/>
      <c r="TEA166" s="187"/>
      <c r="TEB166" s="187"/>
      <c r="TEC166" s="187"/>
      <c r="TED166" s="187"/>
      <c r="TEE166" s="187"/>
      <c r="TEF166" s="187"/>
      <c r="TEG166" s="187"/>
      <c r="TEH166" s="187"/>
      <c r="TEI166" s="187"/>
      <c r="TEJ166" s="187"/>
      <c r="TEK166" s="187"/>
      <c r="TEL166" s="187"/>
      <c r="TEM166" s="187"/>
      <c r="TEN166" s="187"/>
      <c r="TEO166" s="187"/>
      <c r="TEP166" s="187"/>
      <c r="TEQ166" s="187"/>
      <c r="TER166" s="187"/>
      <c r="TES166" s="187"/>
      <c r="TET166" s="187"/>
      <c r="TEU166" s="187"/>
      <c r="TEV166" s="187"/>
      <c r="TEW166" s="187"/>
      <c r="TEX166" s="187"/>
      <c r="TEY166" s="187"/>
      <c r="TEZ166" s="187"/>
      <c r="TFA166" s="187"/>
      <c r="TFB166" s="187"/>
      <c r="TFC166" s="187"/>
      <c r="TFD166" s="187"/>
      <c r="TFE166" s="187"/>
      <c r="TFF166" s="187"/>
      <c r="TFG166" s="187"/>
      <c r="TFH166" s="187"/>
      <c r="TFI166" s="187"/>
      <c r="TFJ166" s="187"/>
      <c r="TFK166" s="187"/>
      <c r="TFL166" s="187"/>
      <c r="TFM166" s="187"/>
      <c r="TFN166" s="187"/>
      <c r="TFO166" s="187"/>
      <c r="TFP166" s="187"/>
      <c r="TFQ166" s="187"/>
      <c r="TFR166" s="187"/>
      <c r="TFS166" s="187"/>
      <c r="TFT166" s="187"/>
      <c r="TFU166" s="187"/>
      <c r="TFV166" s="187"/>
      <c r="TFW166" s="187"/>
      <c r="TFX166" s="187"/>
      <c r="TFY166" s="187"/>
      <c r="TFZ166" s="187"/>
      <c r="TGA166" s="187"/>
      <c r="TGB166" s="187"/>
      <c r="TGC166" s="187"/>
      <c r="TGD166" s="187"/>
      <c r="TGE166" s="187"/>
      <c r="TGF166" s="187"/>
      <c r="TGG166" s="187"/>
      <c r="TGH166" s="187"/>
      <c r="TGI166" s="187"/>
      <c r="TGJ166" s="187"/>
      <c r="TGK166" s="187"/>
      <c r="TGL166" s="187"/>
      <c r="TGM166" s="187"/>
      <c r="TGN166" s="187"/>
      <c r="TGO166" s="187"/>
      <c r="TGP166" s="187"/>
      <c r="TGQ166" s="187"/>
      <c r="TGR166" s="187"/>
      <c r="TGS166" s="187"/>
      <c r="TGT166" s="187"/>
      <c r="TGU166" s="187"/>
      <c r="TGV166" s="187"/>
      <c r="TGW166" s="187"/>
      <c r="TGX166" s="187"/>
      <c r="TGY166" s="187"/>
      <c r="TGZ166" s="187"/>
      <c r="THA166" s="187"/>
      <c r="THB166" s="187"/>
      <c r="THC166" s="187"/>
      <c r="THD166" s="187"/>
      <c r="THE166" s="187"/>
      <c r="THF166" s="187"/>
      <c r="THG166" s="187"/>
      <c r="THH166" s="187"/>
      <c r="THI166" s="187"/>
      <c r="THJ166" s="187"/>
      <c r="THK166" s="187"/>
      <c r="THL166" s="187"/>
      <c r="THM166" s="187"/>
      <c r="THN166" s="187"/>
      <c r="THO166" s="187"/>
      <c r="THP166" s="187"/>
      <c r="THQ166" s="187"/>
      <c r="THR166" s="187"/>
      <c r="THS166" s="187"/>
      <c r="THT166" s="187"/>
      <c r="THU166" s="187"/>
      <c r="THV166" s="187"/>
      <c r="THW166" s="187"/>
      <c r="THX166" s="187"/>
      <c r="THY166" s="187"/>
      <c r="THZ166" s="187"/>
      <c r="TIA166" s="187"/>
      <c r="TIB166" s="187"/>
      <c r="TIC166" s="187"/>
      <c r="TID166" s="187"/>
      <c r="TIE166" s="187"/>
      <c r="TIF166" s="187"/>
      <c r="TIG166" s="187"/>
      <c r="TIH166" s="187"/>
      <c r="TII166" s="187"/>
      <c r="TIJ166" s="187"/>
      <c r="TIK166" s="187"/>
      <c r="TIL166" s="187"/>
      <c r="TIM166" s="187"/>
      <c r="TIN166" s="187"/>
      <c r="TIO166" s="187"/>
      <c r="TIP166" s="187"/>
      <c r="TIQ166" s="187"/>
      <c r="TIR166" s="187"/>
      <c r="TIS166" s="187"/>
      <c r="TIT166" s="187"/>
      <c r="TIU166" s="187"/>
      <c r="TIV166" s="187"/>
      <c r="TIW166" s="187"/>
      <c r="TIX166" s="187"/>
      <c r="TIY166" s="187"/>
      <c r="TIZ166" s="187"/>
      <c r="TJA166" s="187"/>
      <c r="TJB166" s="187"/>
      <c r="TJC166" s="187"/>
      <c r="TJD166" s="187"/>
      <c r="TJE166" s="187"/>
      <c r="TJF166" s="187"/>
      <c r="TJG166" s="187"/>
      <c r="TJH166" s="187"/>
      <c r="TJI166" s="187"/>
      <c r="TJJ166" s="187"/>
      <c r="TJK166" s="187"/>
      <c r="TJL166" s="187"/>
      <c r="TJM166" s="187"/>
      <c r="TJN166" s="187"/>
      <c r="TJO166" s="187"/>
      <c r="TJP166" s="187"/>
      <c r="TJQ166" s="187"/>
      <c r="TJR166" s="187"/>
      <c r="TJS166" s="187"/>
      <c r="TJT166" s="187"/>
      <c r="TJU166" s="187"/>
      <c r="TJV166" s="187"/>
      <c r="TJW166" s="187"/>
      <c r="TJX166" s="187"/>
      <c r="TJY166" s="187"/>
      <c r="TJZ166" s="187"/>
      <c r="TKA166" s="187"/>
      <c r="TKB166" s="187"/>
      <c r="TKC166" s="187"/>
      <c r="TKD166" s="187"/>
      <c r="TKE166" s="187"/>
      <c r="TKF166" s="187"/>
      <c r="TKG166" s="187"/>
      <c r="TKH166" s="187"/>
      <c r="TKI166" s="187"/>
      <c r="TKJ166" s="187"/>
      <c r="TKK166" s="187"/>
      <c r="TKL166" s="187"/>
      <c r="TKM166" s="187"/>
      <c r="TKN166" s="187"/>
      <c r="TKO166" s="187"/>
      <c r="TKP166" s="187"/>
      <c r="TKQ166" s="187"/>
      <c r="TKR166" s="187"/>
      <c r="TKS166" s="187"/>
      <c r="TKT166" s="187"/>
      <c r="TKU166" s="187"/>
      <c r="TKV166" s="187"/>
      <c r="TKW166" s="187"/>
      <c r="TKX166" s="187"/>
      <c r="TKY166" s="187"/>
      <c r="TKZ166" s="187"/>
      <c r="TLA166" s="187"/>
      <c r="TLB166" s="187"/>
      <c r="TLC166" s="187"/>
      <c r="TLD166" s="187"/>
      <c r="TLE166" s="187"/>
      <c r="TLF166" s="187"/>
      <c r="TLG166" s="187"/>
      <c r="TLH166" s="187"/>
      <c r="TLI166" s="187"/>
      <c r="TLJ166" s="187"/>
      <c r="TLK166" s="187"/>
      <c r="TLL166" s="187"/>
      <c r="TLM166" s="187"/>
      <c r="TLN166" s="187"/>
      <c r="TLO166" s="187"/>
      <c r="TLP166" s="187"/>
      <c r="TLQ166" s="187"/>
      <c r="TLR166" s="187"/>
      <c r="TLS166" s="187"/>
      <c r="TLT166" s="187"/>
      <c r="TLU166" s="187"/>
      <c r="TLV166" s="187"/>
      <c r="TLW166" s="187"/>
      <c r="TLX166" s="187"/>
      <c r="TLY166" s="187"/>
      <c r="TLZ166" s="187"/>
      <c r="TMA166" s="187"/>
      <c r="TMB166" s="187"/>
      <c r="TMC166" s="187"/>
      <c r="TMD166" s="187"/>
      <c r="TME166" s="187"/>
      <c r="TMF166" s="187"/>
      <c r="TMG166" s="187"/>
      <c r="TMH166" s="187"/>
      <c r="TMI166" s="187"/>
      <c r="TMJ166" s="187"/>
      <c r="TMK166" s="187"/>
      <c r="TML166" s="187"/>
      <c r="TMM166" s="187"/>
      <c r="TMN166" s="187"/>
      <c r="TMO166" s="187"/>
      <c r="TMP166" s="187"/>
      <c r="TMQ166" s="187"/>
      <c r="TMR166" s="187"/>
      <c r="TMS166" s="187"/>
      <c r="TMT166" s="187"/>
      <c r="TMU166" s="187"/>
      <c r="TMV166" s="187"/>
      <c r="TMW166" s="187"/>
      <c r="TMX166" s="187"/>
      <c r="TMY166" s="187"/>
      <c r="TMZ166" s="187"/>
      <c r="TNA166" s="187"/>
      <c r="TNB166" s="187"/>
      <c r="TNC166" s="187"/>
      <c r="TND166" s="187"/>
      <c r="TNE166" s="187"/>
      <c r="TNF166" s="187"/>
      <c r="TNG166" s="187"/>
      <c r="TNH166" s="187"/>
      <c r="TNI166" s="187"/>
      <c r="TNJ166" s="187"/>
      <c r="TNK166" s="187"/>
      <c r="TNL166" s="187"/>
      <c r="TNM166" s="187"/>
      <c r="TNN166" s="187"/>
      <c r="TNO166" s="187"/>
      <c r="TNP166" s="187"/>
      <c r="TNQ166" s="187"/>
      <c r="TNR166" s="187"/>
      <c r="TNS166" s="187"/>
      <c r="TNT166" s="187"/>
      <c r="TNU166" s="187"/>
      <c r="TNV166" s="187"/>
      <c r="TNW166" s="187"/>
      <c r="TNX166" s="187"/>
      <c r="TNY166" s="187"/>
      <c r="TNZ166" s="187"/>
      <c r="TOA166" s="187"/>
      <c r="TOB166" s="187"/>
      <c r="TOC166" s="187"/>
      <c r="TOD166" s="187"/>
      <c r="TOE166" s="187"/>
      <c r="TOF166" s="187"/>
      <c r="TOG166" s="187"/>
      <c r="TOH166" s="187"/>
      <c r="TOI166" s="187"/>
      <c r="TOJ166" s="187"/>
      <c r="TOK166" s="187"/>
      <c r="TOL166" s="187"/>
      <c r="TOM166" s="187"/>
      <c r="TON166" s="187"/>
      <c r="TOO166" s="187"/>
      <c r="TOP166" s="187"/>
      <c r="TOQ166" s="187"/>
      <c r="TOR166" s="187"/>
      <c r="TOS166" s="187"/>
      <c r="TOT166" s="187"/>
      <c r="TOU166" s="187"/>
      <c r="TOV166" s="187"/>
      <c r="TOW166" s="187"/>
      <c r="TOX166" s="187"/>
      <c r="TOY166" s="187"/>
      <c r="TOZ166" s="187"/>
      <c r="TPA166" s="187"/>
      <c r="TPB166" s="187"/>
      <c r="TPC166" s="187"/>
      <c r="TPD166" s="187"/>
      <c r="TPE166" s="187"/>
      <c r="TPF166" s="187"/>
      <c r="TPG166" s="187"/>
      <c r="TPH166" s="187"/>
      <c r="TPI166" s="187"/>
      <c r="TPJ166" s="187"/>
      <c r="TPK166" s="187"/>
      <c r="TPL166" s="187"/>
      <c r="TPM166" s="187"/>
      <c r="TPN166" s="187"/>
      <c r="TPO166" s="187"/>
      <c r="TPP166" s="187"/>
      <c r="TPQ166" s="187"/>
      <c r="TPR166" s="187"/>
      <c r="TPS166" s="187"/>
      <c r="TPT166" s="187"/>
      <c r="TPU166" s="187"/>
      <c r="TPV166" s="187"/>
      <c r="TPW166" s="187"/>
      <c r="TPX166" s="187"/>
      <c r="TPY166" s="187"/>
      <c r="TPZ166" s="187"/>
      <c r="TQA166" s="187"/>
      <c r="TQB166" s="187"/>
      <c r="TQC166" s="187"/>
      <c r="TQD166" s="187"/>
      <c r="TQE166" s="187"/>
      <c r="TQF166" s="187"/>
      <c r="TQG166" s="187"/>
      <c r="TQH166" s="187"/>
      <c r="TQI166" s="187"/>
      <c r="TQJ166" s="187"/>
      <c r="TQK166" s="187"/>
      <c r="TQL166" s="187"/>
      <c r="TQM166" s="187"/>
      <c r="TQN166" s="187"/>
      <c r="TQO166" s="187"/>
      <c r="TQP166" s="187"/>
      <c r="TQQ166" s="187"/>
      <c r="TQR166" s="187"/>
      <c r="TQS166" s="187"/>
      <c r="TQT166" s="187"/>
      <c r="TQU166" s="187"/>
      <c r="TQV166" s="187"/>
      <c r="TQW166" s="187"/>
      <c r="TQX166" s="187"/>
      <c r="TQY166" s="187"/>
      <c r="TQZ166" s="187"/>
      <c r="TRA166" s="187"/>
      <c r="TRB166" s="187"/>
      <c r="TRC166" s="187"/>
      <c r="TRD166" s="187"/>
      <c r="TRE166" s="187"/>
      <c r="TRF166" s="187"/>
      <c r="TRG166" s="187"/>
      <c r="TRH166" s="187"/>
      <c r="TRI166" s="187"/>
      <c r="TRJ166" s="187"/>
      <c r="TRK166" s="187"/>
      <c r="TRL166" s="187"/>
      <c r="TRM166" s="187"/>
      <c r="TRN166" s="187"/>
      <c r="TRO166" s="187"/>
      <c r="TRP166" s="187"/>
      <c r="TRQ166" s="187"/>
      <c r="TRR166" s="187"/>
      <c r="TRS166" s="187"/>
      <c r="TRT166" s="187"/>
      <c r="TRU166" s="187"/>
      <c r="TRV166" s="187"/>
      <c r="TRW166" s="187"/>
      <c r="TRX166" s="187"/>
      <c r="TRY166" s="187"/>
      <c r="TRZ166" s="187"/>
      <c r="TSA166" s="187"/>
      <c r="TSB166" s="187"/>
      <c r="TSC166" s="187"/>
      <c r="TSD166" s="187"/>
      <c r="TSE166" s="187"/>
      <c r="TSF166" s="187"/>
      <c r="TSG166" s="187"/>
      <c r="TSH166" s="187"/>
      <c r="TSI166" s="187"/>
      <c r="TSJ166" s="187"/>
      <c r="TSK166" s="187"/>
      <c r="TSL166" s="187"/>
      <c r="TSM166" s="187"/>
      <c r="TSN166" s="187"/>
      <c r="TSO166" s="187"/>
      <c r="TSP166" s="187"/>
      <c r="TSQ166" s="187"/>
      <c r="TSR166" s="187"/>
      <c r="TSS166" s="187"/>
      <c r="TST166" s="187"/>
      <c r="TSU166" s="187"/>
      <c r="TSV166" s="187"/>
      <c r="TSW166" s="187"/>
      <c r="TSX166" s="187"/>
      <c r="TSY166" s="187"/>
      <c r="TSZ166" s="187"/>
      <c r="TTA166" s="187"/>
      <c r="TTB166" s="187"/>
      <c r="TTC166" s="187"/>
      <c r="TTD166" s="187"/>
      <c r="TTE166" s="187"/>
      <c r="TTF166" s="187"/>
      <c r="TTG166" s="187"/>
      <c r="TTH166" s="187"/>
      <c r="TTI166" s="187"/>
      <c r="TTJ166" s="187"/>
      <c r="TTK166" s="187"/>
      <c r="TTL166" s="187"/>
      <c r="TTM166" s="187"/>
      <c r="TTN166" s="187"/>
      <c r="TTO166" s="187"/>
      <c r="TTP166" s="187"/>
      <c r="TTQ166" s="187"/>
      <c r="TTR166" s="187"/>
      <c r="TTS166" s="187"/>
      <c r="TTT166" s="187"/>
      <c r="TTU166" s="187"/>
      <c r="TTV166" s="187"/>
      <c r="TTW166" s="187"/>
      <c r="TTX166" s="187"/>
      <c r="TTY166" s="187"/>
      <c r="TTZ166" s="187"/>
      <c r="TUA166" s="187"/>
      <c r="TUB166" s="187"/>
      <c r="TUC166" s="187"/>
      <c r="TUD166" s="187"/>
      <c r="TUE166" s="187"/>
      <c r="TUF166" s="187"/>
      <c r="TUG166" s="187"/>
      <c r="TUH166" s="187"/>
      <c r="TUI166" s="187"/>
      <c r="TUJ166" s="187"/>
      <c r="TUK166" s="187"/>
      <c r="TUL166" s="187"/>
      <c r="TUM166" s="187"/>
      <c r="TUN166" s="187"/>
      <c r="TUO166" s="187"/>
      <c r="TUP166" s="187"/>
      <c r="TUQ166" s="187"/>
      <c r="TUR166" s="187"/>
      <c r="TUS166" s="187"/>
      <c r="TUT166" s="187"/>
      <c r="TUU166" s="187"/>
      <c r="TUV166" s="187"/>
      <c r="TUW166" s="187"/>
      <c r="TUX166" s="187"/>
      <c r="TUY166" s="187"/>
      <c r="TUZ166" s="187"/>
      <c r="TVA166" s="187"/>
      <c r="TVB166" s="187"/>
      <c r="TVC166" s="187"/>
      <c r="TVD166" s="187"/>
      <c r="TVE166" s="187"/>
      <c r="TVF166" s="187"/>
      <c r="TVG166" s="187"/>
      <c r="TVH166" s="187"/>
      <c r="TVI166" s="187"/>
      <c r="TVJ166" s="187"/>
      <c r="TVK166" s="187"/>
      <c r="TVL166" s="187"/>
      <c r="TVM166" s="187"/>
      <c r="TVN166" s="187"/>
      <c r="TVO166" s="187"/>
      <c r="TVP166" s="187"/>
      <c r="TVQ166" s="187"/>
      <c r="TVR166" s="187"/>
      <c r="TVS166" s="187"/>
      <c r="TVT166" s="187"/>
      <c r="TVU166" s="187"/>
      <c r="TVV166" s="187"/>
      <c r="TVW166" s="187"/>
      <c r="TVX166" s="187"/>
      <c r="TVY166" s="187"/>
      <c r="TVZ166" s="187"/>
      <c r="TWA166" s="187"/>
      <c r="TWB166" s="187"/>
      <c r="TWC166" s="187"/>
      <c r="TWD166" s="187"/>
      <c r="TWE166" s="187"/>
      <c r="TWF166" s="187"/>
      <c r="TWG166" s="187"/>
      <c r="TWH166" s="187"/>
      <c r="TWI166" s="187"/>
      <c r="TWJ166" s="187"/>
      <c r="TWK166" s="187"/>
      <c r="TWL166" s="187"/>
      <c r="TWM166" s="187"/>
      <c r="TWN166" s="187"/>
      <c r="TWO166" s="187"/>
      <c r="TWP166" s="187"/>
      <c r="TWQ166" s="187"/>
      <c r="TWR166" s="187"/>
      <c r="TWS166" s="187"/>
      <c r="TWT166" s="187"/>
      <c r="TWU166" s="187"/>
      <c r="TWV166" s="187"/>
      <c r="TWW166" s="187"/>
      <c r="TWX166" s="187"/>
      <c r="TWY166" s="187"/>
      <c r="TWZ166" s="187"/>
      <c r="TXA166" s="187"/>
      <c r="TXB166" s="187"/>
      <c r="TXC166" s="187"/>
      <c r="TXD166" s="187"/>
      <c r="TXE166" s="187"/>
      <c r="TXF166" s="187"/>
      <c r="TXG166" s="187"/>
      <c r="TXH166" s="187"/>
      <c r="TXI166" s="187"/>
      <c r="TXJ166" s="187"/>
      <c r="TXK166" s="187"/>
      <c r="TXL166" s="187"/>
      <c r="TXM166" s="187"/>
      <c r="TXN166" s="187"/>
      <c r="TXO166" s="187"/>
      <c r="TXP166" s="187"/>
      <c r="TXQ166" s="187"/>
      <c r="TXR166" s="187"/>
      <c r="TXS166" s="187"/>
      <c r="TXT166" s="187"/>
      <c r="TXU166" s="187"/>
      <c r="TXV166" s="187"/>
      <c r="TXW166" s="187"/>
      <c r="TXX166" s="187"/>
      <c r="TXY166" s="187"/>
      <c r="TXZ166" s="187"/>
      <c r="TYA166" s="187"/>
      <c r="TYB166" s="187"/>
      <c r="TYC166" s="187"/>
      <c r="TYD166" s="187"/>
      <c r="TYE166" s="187"/>
      <c r="TYF166" s="187"/>
      <c r="TYG166" s="187"/>
      <c r="TYH166" s="187"/>
      <c r="TYI166" s="187"/>
      <c r="TYJ166" s="187"/>
      <c r="TYK166" s="187"/>
      <c r="TYL166" s="187"/>
      <c r="TYM166" s="187"/>
      <c r="TYN166" s="187"/>
      <c r="TYO166" s="187"/>
      <c r="TYP166" s="187"/>
      <c r="TYQ166" s="187"/>
      <c r="TYR166" s="187"/>
      <c r="TYS166" s="187"/>
      <c r="TYT166" s="187"/>
      <c r="TYU166" s="187"/>
      <c r="TYV166" s="187"/>
      <c r="TYW166" s="187"/>
      <c r="TYX166" s="187"/>
      <c r="TYY166" s="187"/>
      <c r="TYZ166" s="187"/>
      <c r="TZA166" s="187"/>
      <c r="TZB166" s="187"/>
      <c r="TZC166" s="187"/>
      <c r="TZD166" s="187"/>
      <c r="TZE166" s="187"/>
      <c r="TZF166" s="187"/>
      <c r="TZG166" s="187"/>
      <c r="TZH166" s="187"/>
      <c r="TZI166" s="187"/>
      <c r="TZJ166" s="187"/>
      <c r="TZK166" s="187"/>
      <c r="TZL166" s="187"/>
      <c r="TZM166" s="187"/>
      <c r="TZN166" s="187"/>
      <c r="TZO166" s="187"/>
      <c r="TZP166" s="187"/>
      <c r="TZQ166" s="187"/>
      <c r="TZR166" s="187"/>
      <c r="TZS166" s="187"/>
      <c r="TZT166" s="187"/>
      <c r="TZU166" s="187"/>
      <c r="TZV166" s="187"/>
      <c r="TZW166" s="187"/>
      <c r="TZX166" s="187"/>
      <c r="TZY166" s="187"/>
      <c r="TZZ166" s="187"/>
      <c r="UAA166" s="187"/>
      <c r="UAB166" s="187"/>
      <c r="UAC166" s="187"/>
      <c r="UAD166" s="187"/>
      <c r="UAE166" s="187"/>
      <c r="UAF166" s="187"/>
      <c r="UAG166" s="187"/>
      <c r="UAH166" s="187"/>
      <c r="UAI166" s="187"/>
      <c r="UAJ166" s="187"/>
      <c r="UAK166" s="187"/>
      <c r="UAL166" s="187"/>
      <c r="UAM166" s="187"/>
      <c r="UAN166" s="187"/>
      <c r="UAO166" s="187"/>
      <c r="UAP166" s="187"/>
      <c r="UAQ166" s="187"/>
      <c r="UAR166" s="187"/>
      <c r="UAS166" s="187"/>
      <c r="UAT166" s="187"/>
      <c r="UAU166" s="187"/>
      <c r="UAV166" s="187"/>
      <c r="UAW166" s="187"/>
      <c r="UAX166" s="187"/>
      <c r="UAY166" s="187"/>
      <c r="UAZ166" s="187"/>
      <c r="UBA166" s="187"/>
      <c r="UBB166" s="187"/>
      <c r="UBC166" s="187"/>
      <c r="UBD166" s="187"/>
      <c r="UBE166" s="187"/>
      <c r="UBF166" s="187"/>
      <c r="UBG166" s="187"/>
      <c r="UBH166" s="187"/>
      <c r="UBI166" s="187"/>
      <c r="UBJ166" s="187"/>
      <c r="UBK166" s="187"/>
      <c r="UBL166" s="187"/>
      <c r="UBM166" s="187"/>
      <c r="UBN166" s="187"/>
      <c r="UBO166" s="187"/>
      <c r="UBP166" s="187"/>
      <c r="UBQ166" s="187"/>
      <c r="UBR166" s="187"/>
      <c r="UBS166" s="187"/>
      <c r="UBT166" s="187"/>
      <c r="UBU166" s="187"/>
      <c r="UBV166" s="187"/>
      <c r="UBW166" s="187"/>
      <c r="UBX166" s="187"/>
      <c r="UBY166" s="187"/>
      <c r="UBZ166" s="187"/>
      <c r="UCA166" s="187"/>
      <c r="UCB166" s="187"/>
      <c r="UCC166" s="187"/>
      <c r="UCD166" s="187"/>
      <c r="UCE166" s="187"/>
      <c r="UCF166" s="187"/>
      <c r="UCG166" s="187"/>
      <c r="UCH166" s="187"/>
      <c r="UCI166" s="187"/>
      <c r="UCJ166" s="187"/>
      <c r="UCK166" s="187"/>
      <c r="UCL166" s="187"/>
      <c r="UCM166" s="187"/>
      <c r="UCN166" s="187"/>
      <c r="UCO166" s="187"/>
      <c r="UCP166" s="187"/>
      <c r="UCQ166" s="187"/>
      <c r="UCR166" s="187"/>
      <c r="UCS166" s="187"/>
      <c r="UCT166" s="187"/>
      <c r="UCU166" s="187"/>
      <c r="UCV166" s="187"/>
      <c r="UCW166" s="187"/>
      <c r="UCX166" s="187"/>
      <c r="UCY166" s="187"/>
      <c r="UCZ166" s="187"/>
      <c r="UDA166" s="187"/>
      <c r="UDB166" s="187"/>
      <c r="UDC166" s="187"/>
      <c r="UDD166" s="187"/>
      <c r="UDE166" s="187"/>
      <c r="UDF166" s="187"/>
      <c r="UDG166" s="187"/>
      <c r="UDH166" s="187"/>
      <c r="UDI166" s="187"/>
      <c r="UDJ166" s="187"/>
      <c r="UDK166" s="187"/>
      <c r="UDL166" s="187"/>
      <c r="UDM166" s="187"/>
      <c r="UDN166" s="187"/>
      <c r="UDO166" s="187"/>
      <c r="UDP166" s="187"/>
      <c r="UDQ166" s="187"/>
      <c r="UDR166" s="187"/>
      <c r="UDS166" s="187"/>
      <c r="UDT166" s="187"/>
      <c r="UDU166" s="187"/>
      <c r="UDV166" s="187"/>
      <c r="UDW166" s="187"/>
      <c r="UDX166" s="187"/>
      <c r="UDY166" s="187"/>
      <c r="UDZ166" s="187"/>
      <c r="UEA166" s="187"/>
      <c r="UEB166" s="187"/>
      <c r="UEC166" s="187"/>
      <c r="UED166" s="187"/>
      <c r="UEE166" s="187"/>
      <c r="UEF166" s="187"/>
      <c r="UEG166" s="187"/>
      <c r="UEH166" s="187"/>
      <c r="UEI166" s="187"/>
      <c r="UEJ166" s="187"/>
      <c r="UEK166" s="187"/>
      <c r="UEL166" s="187"/>
      <c r="UEM166" s="187"/>
      <c r="UEN166" s="187"/>
      <c r="UEO166" s="187"/>
      <c r="UEP166" s="187"/>
      <c r="UEQ166" s="187"/>
      <c r="UER166" s="187"/>
      <c r="UES166" s="187"/>
      <c r="UET166" s="187"/>
      <c r="UEU166" s="187"/>
      <c r="UEV166" s="187"/>
      <c r="UEW166" s="187"/>
      <c r="UEX166" s="187"/>
      <c r="UEY166" s="187"/>
      <c r="UEZ166" s="187"/>
      <c r="UFA166" s="187"/>
      <c r="UFB166" s="187"/>
      <c r="UFC166" s="187"/>
      <c r="UFD166" s="187"/>
      <c r="UFE166" s="187"/>
      <c r="UFF166" s="187"/>
      <c r="UFG166" s="187"/>
      <c r="UFH166" s="187"/>
      <c r="UFI166" s="187"/>
      <c r="UFJ166" s="187"/>
      <c r="UFK166" s="187"/>
      <c r="UFL166" s="187"/>
      <c r="UFM166" s="187"/>
      <c r="UFN166" s="187"/>
      <c r="UFO166" s="187"/>
      <c r="UFP166" s="187"/>
      <c r="UFQ166" s="187"/>
      <c r="UFR166" s="187"/>
      <c r="UFS166" s="187"/>
      <c r="UFT166" s="187"/>
      <c r="UFU166" s="187"/>
      <c r="UFV166" s="187"/>
      <c r="UFW166" s="187"/>
      <c r="UFX166" s="187"/>
      <c r="UFY166" s="187"/>
      <c r="UFZ166" s="187"/>
      <c r="UGA166" s="187"/>
      <c r="UGB166" s="187"/>
      <c r="UGC166" s="187"/>
      <c r="UGD166" s="187"/>
      <c r="UGE166" s="187"/>
      <c r="UGF166" s="187"/>
      <c r="UGG166" s="187"/>
      <c r="UGH166" s="187"/>
      <c r="UGI166" s="187"/>
      <c r="UGJ166" s="187"/>
      <c r="UGK166" s="187"/>
      <c r="UGL166" s="187"/>
      <c r="UGM166" s="187"/>
      <c r="UGN166" s="187"/>
      <c r="UGO166" s="187"/>
      <c r="UGP166" s="187"/>
      <c r="UGQ166" s="187"/>
      <c r="UGR166" s="187"/>
      <c r="UGS166" s="187"/>
      <c r="UGT166" s="187"/>
      <c r="UGU166" s="187"/>
      <c r="UGV166" s="187"/>
      <c r="UGW166" s="187"/>
      <c r="UGX166" s="187"/>
      <c r="UGY166" s="187"/>
      <c r="UGZ166" s="187"/>
      <c r="UHA166" s="187"/>
      <c r="UHB166" s="187"/>
      <c r="UHC166" s="187"/>
      <c r="UHD166" s="187"/>
      <c r="UHE166" s="187"/>
      <c r="UHF166" s="187"/>
      <c r="UHG166" s="187"/>
      <c r="UHH166" s="187"/>
      <c r="UHI166" s="187"/>
      <c r="UHJ166" s="187"/>
      <c r="UHK166" s="187"/>
      <c r="UHL166" s="187"/>
      <c r="UHM166" s="187"/>
      <c r="UHN166" s="187"/>
      <c r="UHO166" s="187"/>
      <c r="UHP166" s="187"/>
      <c r="UHQ166" s="187"/>
      <c r="UHR166" s="187"/>
      <c r="UHS166" s="187"/>
      <c r="UHT166" s="187"/>
      <c r="UHU166" s="187"/>
      <c r="UHV166" s="187"/>
      <c r="UHW166" s="187"/>
      <c r="UHX166" s="187"/>
      <c r="UHY166" s="187"/>
      <c r="UHZ166" s="187"/>
      <c r="UIA166" s="187"/>
      <c r="UIB166" s="187"/>
      <c r="UIC166" s="187"/>
      <c r="UID166" s="187"/>
      <c r="UIE166" s="187"/>
      <c r="UIF166" s="187"/>
      <c r="UIG166" s="187"/>
      <c r="UIH166" s="187"/>
      <c r="UII166" s="187"/>
      <c r="UIJ166" s="187"/>
      <c r="UIK166" s="187"/>
      <c r="UIL166" s="187"/>
      <c r="UIM166" s="187"/>
      <c r="UIN166" s="187"/>
      <c r="UIO166" s="187"/>
      <c r="UIP166" s="187"/>
      <c r="UIQ166" s="187"/>
      <c r="UIR166" s="187"/>
      <c r="UIS166" s="187"/>
      <c r="UIT166" s="187"/>
      <c r="UIU166" s="187"/>
      <c r="UIV166" s="187"/>
      <c r="UIW166" s="187"/>
      <c r="UIX166" s="187"/>
      <c r="UIY166" s="187"/>
      <c r="UIZ166" s="187"/>
      <c r="UJA166" s="187"/>
      <c r="UJB166" s="187"/>
      <c r="UJC166" s="187"/>
      <c r="UJD166" s="187"/>
      <c r="UJE166" s="187"/>
      <c r="UJF166" s="187"/>
      <c r="UJG166" s="187"/>
      <c r="UJH166" s="187"/>
      <c r="UJI166" s="187"/>
      <c r="UJJ166" s="187"/>
      <c r="UJK166" s="187"/>
      <c r="UJL166" s="187"/>
      <c r="UJM166" s="187"/>
      <c r="UJN166" s="187"/>
      <c r="UJO166" s="187"/>
      <c r="UJP166" s="187"/>
      <c r="UJQ166" s="187"/>
      <c r="UJR166" s="187"/>
      <c r="UJS166" s="187"/>
      <c r="UJT166" s="187"/>
      <c r="UJU166" s="187"/>
      <c r="UJV166" s="187"/>
      <c r="UJW166" s="187"/>
      <c r="UJX166" s="187"/>
      <c r="UJY166" s="187"/>
      <c r="UJZ166" s="187"/>
      <c r="UKA166" s="187"/>
      <c r="UKB166" s="187"/>
      <c r="UKC166" s="187"/>
      <c r="UKD166" s="187"/>
      <c r="UKE166" s="187"/>
      <c r="UKF166" s="187"/>
      <c r="UKG166" s="187"/>
      <c r="UKH166" s="187"/>
      <c r="UKI166" s="187"/>
      <c r="UKJ166" s="187"/>
      <c r="UKK166" s="187"/>
      <c r="UKL166" s="187"/>
      <c r="UKM166" s="187"/>
      <c r="UKN166" s="187"/>
      <c r="UKO166" s="187"/>
      <c r="UKP166" s="187"/>
      <c r="UKQ166" s="187"/>
      <c r="UKR166" s="187"/>
      <c r="UKS166" s="187"/>
      <c r="UKT166" s="187"/>
      <c r="UKU166" s="187"/>
      <c r="UKV166" s="187"/>
      <c r="UKW166" s="187"/>
      <c r="UKX166" s="187"/>
      <c r="UKY166" s="187"/>
      <c r="UKZ166" s="187"/>
      <c r="ULA166" s="187"/>
      <c r="ULB166" s="187"/>
      <c r="ULC166" s="187"/>
      <c r="ULD166" s="187"/>
      <c r="ULE166" s="187"/>
      <c r="ULF166" s="187"/>
      <c r="ULG166" s="187"/>
      <c r="ULH166" s="187"/>
      <c r="ULI166" s="187"/>
      <c r="ULJ166" s="187"/>
      <c r="ULK166" s="187"/>
      <c r="ULL166" s="187"/>
      <c r="ULM166" s="187"/>
      <c r="ULN166" s="187"/>
      <c r="ULO166" s="187"/>
      <c r="ULP166" s="187"/>
      <c r="ULQ166" s="187"/>
      <c r="ULR166" s="187"/>
      <c r="ULS166" s="187"/>
      <c r="ULT166" s="187"/>
      <c r="ULU166" s="187"/>
      <c r="ULV166" s="187"/>
      <c r="ULW166" s="187"/>
      <c r="ULX166" s="187"/>
      <c r="ULY166" s="187"/>
      <c r="ULZ166" s="187"/>
      <c r="UMA166" s="187"/>
      <c r="UMB166" s="187"/>
      <c r="UMC166" s="187"/>
      <c r="UMD166" s="187"/>
      <c r="UME166" s="187"/>
      <c r="UMF166" s="187"/>
      <c r="UMG166" s="187"/>
      <c r="UMH166" s="187"/>
      <c r="UMI166" s="187"/>
      <c r="UMJ166" s="187"/>
      <c r="UMK166" s="187"/>
      <c r="UML166" s="187"/>
      <c r="UMM166" s="187"/>
      <c r="UMN166" s="187"/>
      <c r="UMO166" s="187"/>
      <c r="UMP166" s="187"/>
      <c r="UMQ166" s="187"/>
      <c r="UMR166" s="187"/>
      <c r="UMS166" s="187"/>
      <c r="UMT166" s="187"/>
      <c r="UMU166" s="187"/>
      <c r="UMV166" s="187"/>
      <c r="UMW166" s="187"/>
      <c r="UMX166" s="187"/>
      <c r="UMY166" s="187"/>
      <c r="UMZ166" s="187"/>
      <c r="UNA166" s="187"/>
      <c r="UNB166" s="187"/>
      <c r="UNC166" s="187"/>
      <c r="UND166" s="187"/>
      <c r="UNE166" s="187"/>
      <c r="UNF166" s="187"/>
      <c r="UNG166" s="187"/>
      <c r="UNH166" s="187"/>
      <c r="UNI166" s="187"/>
      <c r="UNJ166" s="187"/>
      <c r="UNK166" s="187"/>
      <c r="UNL166" s="187"/>
      <c r="UNM166" s="187"/>
      <c r="UNN166" s="187"/>
      <c r="UNO166" s="187"/>
      <c r="UNP166" s="187"/>
      <c r="UNQ166" s="187"/>
      <c r="UNR166" s="187"/>
      <c r="UNS166" s="187"/>
      <c r="UNT166" s="187"/>
      <c r="UNU166" s="187"/>
      <c r="UNV166" s="187"/>
      <c r="UNW166" s="187"/>
      <c r="UNX166" s="187"/>
      <c r="UNY166" s="187"/>
      <c r="UNZ166" s="187"/>
      <c r="UOA166" s="187"/>
      <c r="UOB166" s="187"/>
      <c r="UOC166" s="187"/>
      <c r="UOD166" s="187"/>
      <c r="UOE166" s="187"/>
      <c r="UOF166" s="187"/>
      <c r="UOG166" s="187"/>
      <c r="UOH166" s="187"/>
      <c r="UOI166" s="187"/>
      <c r="UOJ166" s="187"/>
      <c r="UOK166" s="187"/>
      <c r="UOL166" s="187"/>
      <c r="UOM166" s="187"/>
      <c r="UON166" s="187"/>
      <c r="UOO166" s="187"/>
      <c r="UOP166" s="187"/>
      <c r="UOQ166" s="187"/>
      <c r="UOR166" s="187"/>
      <c r="UOS166" s="187"/>
      <c r="UOT166" s="187"/>
      <c r="UOU166" s="187"/>
      <c r="UOV166" s="187"/>
      <c r="UOW166" s="187"/>
      <c r="UOX166" s="187"/>
      <c r="UOY166" s="187"/>
      <c r="UOZ166" s="187"/>
      <c r="UPA166" s="187"/>
      <c r="UPB166" s="187"/>
      <c r="UPC166" s="187"/>
      <c r="UPD166" s="187"/>
      <c r="UPE166" s="187"/>
      <c r="UPF166" s="187"/>
      <c r="UPG166" s="187"/>
      <c r="UPH166" s="187"/>
      <c r="UPI166" s="187"/>
      <c r="UPJ166" s="187"/>
      <c r="UPK166" s="187"/>
      <c r="UPL166" s="187"/>
      <c r="UPM166" s="187"/>
      <c r="UPN166" s="187"/>
      <c r="UPO166" s="187"/>
      <c r="UPP166" s="187"/>
      <c r="UPQ166" s="187"/>
      <c r="UPR166" s="187"/>
      <c r="UPS166" s="187"/>
      <c r="UPT166" s="187"/>
      <c r="UPU166" s="187"/>
      <c r="UPV166" s="187"/>
      <c r="UPW166" s="187"/>
      <c r="UPX166" s="187"/>
      <c r="UPY166" s="187"/>
      <c r="UPZ166" s="187"/>
      <c r="UQA166" s="187"/>
      <c r="UQB166" s="187"/>
      <c r="UQC166" s="187"/>
      <c r="UQD166" s="187"/>
      <c r="UQE166" s="187"/>
      <c r="UQF166" s="187"/>
      <c r="UQG166" s="187"/>
      <c r="UQH166" s="187"/>
      <c r="UQI166" s="187"/>
      <c r="UQJ166" s="187"/>
      <c r="UQK166" s="187"/>
      <c r="UQL166" s="187"/>
      <c r="UQM166" s="187"/>
      <c r="UQN166" s="187"/>
      <c r="UQO166" s="187"/>
      <c r="UQP166" s="187"/>
      <c r="UQQ166" s="187"/>
      <c r="UQR166" s="187"/>
      <c r="UQS166" s="187"/>
      <c r="UQT166" s="187"/>
      <c r="UQU166" s="187"/>
      <c r="UQV166" s="187"/>
      <c r="UQW166" s="187"/>
      <c r="UQX166" s="187"/>
      <c r="UQY166" s="187"/>
      <c r="UQZ166" s="187"/>
      <c r="URA166" s="187"/>
      <c r="URB166" s="187"/>
      <c r="URC166" s="187"/>
      <c r="URD166" s="187"/>
      <c r="URE166" s="187"/>
      <c r="URF166" s="187"/>
      <c r="URG166" s="187"/>
      <c r="URH166" s="187"/>
      <c r="URI166" s="187"/>
      <c r="URJ166" s="187"/>
      <c r="URK166" s="187"/>
      <c r="URL166" s="187"/>
      <c r="URM166" s="187"/>
      <c r="URN166" s="187"/>
      <c r="URO166" s="187"/>
      <c r="URP166" s="187"/>
      <c r="URQ166" s="187"/>
      <c r="URR166" s="187"/>
      <c r="URS166" s="187"/>
      <c r="URT166" s="187"/>
      <c r="URU166" s="187"/>
      <c r="URV166" s="187"/>
      <c r="URW166" s="187"/>
      <c r="URX166" s="187"/>
      <c r="URY166" s="187"/>
      <c r="URZ166" s="187"/>
      <c r="USA166" s="187"/>
      <c r="USB166" s="187"/>
      <c r="USC166" s="187"/>
      <c r="USD166" s="187"/>
      <c r="USE166" s="187"/>
      <c r="USF166" s="187"/>
      <c r="USG166" s="187"/>
      <c r="USH166" s="187"/>
      <c r="USI166" s="187"/>
      <c r="USJ166" s="187"/>
      <c r="USK166" s="187"/>
      <c r="USL166" s="187"/>
      <c r="USM166" s="187"/>
      <c r="USN166" s="187"/>
      <c r="USO166" s="187"/>
      <c r="USP166" s="187"/>
      <c r="USQ166" s="187"/>
      <c r="USR166" s="187"/>
      <c r="USS166" s="187"/>
      <c r="UST166" s="187"/>
      <c r="USU166" s="187"/>
      <c r="USV166" s="187"/>
      <c r="USW166" s="187"/>
      <c r="USX166" s="187"/>
      <c r="USY166" s="187"/>
      <c r="USZ166" s="187"/>
      <c r="UTA166" s="187"/>
      <c r="UTB166" s="187"/>
      <c r="UTC166" s="187"/>
      <c r="UTD166" s="187"/>
      <c r="UTE166" s="187"/>
      <c r="UTF166" s="187"/>
      <c r="UTG166" s="187"/>
      <c r="UTH166" s="187"/>
      <c r="UTI166" s="187"/>
      <c r="UTJ166" s="187"/>
      <c r="UTK166" s="187"/>
      <c r="UTL166" s="187"/>
      <c r="UTM166" s="187"/>
      <c r="UTN166" s="187"/>
      <c r="UTO166" s="187"/>
      <c r="UTP166" s="187"/>
      <c r="UTQ166" s="187"/>
      <c r="UTR166" s="187"/>
      <c r="UTS166" s="187"/>
      <c r="UTT166" s="187"/>
      <c r="UTU166" s="187"/>
      <c r="UTV166" s="187"/>
      <c r="UTW166" s="187"/>
      <c r="UTX166" s="187"/>
      <c r="UTY166" s="187"/>
      <c r="UTZ166" s="187"/>
      <c r="UUA166" s="187"/>
      <c r="UUB166" s="187"/>
      <c r="UUC166" s="187"/>
      <c r="UUD166" s="187"/>
      <c r="UUE166" s="187"/>
      <c r="UUF166" s="187"/>
      <c r="UUG166" s="187"/>
      <c r="UUH166" s="187"/>
      <c r="UUI166" s="187"/>
      <c r="UUJ166" s="187"/>
      <c r="UUK166" s="187"/>
      <c r="UUL166" s="187"/>
      <c r="UUM166" s="187"/>
      <c r="UUN166" s="187"/>
      <c r="UUO166" s="187"/>
      <c r="UUP166" s="187"/>
      <c r="UUQ166" s="187"/>
      <c r="UUR166" s="187"/>
      <c r="UUS166" s="187"/>
      <c r="UUT166" s="187"/>
      <c r="UUU166" s="187"/>
      <c r="UUV166" s="187"/>
      <c r="UUW166" s="187"/>
      <c r="UUX166" s="187"/>
      <c r="UUY166" s="187"/>
      <c r="UUZ166" s="187"/>
      <c r="UVA166" s="187"/>
      <c r="UVB166" s="187"/>
      <c r="UVC166" s="187"/>
      <c r="UVD166" s="187"/>
      <c r="UVE166" s="187"/>
      <c r="UVF166" s="187"/>
      <c r="UVG166" s="187"/>
      <c r="UVH166" s="187"/>
      <c r="UVI166" s="187"/>
      <c r="UVJ166" s="187"/>
      <c r="UVK166" s="187"/>
      <c r="UVL166" s="187"/>
      <c r="UVM166" s="187"/>
      <c r="UVN166" s="187"/>
      <c r="UVO166" s="187"/>
      <c r="UVP166" s="187"/>
      <c r="UVQ166" s="187"/>
      <c r="UVR166" s="187"/>
      <c r="UVS166" s="187"/>
      <c r="UVT166" s="187"/>
      <c r="UVU166" s="187"/>
      <c r="UVV166" s="187"/>
      <c r="UVW166" s="187"/>
      <c r="UVX166" s="187"/>
      <c r="UVY166" s="187"/>
      <c r="UVZ166" s="187"/>
      <c r="UWA166" s="187"/>
      <c r="UWB166" s="187"/>
      <c r="UWC166" s="187"/>
      <c r="UWD166" s="187"/>
      <c r="UWE166" s="187"/>
      <c r="UWF166" s="187"/>
      <c r="UWG166" s="187"/>
      <c r="UWH166" s="187"/>
      <c r="UWI166" s="187"/>
      <c r="UWJ166" s="187"/>
      <c r="UWK166" s="187"/>
      <c r="UWL166" s="187"/>
      <c r="UWM166" s="187"/>
      <c r="UWN166" s="187"/>
      <c r="UWO166" s="187"/>
      <c r="UWP166" s="187"/>
      <c r="UWQ166" s="187"/>
      <c r="UWR166" s="187"/>
      <c r="UWS166" s="187"/>
      <c r="UWT166" s="187"/>
      <c r="UWU166" s="187"/>
      <c r="UWV166" s="187"/>
      <c r="UWW166" s="187"/>
      <c r="UWX166" s="187"/>
      <c r="UWY166" s="187"/>
      <c r="UWZ166" s="187"/>
      <c r="UXA166" s="187"/>
      <c r="UXB166" s="187"/>
      <c r="UXC166" s="187"/>
      <c r="UXD166" s="187"/>
      <c r="UXE166" s="187"/>
      <c r="UXF166" s="187"/>
      <c r="UXG166" s="187"/>
      <c r="UXH166" s="187"/>
      <c r="UXI166" s="187"/>
      <c r="UXJ166" s="187"/>
      <c r="UXK166" s="187"/>
      <c r="UXL166" s="187"/>
      <c r="UXM166" s="187"/>
      <c r="UXN166" s="187"/>
      <c r="UXO166" s="187"/>
      <c r="UXP166" s="187"/>
      <c r="UXQ166" s="187"/>
      <c r="UXR166" s="187"/>
      <c r="UXS166" s="187"/>
      <c r="UXT166" s="187"/>
      <c r="UXU166" s="187"/>
      <c r="UXV166" s="187"/>
      <c r="UXW166" s="187"/>
      <c r="UXX166" s="187"/>
      <c r="UXY166" s="187"/>
      <c r="UXZ166" s="187"/>
      <c r="UYA166" s="187"/>
      <c r="UYB166" s="187"/>
      <c r="UYC166" s="187"/>
      <c r="UYD166" s="187"/>
      <c r="UYE166" s="187"/>
      <c r="UYF166" s="187"/>
      <c r="UYG166" s="187"/>
      <c r="UYH166" s="187"/>
      <c r="UYI166" s="187"/>
      <c r="UYJ166" s="187"/>
      <c r="UYK166" s="187"/>
      <c r="UYL166" s="187"/>
      <c r="UYM166" s="187"/>
      <c r="UYN166" s="187"/>
      <c r="UYO166" s="187"/>
      <c r="UYP166" s="187"/>
      <c r="UYQ166" s="187"/>
      <c r="UYR166" s="187"/>
      <c r="UYS166" s="187"/>
      <c r="UYT166" s="187"/>
      <c r="UYU166" s="187"/>
      <c r="UYV166" s="187"/>
      <c r="UYW166" s="187"/>
      <c r="UYX166" s="187"/>
      <c r="UYY166" s="187"/>
      <c r="UYZ166" s="187"/>
      <c r="UZA166" s="187"/>
      <c r="UZB166" s="187"/>
      <c r="UZC166" s="187"/>
      <c r="UZD166" s="187"/>
      <c r="UZE166" s="187"/>
      <c r="UZF166" s="187"/>
      <c r="UZG166" s="187"/>
      <c r="UZH166" s="187"/>
      <c r="UZI166" s="187"/>
      <c r="UZJ166" s="187"/>
      <c r="UZK166" s="187"/>
      <c r="UZL166" s="187"/>
      <c r="UZM166" s="187"/>
      <c r="UZN166" s="187"/>
      <c r="UZO166" s="187"/>
      <c r="UZP166" s="187"/>
      <c r="UZQ166" s="187"/>
      <c r="UZR166" s="187"/>
      <c r="UZS166" s="187"/>
      <c r="UZT166" s="187"/>
      <c r="UZU166" s="187"/>
      <c r="UZV166" s="187"/>
      <c r="UZW166" s="187"/>
      <c r="UZX166" s="187"/>
      <c r="UZY166" s="187"/>
      <c r="UZZ166" s="187"/>
      <c r="VAA166" s="187"/>
      <c r="VAB166" s="187"/>
      <c r="VAC166" s="187"/>
      <c r="VAD166" s="187"/>
      <c r="VAE166" s="187"/>
      <c r="VAF166" s="187"/>
      <c r="VAG166" s="187"/>
      <c r="VAH166" s="187"/>
      <c r="VAI166" s="187"/>
      <c r="VAJ166" s="187"/>
      <c r="VAK166" s="187"/>
      <c r="VAL166" s="187"/>
      <c r="VAM166" s="187"/>
      <c r="VAN166" s="187"/>
      <c r="VAO166" s="187"/>
      <c r="VAP166" s="187"/>
      <c r="VAQ166" s="187"/>
      <c r="VAR166" s="187"/>
      <c r="VAS166" s="187"/>
      <c r="VAT166" s="187"/>
      <c r="VAU166" s="187"/>
      <c r="VAV166" s="187"/>
      <c r="VAW166" s="187"/>
      <c r="VAX166" s="187"/>
      <c r="VAY166" s="187"/>
      <c r="VAZ166" s="187"/>
      <c r="VBA166" s="187"/>
      <c r="VBB166" s="187"/>
      <c r="VBC166" s="187"/>
      <c r="VBD166" s="187"/>
      <c r="VBE166" s="187"/>
      <c r="VBF166" s="187"/>
      <c r="VBG166" s="187"/>
      <c r="VBH166" s="187"/>
      <c r="VBI166" s="187"/>
      <c r="VBJ166" s="187"/>
      <c r="VBK166" s="187"/>
      <c r="VBL166" s="187"/>
      <c r="VBM166" s="187"/>
      <c r="VBN166" s="187"/>
      <c r="VBO166" s="187"/>
      <c r="VBP166" s="187"/>
      <c r="VBQ166" s="187"/>
      <c r="VBR166" s="187"/>
      <c r="VBS166" s="187"/>
      <c r="VBT166" s="187"/>
      <c r="VBU166" s="187"/>
      <c r="VBV166" s="187"/>
      <c r="VBW166" s="187"/>
      <c r="VBX166" s="187"/>
      <c r="VBY166" s="187"/>
      <c r="VBZ166" s="187"/>
      <c r="VCA166" s="187"/>
      <c r="VCB166" s="187"/>
      <c r="VCC166" s="187"/>
      <c r="VCD166" s="187"/>
      <c r="VCE166" s="187"/>
      <c r="VCF166" s="187"/>
      <c r="VCG166" s="187"/>
      <c r="VCH166" s="187"/>
      <c r="VCI166" s="187"/>
      <c r="VCJ166" s="187"/>
      <c r="VCK166" s="187"/>
      <c r="VCL166" s="187"/>
      <c r="VCM166" s="187"/>
      <c r="VCN166" s="187"/>
      <c r="VCO166" s="187"/>
      <c r="VCP166" s="187"/>
      <c r="VCQ166" s="187"/>
      <c r="VCR166" s="187"/>
      <c r="VCS166" s="187"/>
      <c r="VCT166" s="187"/>
      <c r="VCU166" s="187"/>
      <c r="VCV166" s="187"/>
      <c r="VCW166" s="187"/>
      <c r="VCX166" s="187"/>
      <c r="VCY166" s="187"/>
      <c r="VCZ166" s="187"/>
      <c r="VDA166" s="187"/>
      <c r="VDB166" s="187"/>
      <c r="VDC166" s="187"/>
      <c r="VDD166" s="187"/>
      <c r="VDE166" s="187"/>
      <c r="VDF166" s="187"/>
      <c r="VDG166" s="187"/>
      <c r="VDH166" s="187"/>
      <c r="VDI166" s="187"/>
      <c r="VDJ166" s="187"/>
      <c r="VDK166" s="187"/>
      <c r="VDL166" s="187"/>
      <c r="VDM166" s="187"/>
      <c r="VDN166" s="187"/>
      <c r="VDO166" s="187"/>
      <c r="VDP166" s="187"/>
      <c r="VDQ166" s="187"/>
      <c r="VDR166" s="187"/>
      <c r="VDS166" s="187"/>
      <c r="VDT166" s="187"/>
      <c r="VDU166" s="187"/>
      <c r="VDV166" s="187"/>
      <c r="VDW166" s="187"/>
      <c r="VDX166" s="187"/>
      <c r="VDY166" s="187"/>
      <c r="VDZ166" s="187"/>
      <c r="VEA166" s="187"/>
      <c r="VEB166" s="187"/>
      <c r="VEC166" s="187"/>
      <c r="VED166" s="187"/>
      <c r="VEE166" s="187"/>
      <c r="VEF166" s="187"/>
      <c r="VEG166" s="187"/>
      <c r="VEH166" s="187"/>
      <c r="VEI166" s="187"/>
      <c r="VEJ166" s="187"/>
      <c r="VEK166" s="187"/>
      <c r="VEL166" s="187"/>
      <c r="VEM166" s="187"/>
      <c r="VEN166" s="187"/>
      <c r="VEO166" s="187"/>
      <c r="VEP166" s="187"/>
      <c r="VEQ166" s="187"/>
      <c r="VER166" s="187"/>
      <c r="VES166" s="187"/>
      <c r="VET166" s="187"/>
      <c r="VEU166" s="187"/>
      <c r="VEV166" s="187"/>
      <c r="VEW166" s="187"/>
      <c r="VEX166" s="187"/>
      <c r="VEY166" s="187"/>
      <c r="VEZ166" s="187"/>
      <c r="VFA166" s="187"/>
      <c r="VFB166" s="187"/>
      <c r="VFC166" s="187"/>
      <c r="VFD166" s="187"/>
      <c r="VFE166" s="187"/>
      <c r="VFF166" s="187"/>
      <c r="VFG166" s="187"/>
      <c r="VFH166" s="187"/>
      <c r="VFI166" s="187"/>
      <c r="VFJ166" s="187"/>
      <c r="VFK166" s="187"/>
      <c r="VFL166" s="187"/>
      <c r="VFM166" s="187"/>
      <c r="VFN166" s="187"/>
      <c r="VFO166" s="187"/>
      <c r="VFP166" s="187"/>
      <c r="VFQ166" s="187"/>
      <c r="VFR166" s="187"/>
      <c r="VFS166" s="187"/>
      <c r="VFT166" s="187"/>
      <c r="VFU166" s="187"/>
      <c r="VFV166" s="187"/>
      <c r="VFW166" s="187"/>
      <c r="VFX166" s="187"/>
      <c r="VFY166" s="187"/>
      <c r="VFZ166" s="187"/>
      <c r="VGA166" s="187"/>
      <c r="VGB166" s="187"/>
      <c r="VGC166" s="187"/>
      <c r="VGD166" s="187"/>
      <c r="VGE166" s="187"/>
      <c r="VGF166" s="187"/>
      <c r="VGG166" s="187"/>
      <c r="VGH166" s="187"/>
      <c r="VGI166" s="187"/>
      <c r="VGJ166" s="187"/>
      <c r="VGK166" s="187"/>
      <c r="VGL166" s="187"/>
      <c r="VGM166" s="187"/>
      <c r="VGN166" s="187"/>
      <c r="VGO166" s="187"/>
      <c r="VGP166" s="187"/>
      <c r="VGQ166" s="187"/>
      <c r="VGR166" s="187"/>
      <c r="VGS166" s="187"/>
      <c r="VGT166" s="187"/>
      <c r="VGU166" s="187"/>
      <c r="VGV166" s="187"/>
      <c r="VGW166" s="187"/>
      <c r="VGX166" s="187"/>
      <c r="VGY166" s="187"/>
      <c r="VGZ166" s="187"/>
      <c r="VHA166" s="187"/>
      <c r="VHB166" s="187"/>
      <c r="VHC166" s="187"/>
      <c r="VHD166" s="187"/>
      <c r="VHE166" s="187"/>
      <c r="VHF166" s="187"/>
      <c r="VHG166" s="187"/>
      <c r="VHH166" s="187"/>
      <c r="VHI166" s="187"/>
      <c r="VHJ166" s="187"/>
      <c r="VHK166" s="187"/>
      <c r="VHL166" s="187"/>
      <c r="VHM166" s="187"/>
      <c r="VHN166" s="187"/>
      <c r="VHO166" s="187"/>
      <c r="VHP166" s="187"/>
      <c r="VHQ166" s="187"/>
      <c r="VHR166" s="187"/>
      <c r="VHS166" s="187"/>
      <c r="VHT166" s="187"/>
      <c r="VHU166" s="187"/>
      <c r="VHV166" s="187"/>
      <c r="VHW166" s="187"/>
      <c r="VHX166" s="187"/>
      <c r="VHY166" s="187"/>
      <c r="VHZ166" s="187"/>
      <c r="VIA166" s="187"/>
      <c r="VIB166" s="187"/>
      <c r="VIC166" s="187"/>
      <c r="VID166" s="187"/>
      <c r="VIE166" s="187"/>
      <c r="VIF166" s="187"/>
      <c r="VIG166" s="187"/>
      <c r="VIH166" s="187"/>
      <c r="VII166" s="187"/>
      <c r="VIJ166" s="187"/>
      <c r="VIK166" s="187"/>
      <c r="VIL166" s="187"/>
      <c r="VIM166" s="187"/>
      <c r="VIN166" s="187"/>
      <c r="VIO166" s="187"/>
      <c r="VIP166" s="187"/>
      <c r="VIQ166" s="187"/>
      <c r="VIR166" s="187"/>
      <c r="VIS166" s="187"/>
      <c r="VIT166" s="187"/>
      <c r="VIU166" s="187"/>
      <c r="VIV166" s="187"/>
      <c r="VIW166" s="187"/>
      <c r="VIX166" s="187"/>
      <c r="VIY166" s="187"/>
      <c r="VIZ166" s="187"/>
      <c r="VJA166" s="187"/>
      <c r="VJB166" s="187"/>
      <c r="VJC166" s="187"/>
      <c r="VJD166" s="187"/>
      <c r="VJE166" s="187"/>
      <c r="VJF166" s="187"/>
      <c r="VJG166" s="187"/>
      <c r="VJH166" s="187"/>
      <c r="VJI166" s="187"/>
      <c r="VJJ166" s="187"/>
      <c r="VJK166" s="187"/>
      <c r="VJL166" s="187"/>
      <c r="VJM166" s="187"/>
      <c r="VJN166" s="187"/>
      <c r="VJO166" s="187"/>
      <c r="VJP166" s="187"/>
      <c r="VJQ166" s="187"/>
      <c r="VJR166" s="187"/>
      <c r="VJS166" s="187"/>
      <c r="VJT166" s="187"/>
      <c r="VJU166" s="187"/>
      <c r="VJV166" s="187"/>
      <c r="VJW166" s="187"/>
      <c r="VJX166" s="187"/>
      <c r="VJY166" s="187"/>
      <c r="VJZ166" s="187"/>
      <c r="VKA166" s="187"/>
      <c r="VKB166" s="187"/>
      <c r="VKC166" s="187"/>
      <c r="VKD166" s="187"/>
      <c r="VKE166" s="187"/>
      <c r="VKF166" s="187"/>
      <c r="VKG166" s="187"/>
      <c r="VKH166" s="187"/>
      <c r="VKI166" s="187"/>
      <c r="VKJ166" s="187"/>
      <c r="VKK166" s="187"/>
      <c r="VKL166" s="187"/>
      <c r="VKM166" s="187"/>
      <c r="VKN166" s="187"/>
      <c r="VKO166" s="187"/>
      <c r="VKP166" s="187"/>
      <c r="VKQ166" s="187"/>
      <c r="VKR166" s="187"/>
      <c r="VKS166" s="187"/>
      <c r="VKT166" s="187"/>
      <c r="VKU166" s="187"/>
      <c r="VKV166" s="187"/>
      <c r="VKW166" s="187"/>
      <c r="VKX166" s="187"/>
      <c r="VKY166" s="187"/>
      <c r="VKZ166" s="187"/>
      <c r="VLA166" s="187"/>
      <c r="VLB166" s="187"/>
      <c r="VLC166" s="187"/>
      <c r="VLD166" s="187"/>
      <c r="VLE166" s="187"/>
      <c r="VLF166" s="187"/>
      <c r="VLG166" s="187"/>
      <c r="VLH166" s="187"/>
      <c r="VLI166" s="187"/>
      <c r="VLJ166" s="187"/>
      <c r="VLK166" s="187"/>
      <c r="VLL166" s="187"/>
      <c r="VLM166" s="187"/>
      <c r="VLN166" s="187"/>
      <c r="VLO166" s="187"/>
      <c r="VLP166" s="187"/>
      <c r="VLQ166" s="187"/>
      <c r="VLR166" s="187"/>
      <c r="VLS166" s="187"/>
      <c r="VLT166" s="187"/>
      <c r="VLU166" s="187"/>
      <c r="VLV166" s="187"/>
      <c r="VLW166" s="187"/>
      <c r="VLX166" s="187"/>
      <c r="VLY166" s="187"/>
      <c r="VLZ166" s="187"/>
      <c r="VMA166" s="187"/>
      <c r="VMB166" s="187"/>
      <c r="VMC166" s="187"/>
      <c r="VMD166" s="187"/>
      <c r="VME166" s="187"/>
      <c r="VMF166" s="187"/>
      <c r="VMG166" s="187"/>
      <c r="VMH166" s="187"/>
      <c r="VMI166" s="187"/>
      <c r="VMJ166" s="187"/>
      <c r="VMK166" s="187"/>
      <c r="VML166" s="187"/>
      <c r="VMM166" s="187"/>
      <c r="VMN166" s="187"/>
      <c r="VMO166" s="187"/>
      <c r="VMP166" s="187"/>
      <c r="VMQ166" s="187"/>
      <c r="VMR166" s="187"/>
      <c r="VMS166" s="187"/>
      <c r="VMT166" s="187"/>
      <c r="VMU166" s="187"/>
      <c r="VMV166" s="187"/>
      <c r="VMW166" s="187"/>
      <c r="VMX166" s="187"/>
      <c r="VMY166" s="187"/>
      <c r="VMZ166" s="187"/>
      <c r="VNA166" s="187"/>
      <c r="VNB166" s="187"/>
      <c r="VNC166" s="187"/>
      <c r="VND166" s="187"/>
      <c r="VNE166" s="187"/>
      <c r="VNF166" s="187"/>
      <c r="VNG166" s="187"/>
      <c r="VNH166" s="187"/>
      <c r="VNI166" s="187"/>
      <c r="VNJ166" s="187"/>
      <c r="VNK166" s="187"/>
      <c r="VNL166" s="187"/>
      <c r="VNM166" s="187"/>
      <c r="VNN166" s="187"/>
      <c r="VNO166" s="187"/>
      <c r="VNP166" s="187"/>
      <c r="VNQ166" s="187"/>
      <c r="VNR166" s="187"/>
      <c r="VNS166" s="187"/>
      <c r="VNT166" s="187"/>
      <c r="VNU166" s="187"/>
      <c r="VNV166" s="187"/>
      <c r="VNW166" s="187"/>
      <c r="VNX166" s="187"/>
      <c r="VNY166" s="187"/>
      <c r="VNZ166" s="187"/>
      <c r="VOA166" s="187"/>
      <c r="VOB166" s="187"/>
      <c r="VOC166" s="187"/>
      <c r="VOD166" s="187"/>
      <c r="VOE166" s="187"/>
      <c r="VOF166" s="187"/>
      <c r="VOG166" s="187"/>
      <c r="VOH166" s="187"/>
      <c r="VOI166" s="187"/>
      <c r="VOJ166" s="187"/>
      <c r="VOK166" s="187"/>
      <c r="VOL166" s="187"/>
      <c r="VOM166" s="187"/>
      <c r="VON166" s="187"/>
      <c r="VOO166" s="187"/>
      <c r="VOP166" s="187"/>
      <c r="VOQ166" s="187"/>
      <c r="VOR166" s="187"/>
      <c r="VOS166" s="187"/>
      <c r="VOT166" s="187"/>
      <c r="VOU166" s="187"/>
      <c r="VOV166" s="187"/>
      <c r="VOW166" s="187"/>
      <c r="VOX166" s="187"/>
      <c r="VOY166" s="187"/>
      <c r="VOZ166" s="187"/>
      <c r="VPA166" s="187"/>
      <c r="VPB166" s="187"/>
      <c r="VPC166" s="187"/>
      <c r="VPD166" s="187"/>
      <c r="VPE166" s="187"/>
      <c r="VPF166" s="187"/>
      <c r="VPG166" s="187"/>
      <c r="VPH166" s="187"/>
      <c r="VPI166" s="187"/>
      <c r="VPJ166" s="187"/>
      <c r="VPK166" s="187"/>
      <c r="VPL166" s="187"/>
      <c r="VPM166" s="187"/>
      <c r="VPN166" s="187"/>
      <c r="VPO166" s="187"/>
      <c r="VPP166" s="187"/>
      <c r="VPQ166" s="187"/>
      <c r="VPR166" s="187"/>
      <c r="VPS166" s="187"/>
      <c r="VPT166" s="187"/>
      <c r="VPU166" s="187"/>
      <c r="VPV166" s="187"/>
      <c r="VPW166" s="187"/>
      <c r="VPX166" s="187"/>
      <c r="VPY166" s="187"/>
      <c r="VPZ166" s="187"/>
      <c r="VQA166" s="187"/>
      <c r="VQB166" s="187"/>
      <c r="VQC166" s="187"/>
      <c r="VQD166" s="187"/>
      <c r="VQE166" s="187"/>
      <c r="VQF166" s="187"/>
      <c r="VQG166" s="187"/>
      <c r="VQH166" s="187"/>
      <c r="VQI166" s="187"/>
      <c r="VQJ166" s="187"/>
      <c r="VQK166" s="187"/>
      <c r="VQL166" s="187"/>
      <c r="VQM166" s="187"/>
      <c r="VQN166" s="187"/>
      <c r="VQO166" s="187"/>
      <c r="VQP166" s="187"/>
      <c r="VQQ166" s="187"/>
      <c r="VQR166" s="187"/>
      <c r="VQS166" s="187"/>
      <c r="VQT166" s="187"/>
      <c r="VQU166" s="187"/>
      <c r="VQV166" s="187"/>
      <c r="VQW166" s="187"/>
      <c r="VQX166" s="187"/>
      <c r="VQY166" s="187"/>
      <c r="VQZ166" s="187"/>
      <c r="VRA166" s="187"/>
      <c r="VRB166" s="187"/>
      <c r="VRC166" s="187"/>
      <c r="VRD166" s="187"/>
      <c r="VRE166" s="187"/>
      <c r="VRF166" s="187"/>
      <c r="VRG166" s="187"/>
      <c r="VRH166" s="187"/>
      <c r="VRI166" s="187"/>
      <c r="VRJ166" s="187"/>
      <c r="VRK166" s="187"/>
      <c r="VRL166" s="187"/>
      <c r="VRM166" s="187"/>
      <c r="VRN166" s="187"/>
      <c r="VRO166" s="187"/>
      <c r="VRP166" s="187"/>
      <c r="VRQ166" s="187"/>
      <c r="VRR166" s="187"/>
      <c r="VRS166" s="187"/>
      <c r="VRT166" s="187"/>
      <c r="VRU166" s="187"/>
      <c r="VRV166" s="187"/>
      <c r="VRW166" s="187"/>
      <c r="VRX166" s="187"/>
      <c r="VRY166" s="187"/>
      <c r="VRZ166" s="187"/>
      <c r="VSA166" s="187"/>
      <c r="VSB166" s="187"/>
      <c r="VSC166" s="187"/>
      <c r="VSD166" s="187"/>
      <c r="VSE166" s="187"/>
      <c r="VSF166" s="187"/>
      <c r="VSG166" s="187"/>
      <c r="VSH166" s="187"/>
      <c r="VSI166" s="187"/>
      <c r="VSJ166" s="187"/>
      <c r="VSK166" s="187"/>
      <c r="VSL166" s="187"/>
      <c r="VSM166" s="187"/>
      <c r="VSN166" s="187"/>
      <c r="VSO166" s="187"/>
      <c r="VSP166" s="187"/>
      <c r="VSQ166" s="187"/>
      <c r="VSR166" s="187"/>
      <c r="VSS166" s="187"/>
      <c r="VST166" s="187"/>
      <c r="VSU166" s="187"/>
      <c r="VSV166" s="187"/>
      <c r="VSW166" s="187"/>
      <c r="VSX166" s="187"/>
      <c r="VSY166" s="187"/>
      <c r="VSZ166" s="187"/>
      <c r="VTA166" s="187"/>
      <c r="VTB166" s="187"/>
      <c r="VTC166" s="187"/>
      <c r="VTD166" s="187"/>
      <c r="VTE166" s="187"/>
      <c r="VTF166" s="187"/>
      <c r="VTG166" s="187"/>
      <c r="VTH166" s="187"/>
      <c r="VTI166" s="187"/>
      <c r="VTJ166" s="187"/>
      <c r="VTK166" s="187"/>
      <c r="VTL166" s="187"/>
      <c r="VTM166" s="187"/>
      <c r="VTN166" s="187"/>
      <c r="VTO166" s="187"/>
      <c r="VTP166" s="187"/>
      <c r="VTQ166" s="187"/>
      <c r="VTR166" s="187"/>
      <c r="VTS166" s="187"/>
      <c r="VTT166" s="187"/>
      <c r="VTU166" s="187"/>
      <c r="VTV166" s="187"/>
      <c r="VTW166" s="187"/>
      <c r="VTX166" s="187"/>
      <c r="VTY166" s="187"/>
      <c r="VTZ166" s="187"/>
      <c r="VUA166" s="187"/>
      <c r="VUB166" s="187"/>
      <c r="VUC166" s="187"/>
      <c r="VUD166" s="187"/>
      <c r="VUE166" s="187"/>
      <c r="VUF166" s="187"/>
      <c r="VUG166" s="187"/>
      <c r="VUH166" s="187"/>
      <c r="VUI166" s="187"/>
      <c r="VUJ166" s="187"/>
      <c r="VUK166" s="187"/>
      <c r="VUL166" s="187"/>
      <c r="VUM166" s="187"/>
      <c r="VUN166" s="187"/>
      <c r="VUO166" s="187"/>
      <c r="VUP166" s="187"/>
      <c r="VUQ166" s="187"/>
      <c r="VUR166" s="187"/>
      <c r="VUS166" s="187"/>
      <c r="VUT166" s="187"/>
      <c r="VUU166" s="187"/>
      <c r="VUV166" s="187"/>
      <c r="VUW166" s="187"/>
      <c r="VUX166" s="187"/>
      <c r="VUY166" s="187"/>
      <c r="VUZ166" s="187"/>
      <c r="VVA166" s="187"/>
      <c r="VVB166" s="187"/>
      <c r="VVC166" s="187"/>
      <c r="VVD166" s="187"/>
      <c r="VVE166" s="187"/>
      <c r="VVF166" s="187"/>
      <c r="VVG166" s="187"/>
      <c r="VVH166" s="187"/>
      <c r="VVI166" s="187"/>
      <c r="VVJ166" s="187"/>
      <c r="VVK166" s="187"/>
      <c r="VVL166" s="187"/>
      <c r="VVM166" s="187"/>
      <c r="VVN166" s="187"/>
      <c r="VVO166" s="187"/>
      <c r="VVP166" s="187"/>
      <c r="VVQ166" s="187"/>
      <c r="VVR166" s="187"/>
      <c r="VVS166" s="187"/>
      <c r="VVT166" s="187"/>
      <c r="VVU166" s="187"/>
      <c r="VVV166" s="187"/>
      <c r="VVW166" s="187"/>
      <c r="VVX166" s="187"/>
      <c r="VVY166" s="187"/>
      <c r="VVZ166" s="187"/>
      <c r="VWA166" s="187"/>
      <c r="VWB166" s="187"/>
      <c r="VWC166" s="187"/>
      <c r="VWD166" s="187"/>
      <c r="VWE166" s="187"/>
      <c r="VWF166" s="187"/>
      <c r="VWG166" s="187"/>
      <c r="VWH166" s="187"/>
      <c r="VWI166" s="187"/>
      <c r="VWJ166" s="187"/>
      <c r="VWK166" s="187"/>
      <c r="VWL166" s="187"/>
      <c r="VWM166" s="187"/>
      <c r="VWN166" s="187"/>
      <c r="VWO166" s="187"/>
      <c r="VWP166" s="187"/>
      <c r="VWQ166" s="187"/>
      <c r="VWR166" s="187"/>
      <c r="VWS166" s="187"/>
      <c r="VWT166" s="187"/>
      <c r="VWU166" s="187"/>
      <c r="VWV166" s="187"/>
      <c r="VWW166" s="187"/>
      <c r="VWX166" s="187"/>
      <c r="VWY166" s="187"/>
      <c r="VWZ166" s="187"/>
      <c r="VXA166" s="187"/>
      <c r="VXB166" s="187"/>
      <c r="VXC166" s="187"/>
      <c r="VXD166" s="187"/>
      <c r="VXE166" s="187"/>
      <c r="VXF166" s="187"/>
      <c r="VXG166" s="187"/>
      <c r="VXH166" s="187"/>
      <c r="VXI166" s="187"/>
      <c r="VXJ166" s="187"/>
      <c r="VXK166" s="187"/>
      <c r="VXL166" s="187"/>
      <c r="VXM166" s="187"/>
      <c r="VXN166" s="187"/>
      <c r="VXO166" s="187"/>
      <c r="VXP166" s="187"/>
      <c r="VXQ166" s="187"/>
      <c r="VXR166" s="187"/>
      <c r="VXS166" s="187"/>
      <c r="VXT166" s="187"/>
      <c r="VXU166" s="187"/>
      <c r="VXV166" s="187"/>
      <c r="VXW166" s="187"/>
      <c r="VXX166" s="187"/>
      <c r="VXY166" s="187"/>
      <c r="VXZ166" s="187"/>
      <c r="VYA166" s="187"/>
      <c r="VYB166" s="187"/>
      <c r="VYC166" s="187"/>
      <c r="VYD166" s="187"/>
      <c r="VYE166" s="187"/>
      <c r="VYF166" s="187"/>
      <c r="VYG166" s="187"/>
      <c r="VYH166" s="187"/>
      <c r="VYI166" s="187"/>
      <c r="VYJ166" s="187"/>
      <c r="VYK166" s="187"/>
      <c r="VYL166" s="187"/>
      <c r="VYM166" s="187"/>
      <c r="VYN166" s="187"/>
      <c r="VYO166" s="187"/>
      <c r="VYP166" s="187"/>
      <c r="VYQ166" s="187"/>
      <c r="VYR166" s="187"/>
      <c r="VYS166" s="187"/>
      <c r="VYT166" s="187"/>
      <c r="VYU166" s="187"/>
      <c r="VYV166" s="187"/>
      <c r="VYW166" s="187"/>
      <c r="VYX166" s="187"/>
      <c r="VYY166" s="187"/>
      <c r="VYZ166" s="187"/>
      <c r="VZA166" s="187"/>
      <c r="VZB166" s="187"/>
      <c r="VZC166" s="187"/>
      <c r="VZD166" s="187"/>
      <c r="VZE166" s="187"/>
      <c r="VZF166" s="187"/>
      <c r="VZG166" s="187"/>
      <c r="VZH166" s="187"/>
      <c r="VZI166" s="187"/>
      <c r="VZJ166" s="187"/>
      <c r="VZK166" s="187"/>
      <c r="VZL166" s="187"/>
      <c r="VZM166" s="187"/>
      <c r="VZN166" s="187"/>
      <c r="VZO166" s="187"/>
      <c r="VZP166" s="187"/>
      <c r="VZQ166" s="187"/>
      <c r="VZR166" s="187"/>
      <c r="VZS166" s="187"/>
      <c r="VZT166" s="187"/>
      <c r="VZU166" s="187"/>
      <c r="VZV166" s="187"/>
      <c r="VZW166" s="187"/>
      <c r="VZX166" s="187"/>
      <c r="VZY166" s="187"/>
      <c r="VZZ166" s="187"/>
      <c r="WAA166" s="187"/>
      <c r="WAB166" s="187"/>
      <c r="WAC166" s="187"/>
      <c r="WAD166" s="187"/>
      <c r="WAE166" s="187"/>
      <c r="WAF166" s="187"/>
      <c r="WAG166" s="187"/>
      <c r="WAH166" s="187"/>
      <c r="WAI166" s="187"/>
      <c r="WAJ166" s="187"/>
      <c r="WAK166" s="187"/>
      <c r="WAL166" s="187"/>
      <c r="WAM166" s="187"/>
      <c r="WAN166" s="187"/>
      <c r="WAO166" s="187"/>
      <c r="WAP166" s="187"/>
      <c r="WAQ166" s="187"/>
      <c r="WAR166" s="187"/>
      <c r="WAS166" s="187"/>
      <c r="WAT166" s="187"/>
      <c r="WAU166" s="187"/>
      <c r="WAV166" s="187"/>
      <c r="WAW166" s="187"/>
      <c r="WAX166" s="187"/>
      <c r="WAY166" s="187"/>
      <c r="WAZ166" s="187"/>
      <c r="WBA166" s="187"/>
      <c r="WBB166" s="187"/>
      <c r="WBC166" s="187"/>
      <c r="WBD166" s="187"/>
      <c r="WBE166" s="187"/>
      <c r="WBF166" s="187"/>
      <c r="WBG166" s="187"/>
      <c r="WBH166" s="187"/>
      <c r="WBI166" s="187"/>
      <c r="WBJ166" s="187"/>
      <c r="WBK166" s="187"/>
      <c r="WBL166" s="187"/>
      <c r="WBM166" s="187"/>
      <c r="WBN166" s="187"/>
      <c r="WBO166" s="187"/>
      <c r="WBP166" s="187"/>
      <c r="WBQ166" s="187"/>
      <c r="WBR166" s="187"/>
      <c r="WBS166" s="187"/>
      <c r="WBT166" s="187"/>
      <c r="WBU166" s="187"/>
      <c r="WBV166" s="187"/>
      <c r="WBW166" s="187"/>
      <c r="WBX166" s="187"/>
      <c r="WBY166" s="187"/>
      <c r="WBZ166" s="187"/>
      <c r="WCA166" s="187"/>
      <c r="WCB166" s="187"/>
      <c r="WCC166" s="187"/>
      <c r="WCD166" s="187"/>
      <c r="WCE166" s="187"/>
      <c r="WCF166" s="187"/>
      <c r="WCG166" s="187"/>
      <c r="WCH166" s="187"/>
      <c r="WCI166" s="187"/>
      <c r="WCJ166" s="187"/>
      <c r="WCK166" s="187"/>
      <c r="WCL166" s="187"/>
      <c r="WCM166" s="187"/>
      <c r="WCN166" s="187"/>
      <c r="WCO166" s="187"/>
      <c r="WCP166" s="187"/>
      <c r="WCQ166" s="187"/>
      <c r="WCR166" s="187"/>
      <c r="WCS166" s="187"/>
      <c r="WCT166" s="187"/>
      <c r="WCU166" s="187"/>
      <c r="WCV166" s="187"/>
      <c r="WCW166" s="187"/>
      <c r="WCX166" s="187"/>
      <c r="WCY166" s="187"/>
      <c r="WCZ166" s="187"/>
      <c r="WDA166" s="187"/>
      <c r="WDB166" s="187"/>
      <c r="WDC166" s="187"/>
      <c r="WDD166" s="187"/>
      <c r="WDE166" s="187"/>
      <c r="WDF166" s="187"/>
      <c r="WDG166" s="187"/>
      <c r="WDH166" s="187"/>
      <c r="WDI166" s="187"/>
      <c r="WDJ166" s="187"/>
      <c r="WDK166" s="187"/>
      <c r="WDL166" s="187"/>
      <c r="WDM166" s="187"/>
      <c r="WDN166" s="187"/>
      <c r="WDO166" s="187"/>
      <c r="WDP166" s="187"/>
      <c r="WDQ166" s="187"/>
      <c r="WDR166" s="187"/>
      <c r="WDS166" s="187"/>
      <c r="WDT166" s="187"/>
      <c r="WDU166" s="187"/>
      <c r="WDV166" s="187"/>
      <c r="WDW166" s="187"/>
      <c r="WDX166" s="187"/>
      <c r="WDY166" s="187"/>
      <c r="WDZ166" s="187"/>
      <c r="WEA166" s="187"/>
      <c r="WEB166" s="187"/>
      <c r="WEC166" s="187"/>
      <c r="WED166" s="187"/>
      <c r="WEE166" s="187"/>
      <c r="WEF166" s="187"/>
      <c r="WEG166" s="187"/>
      <c r="WEH166" s="187"/>
      <c r="WEI166" s="187"/>
      <c r="WEJ166" s="187"/>
      <c r="WEK166" s="187"/>
      <c r="WEL166" s="187"/>
      <c r="WEM166" s="187"/>
      <c r="WEN166" s="187"/>
      <c r="WEO166" s="187"/>
      <c r="WEP166" s="187"/>
      <c r="WEQ166" s="187"/>
      <c r="WER166" s="187"/>
      <c r="WES166" s="187"/>
      <c r="WET166" s="187"/>
      <c r="WEU166" s="187"/>
      <c r="WEV166" s="187"/>
      <c r="WEW166" s="187"/>
      <c r="WEX166" s="187"/>
      <c r="WEY166" s="187"/>
      <c r="WEZ166" s="187"/>
      <c r="WFA166" s="187"/>
      <c r="WFB166" s="187"/>
      <c r="WFC166" s="187"/>
      <c r="WFD166" s="187"/>
      <c r="WFE166" s="187"/>
      <c r="WFF166" s="187"/>
      <c r="WFG166" s="187"/>
      <c r="WFH166" s="187"/>
      <c r="WFI166" s="187"/>
      <c r="WFJ166" s="187"/>
      <c r="WFK166" s="187"/>
      <c r="WFL166" s="187"/>
      <c r="WFM166" s="187"/>
      <c r="WFN166" s="187"/>
      <c r="WFO166" s="187"/>
      <c r="WFP166" s="187"/>
      <c r="WFQ166" s="187"/>
      <c r="WFR166" s="187"/>
      <c r="WFS166" s="187"/>
      <c r="WFT166" s="187"/>
      <c r="WFU166" s="187"/>
      <c r="WFV166" s="187"/>
      <c r="WFW166" s="187"/>
      <c r="WFX166" s="187"/>
      <c r="WFY166" s="187"/>
      <c r="WFZ166" s="187"/>
      <c r="WGA166" s="187"/>
      <c r="WGB166" s="187"/>
      <c r="WGC166" s="187"/>
      <c r="WGD166" s="187"/>
      <c r="WGE166" s="187"/>
      <c r="WGF166" s="187"/>
      <c r="WGG166" s="187"/>
      <c r="WGH166" s="187"/>
      <c r="WGI166" s="187"/>
      <c r="WGJ166" s="187"/>
      <c r="WGK166" s="187"/>
      <c r="WGL166" s="187"/>
      <c r="WGM166" s="187"/>
      <c r="WGN166" s="187"/>
      <c r="WGO166" s="187"/>
      <c r="WGP166" s="187"/>
      <c r="WGQ166" s="187"/>
      <c r="WGR166" s="187"/>
      <c r="WGS166" s="187"/>
      <c r="WGT166" s="187"/>
      <c r="WGU166" s="187"/>
      <c r="WGV166" s="187"/>
      <c r="WGW166" s="187"/>
      <c r="WGX166" s="187"/>
      <c r="WGY166" s="187"/>
      <c r="WGZ166" s="187"/>
      <c r="WHA166" s="187"/>
      <c r="WHB166" s="187"/>
      <c r="WHC166" s="187"/>
      <c r="WHD166" s="187"/>
      <c r="WHE166" s="187"/>
      <c r="WHF166" s="187"/>
      <c r="WHG166" s="187"/>
      <c r="WHH166" s="187"/>
      <c r="WHI166" s="187"/>
      <c r="WHJ166" s="187"/>
      <c r="WHK166" s="187"/>
      <c r="WHL166" s="187"/>
      <c r="WHM166" s="187"/>
      <c r="WHN166" s="187"/>
      <c r="WHO166" s="187"/>
      <c r="WHP166" s="187"/>
      <c r="WHQ166" s="187"/>
      <c r="WHR166" s="187"/>
      <c r="WHS166" s="187"/>
      <c r="WHT166" s="187"/>
      <c r="WHU166" s="187"/>
      <c r="WHV166" s="187"/>
      <c r="WHW166" s="187"/>
      <c r="WHX166" s="187"/>
      <c r="WHY166" s="187"/>
      <c r="WHZ166" s="187"/>
      <c r="WIA166" s="187"/>
      <c r="WIB166" s="187"/>
      <c r="WIC166" s="187"/>
      <c r="WID166" s="187"/>
      <c r="WIE166" s="187"/>
      <c r="WIF166" s="187"/>
      <c r="WIG166" s="187"/>
      <c r="WIH166" s="187"/>
      <c r="WII166" s="187"/>
      <c r="WIJ166" s="187"/>
      <c r="WIK166" s="187"/>
      <c r="WIL166" s="187"/>
      <c r="WIM166" s="187"/>
      <c r="WIN166" s="187"/>
      <c r="WIO166" s="187"/>
      <c r="WIP166" s="187"/>
      <c r="WIQ166" s="187"/>
      <c r="WIR166" s="187"/>
      <c r="WIS166" s="187"/>
      <c r="WIT166" s="187"/>
      <c r="WIU166" s="187"/>
      <c r="WIV166" s="187"/>
      <c r="WIW166" s="187"/>
      <c r="WIX166" s="187"/>
      <c r="WIY166" s="187"/>
      <c r="WIZ166" s="187"/>
      <c r="WJA166" s="187"/>
      <c r="WJB166" s="187"/>
      <c r="WJC166" s="187"/>
      <c r="WJD166" s="187"/>
      <c r="WJE166" s="187"/>
      <c r="WJF166" s="187"/>
      <c r="WJG166" s="187"/>
      <c r="WJH166" s="187"/>
      <c r="WJI166" s="187"/>
      <c r="WJJ166" s="187"/>
      <c r="WJK166" s="187"/>
      <c r="WJL166" s="187"/>
      <c r="WJM166" s="187"/>
      <c r="WJN166" s="187"/>
      <c r="WJO166" s="187"/>
      <c r="WJP166" s="187"/>
      <c r="WJQ166" s="187"/>
      <c r="WJR166" s="187"/>
      <c r="WJS166" s="187"/>
      <c r="WJT166" s="187"/>
      <c r="WJU166" s="187"/>
      <c r="WJV166" s="187"/>
      <c r="WJW166" s="187"/>
      <c r="WJX166" s="187"/>
      <c r="WJY166" s="187"/>
      <c r="WJZ166" s="187"/>
      <c r="WKA166" s="187"/>
      <c r="WKB166" s="187"/>
      <c r="WKC166" s="187"/>
      <c r="WKD166" s="187"/>
      <c r="WKE166" s="187"/>
      <c r="WKF166" s="187"/>
      <c r="WKG166" s="187"/>
      <c r="WKH166" s="187"/>
      <c r="WKI166" s="187"/>
      <c r="WKJ166" s="187"/>
      <c r="WKK166" s="187"/>
      <c r="WKL166" s="187"/>
      <c r="WKM166" s="187"/>
      <c r="WKN166" s="187"/>
      <c r="WKO166" s="187"/>
      <c r="WKP166" s="187"/>
      <c r="WKQ166" s="187"/>
      <c r="WKR166" s="187"/>
      <c r="WKS166" s="187"/>
      <c r="WKT166" s="187"/>
      <c r="WKU166" s="187"/>
      <c r="WKV166" s="187"/>
      <c r="WKW166" s="187"/>
      <c r="WKX166" s="187"/>
      <c r="WKY166" s="187"/>
      <c r="WKZ166" s="187"/>
      <c r="WLA166" s="187"/>
      <c r="WLB166" s="187"/>
      <c r="WLC166" s="187"/>
      <c r="WLD166" s="187"/>
      <c r="WLE166" s="187"/>
      <c r="WLF166" s="187"/>
      <c r="WLG166" s="187"/>
      <c r="WLH166" s="187"/>
      <c r="WLI166" s="187"/>
      <c r="WLJ166" s="187"/>
      <c r="WLK166" s="187"/>
      <c r="WLL166" s="187"/>
      <c r="WLM166" s="187"/>
      <c r="WLN166" s="187"/>
      <c r="WLO166" s="187"/>
      <c r="WLP166" s="187"/>
      <c r="WLQ166" s="187"/>
      <c r="WLR166" s="187"/>
      <c r="WLS166" s="187"/>
      <c r="WLT166" s="187"/>
      <c r="WLU166" s="187"/>
      <c r="WLV166" s="187"/>
      <c r="WLW166" s="187"/>
      <c r="WLX166" s="187"/>
      <c r="WLY166" s="187"/>
      <c r="WLZ166" s="187"/>
      <c r="WMA166" s="187"/>
      <c r="WMB166" s="187"/>
      <c r="WMC166" s="187"/>
      <c r="WMD166" s="187"/>
      <c r="WME166" s="187"/>
      <c r="WMF166" s="187"/>
      <c r="WMG166" s="187"/>
      <c r="WMH166" s="187"/>
      <c r="WMI166" s="187"/>
      <c r="WMJ166" s="187"/>
      <c r="WMK166" s="187"/>
      <c r="WML166" s="187"/>
      <c r="WMM166" s="187"/>
      <c r="WMN166" s="187"/>
      <c r="WMO166" s="187"/>
      <c r="WMP166" s="187"/>
      <c r="WMQ166" s="187"/>
      <c r="WMR166" s="187"/>
      <c r="WMS166" s="187"/>
      <c r="WMT166" s="187"/>
      <c r="WMU166" s="187"/>
      <c r="WMV166" s="187"/>
      <c r="WMW166" s="187"/>
      <c r="WMX166" s="187"/>
      <c r="WMY166" s="187"/>
      <c r="WMZ166" s="187"/>
      <c r="WNA166" s="187"/>
      <c r="WNB166" s="187"/>
      <c r="WNC166" s="187"/>
      <c r="WND166" s="187"/>
      <c r="WNE166" s="187"/>
      <c r="WNF166" s="187"/>
      <c r="WNG166" s="187"/>
      <c r="WNH166" s="187"/>
      <c r="WNI166" s="187"/>
      <c r="WNJ166" s="187"/>
      <c r="WNK166" s="187"/>
      <c r="WNL166" s="187"/>
      <c r="WNM166" s="187"/>
      <c r="WNN166" s="187"/>
      <c r="WNO166" s="187"/>
      <c r="WNP166" s="187"/>
      <c r="WNQ166" s="187"/>
      <c r="WNR166" s="187"/>
      <c r="WNS166" s="187"/>
      <c r="WNT166" s="187"/>
      <c r="WNU166" s="187"/>
      <c r="WNV166" s="187"/>
      <c r="WNW166" s="187"/>
      <c r="WNX166" s="187"/>
      <c r="WNY166" s="187"/>
      <c r="WNZ166" s="187"/>
      <c r="WOA166" s="187"/>
      <c r="WOB166" s="187"/>
      <c r="WOC166" s="187"/>
      <c r="WOD166" s="187"/>
      <c r="WOE166" s="187"/>
      <c r="WOF166" s="187"/>
      <c r="WOG166" s="187"/>
      <c r="WOH166" s="187"/>
      <c r="WOI166" s="187"/>
      <c r="WOJ166" s="187"/>
      <c r="WOK166" s="187"/>
      <c r="WOL166" s="187"/>
      <c r="WOM166" s="187"/>
      <c r="WON166" s="187"/>
      <c r="WOO166" s="187"/>
      <c r="WOP166" s="187"/>
      <c r="WOQ166" s="187"/>
      <c r="WOR166" s="187"/>
      <c r="WOS166" s="187"/>
      <c r="WOT166" s="187"/>
      <c r="WOU166" s="187"/>
      <c r="WOV166" s="187"/>
      <c r="WOW166" s="187"/>
      <c r="WOX166" s="187"/>
      <c r="WOY166" s="187"/>
      <c r="WOZ166" s="187"/>
      <c r="WPA166" s="187"/>
      <c r="WPB166" s="187"/>
      <c r="WPC166" s="187"/>
      <c r="WPD166" s="187"/>
      <c r="WPE166" s="187"/>
      <c r="WPF166" s="187"/>
      <c r="WPG166" s="187"/>
      <c r="WPH166" s="187"/>
      <c r="WPI166" s="187"/>
      <c r="WPJ166" s="187"/>
      <c r="WPK166" s="187"/>
      <c r="WPL166" s="187"/>
      <c r="WPM166" s="187"/>
      <c r="WPN166" s="187"/>
      <c r="WPO166" s="187"/>
      <c r="WPP166" s="187"/>
      <c r="WPQ166" s="187"/>
      <c r="WPR166" s="187"/>
      <c r="WPS166" s="187"/>
      <c r="WPT166" s="187"/>
      <c r="WPU166" s="187"/>
      <c r="WPV166" s="187"/>
      <c r="WPW166" s="187"/>
      <c r="WPX166" s="187"/>
      <c r="WPY166" s="187"/>
      <c r="WPZ166" s="187"/>
      <c r="WQA166" s="187"/>
      <c r="WQB166" s="187"/>
      <c r="WQC166" s="187"/>
      <c r="WQD166" s="187"/>
      <c r="WQE166" s="187"/>
      <c r="WQF166" s="187"/>
      <c r="WQG166" s="187"/>
      <c r="WQH166" s="187"/>
      <c r="WQI166" s="187"/>
      <c r="WQJ166" s="187"/>
      <c r="WQK166" s="187"/>
      <c r="WQL166" s="187"/>
      <c r="WQM166" s="187"/>
      <c r="WQN166" s="187"/>
      <c r="WQO166" s="187"/>
      <c r="WQP166" s="187"/>
      <c r="WQQ166" s="187"/>
      <c r="WQR166" s="187"/>
      <c r="WQS166" s="187"/>
      <c r="WQT166" s="187"/>
      <c r="WQU166" s="187"/>
      <c r="WQV166" s="187"/>
      <c r="WQW166" s="187"/>
      <c r="WQX166" s="187"/>
      <c r="WQY166" s="187"/>
      <c r="WQZ166" s="187"/>
      <c r="WRA166" s="187"/>
      <c r="WRB166" s="187"/>
      <c r="WRC166" s="187"/>
      <c r="WRD166" s="187"/>
      <c r="WRE166" s="187"/>
      <c r="WRF166" s="187"/>
      <c r="WRG166" s="187"/>
      <c r="WRH166" s="187"/>
      <c r="WRI166" s="187"/>
      <c r="WRJ166" s="187"/>
      <c r="WRK166" s="187"/>
      <c r="WRL166" s="187"/>
      <c r="WRM166" s="187"/>
      <c r="WRN166" s="187"/>
      <c r="WRO166" s="187"/>
      <c r="WRP166" s="187"/>
      <c r="WRQ166" s="187"/>
      <c r="WRR166" s="187"/>
      <c r="WRS166" s="187"/>
      <c r="WRT166" s="187"/>
      <c r="WRU166" s="187"/>
      <c r="WRV166" s="187"/>
      <c r="WRW166" s="187"/>
      <c r="WRX166" s="187"/>
      <c r="WRY166" s="187"/>
      <c r="WRZ166" s="187"/>
      <c r="WSA166" s="187"/>
      <c r="WSB166" s="187"/>
      <c r="WSC166" s="187"/>
      <c r="WSD166" s="187"/>
      <c r="WSE166" s="187"/>
      <c r="WSF166" s="187"/>
      <c r="WSG166" s="187"/>
      <c r="WSH166" s="187"/>
      <c r="WSI166" s="187"/>
      <c r="WSJ166" s="187"/>
      <c r="WSK166" s="187"/>
      <c r="WSL166" s="187"/>
      <c r="WSM166" s="187"/>
      <c r="WSN166" s="187"/>
      <c r="WSO166" s="187"/>
      <c r="WSP166" s="187"/>
      <c r="WSQ166" s="187"/>
      <c r="WSR166" s="187"/>
      <c r="WSS166" s="187"/>
      <c r="WST166" s="187"/>
      <c r="WSU166" s="187"/>
      <c r="WSV166" s="187"/>
      <c r="WSW166" s="187"/>
      <c r="WSX166" s="187"/>
      <c r="WSY166" s="187"/>
      <c r="WSZ166" s="187"/>
      <c r="WTA166" s="187"/>
      <c r="WTB166" s="187"/>
      <c r="WTC166" s="187"/>
      <c r="WTD166" s="187"/>
      <c r="WTE166" s="187"/>
      <c r="WTF166" s="187"/>
      <c r="WTG166" s="187"/>
      <c r="WTH166" s="187"/>
      <c r="WTI166" s="187"/>
      <c r="WTJ166" s="187"/>
      <c r="WTK166" s="187"/>
      <c r="WTL166" s="187"/>
      <c r="WTM166" s="187"/>
      <c r="WTN166" s="187"/>
      <c r="WTO166" s="187"/>
      <c r="WTP166" s="187"/>
      <c r="WTQ166" s="187"/>
      <c r="WTR166" s="187"/>
      <c r="WTS166" s="187"/>
      <c r="WTT166" s="187"/>
      <c r="WTU166" s="187"/>
      <c r="WTV166" s="187"/>
      <c r="WTW166" s="187"/>
      <c r="WTX166" s="187"/>
      <c r="WTY166" s="187"/>
      <c r="WTZ166" s="187"/>
      <c r="WUA166" s="187"/>
      <c r="WUB166" s="187"/>
      <c r="WUC166" s="187"/>
      <c r="WUD166" s="187"/>
      <c r="WUE166" s="187"/>
      <c r="WUF166" s="187"/>
      <c r="WUG166" s="187"/>
      <c r="WUH166" s="187"/>
      <c r="WUI166" s="187"/>
      <c r="WUJ166" s="187"/>
      <c r="WUK166" s="187"/>
      <c r="WUL166" s="187"/>
      <c r="WUM166" s="187"/>
      <c r="WUN166" s="187"/>
      <c r="WUO166" s="187"/>
      <c r="WUP166" s="187"/>
      <c r="WUQ166" s="187"/>
      <c r="WUR166" s="187"/>
      <c r="WUS166" s="187"/>
      <c r="WUT166" s="187"/>
      <c r="WUU166" s="187"/>
      <c r="WUV166" s="187"/>
      <c r="WUW166" s="187"/>
      <c r="WUX166" s="187"/>
      <c r="WUY166" s="187"/>
      <c r="WUZ166" s="187"/>
      <c r="WVA166" s="187"/>
      <c r="WVB166" s="187"/>
      <c r="WVC166" s="187"/>
      <c r="WVD166" s="187"/>
      <c r="WVE166" s="187"/>
      <c r="WVF166" s="187"/>
      <c r="WVG166" s="187"/>
      <c r="WVH166" s="187"/>
      <c r="WVI166" s="187"/>
      <c r="WVJ166" s="187"/>
      <c r="WVK166" s="187"/>
      <c r="WVL166" s="187"/>
      <c r="WVM166" s="187"/>
      <c r="WVN166" s="187"/>
      <c r="WVO166" s="187"/>
      <c r="WVP166" s="187"/>
      <c r="WVQ166" s="187"/>
      <c r="WVR166" s="187"/>
      <c r="WVS166" s="187"/>
      <c r="WVT166" s="187"/>
      <c r="WVU166" s="187"/>
      <c r="WVV166" s="187"/>
      <c r="WVW166" s="187"/>
      <c r="WVX166" s="187"/>
      <c r="WVY166" s="187"/>
      <c r="WVZ166" s="187"/>
      <c r="WWA166" s="187"/>
      <c r="WWB166" s="187"/>
      <c r="WWC166" s="187"/>
      <c r="WWD166" s="187"/>
      <c r="WWE166" s="187"/>
      <c r="WWF166" s="187"/>
      <c r="WWG166" s="187"/>
      <c r="WWH166" s="187"/>
      <c r="WWI166" s="187"/>
      <c r="WWJ166" s="187"/>
      <c r="WWK166" s="187"/>
      <c r="WWL166" s="187"/>
      <c r="WWM166" s="187"/>
      <c r="WWN166" s="187"/>
      <c r="WWO166" s="187"/>
      <c r="WWP166" s="187"/>
      <c r="WWQ166" s="187"/>
      <c r="WWR166" s="187"/>
      <c r="WWS166" s="187"/>
      <c r="WWT166" s="187"/>
      <c r="WWU166" s="187"/>
      <c r="WWV166" s="187"/>
      <c r="WWW166" s="187"/>
      <c r="WWX166" s="187"/>
      <c r="WWY166" s="187"/>
      <c r="WWZ166" s="187"/>
      <c r="WXA166" s="187"/>
      <c r="WXB166" s="187"/>
      <c r="WXC166" s="187"/>
      <c r="WXD166" s="187"/>
      <c r="WXE166" s="187"/>
      <c r="WXF166" s="187"/>
      <c r="WXG166" s="187"/>
      <c r="WXH166" s="187"/>
      <c r="WXI166" s="187"/>
      <c r="WXJ166" s="187"/>
      <c r="WXK166" s="187"/>
      <c r="WXL166" s="187"/>
      <c r="WXM166" s="187"/>
      <c r="WXN166" s="187"/>
      <c r="WXO166" s="187"/>
      <c r="WXP166" s="187"/>
      <c r="WXQ166" s="187"/>
      <c r="WXR166" s="187"/>
      <c r="WXS166" s="187"/>
      <c r="WXT166" s="187"/>
      <c r="WXU166" s="187"/>
      <c r="WXV166" s="187"/>
      <c r="WXW166" s="187"/>
      <c r="WXX166" s="187"/>
      <c r="WXY166" s="187"/>
      <c r="WXZ166" s="187"/>
      <c r="WYA166" s="187"/>
      <c r="WYB166" s="187"/>
      <c r="WYC166" s="187"/>
      <c r="WYD166" s="187"/>
      <c r="WYE166" s="187"/>
      <c r="WYF166" s="187"/>
      <c r="WYG166" s="187"/>
      <c r="WYH166" s="187"/>
      <c r="WYI166" s="187"/>
      <c r="WYJ166" s="187"/>
      <c r="WYK166" s="187"/>
      <c r="WYL166" s="187"/>
      <c r="WYM166" s="187"/>
      <c r="WYN166" s="187"/>
      <c r="WYO166" s="187"/>
      <c r="WYP166" s="187"/>
      <c r="WYQ166" s="187"/>
      <c r="WYR166" s="187"/>
      <c r="WYS166" s="187"/>
      <c r="WYT166" s="187"/>
      <c r="WYU166" s="187"/>
      <c r="WYV166" s="187"/>
      <c r="WYW166" s="187"/>
      <c r="WYX166" s="187"/>
      <c r="WYY166" s="187"/>
      <c r="WYZ166" s="187"/>
      <c r="WZA166" s="187"/>
      <c r="WZB166" s="187"/>
      <c r="WZC166" s="187"/>
      <c r="WZD166" s="187"/>
      <c r="WZE166" s="187"/>
      <c r="WZF166" s="187"/>
      <c r="WZG166" s="187"/>
      <c r="WZH166" s="187"/>
      <c r="WZI166" s="187"/>
      <c r="WZJ166" s="187"/>
      <c r="WZK166" s="187"/>
      <c r="WZL166" s="187"/>
      <c r="WZM166" s="187"/>
      <c r="WZN166" s="187"/>
      <c r="WZO166" s="187"/>
      <c r="WZP166" s="187"/>
      <c r="WZQ166" s="187"/>
      <c r="WZR166" s="187"/>
      <c r="WZS166" s="187"/>
      <c r="WZT166" s="187"/>
      <c r="WZU166" s="187"/>
      <c r="WZV166" s="187"/>
      <c r="WZW166" s="187"/>
      <c r="WZX166" s="187"/>
      <c r="WZY166" s="187"/>
      <c r="WZZ166" s="187"/>
      <c r="XAA166" s="187"/>
      <c r="XAB166" s="187"/>
      <c r="XAC166" s="187"/>
      <c r="XAD166" s="187"/>
      <c r="XAE166" s="187"/>
      <c r="XAF166" s="187"/>
      <c r="XAG166" s="187"/>
      <c r="XAH166" s="187"/>
      <c r="XAI166" s="187"/>
      <c r="XAJ166" s="187"/>
      <c r="XAK166" s="187"/>
    </row>
    <row r="167" spans="1:16261" ht="12" customHeight="1">
      <c r="A167" s="139" t="s">
        <v>1732</v>
      </c>
      <c r="B167" s="139" t="s">
        <v>1847</v>
      </c>
      <c r="C167" s="142">
        <f>40+84-120+366-100-100-92-72+144+144-28-150</f>
        <v>116</v>
      </c>
      <c r="D167" s="143" t="s">
        <v>7124</v>
      </c>
      <c r="E167" s="141">
        <f>24.2*6+29.22*110</f>
        <v>3359.3999999999996</v>
      </c>
    </row>
    <row r="168" spans="1:16261" ht="12" customHeight="1">
      <c r="A168" s="139" t="s">
        <v>38</v>
      </c>
      <c r="B168" s="139">
        <v>6057</v>
      </c>
      <c r="C168" s="139">
        <v>4</v>
      </c>
      <c r="D168" s="140" t="s">
        <v>1288</v>
      </c>
      <c r="E168" s="141"/>
    </row>
    <row r="169" spans="1:16261" ht="12" customHeight="1">
      <c r="A169" s="139" t="s">
        <v>1733</v>
      </c>
      <c r="B169" s="139" t="s">
        <v>1413</v>
      </c>
      <c r="C169" s="139">
        <f>100-1-5-76+2-20+350-80-250-10-10</f>
        <v>0</v>
      </c>
      <c r="D169" s="140" t="s">
        <v>5403</v>
      </c>
      <c r="E169" s="141">
        <f>107.64*C169</f>
        <v>0</v>
      </c>
    </row>
    <row r="170" spans="1:16261" ht="12" customHeight="1">
      <c r="A170" s="139" t="s">
        <v>48</v>
      </c>
      <c r="B170" s="70" t="s">
        <v>1445</v>
      </c>
      <c r="C170" s="70">
        <f>20-2-1-2</f>
        <v>15</v>
      </c>
      <c r="D170" s="144">
        <v>181.36</v>
      </c>
      <c r="E170" s="141">
        <f>D170*C170</f>
        <v>2720.4</v>
      </c>
    </row>
    <row r="171" spans="1:16261" ht="12" customHeight="1">
      <c r="A171" s="70" t="s">
        <v>1368</v>
      </c>
      <c r="B171" s="70" t="s">
        <v>1367</v>
      </c>
      <c r="C171" s="70">
        <f>600-150-1-200-1-240</f>
        <v>8</v>
      </c>
      <c r="D171" s="144">
        <v>48.555</v>
      </c>
      <c r="E171" s="141">
        <f>D171*C171</f>
        <v>388.44</v>
      </c>
    </row>
    <row r="172" spans="1:16261" ht="12" customHeight="1">
      <c r="A172" s="137"/>
      <c r="B172" s="421" t="s">
        <v>1391</v>
      </c>
      <c r="C172" s="421"/>
      <c r="D172" s="421"/>
      <c r="E172" s="138">
        <f>SUM(E2:E171)</f>
        <v>126636.63820000002</v>
      </c>
    </row>
    <row r="176" spans="1:16261">
      <c r="D176" s="115" t="s">
        <v>5046</v>
      </c>
    </row>
  </sheetData>
  <autoFilter ref="A1:E172">
    <filterColumn colId="0"/>
    <filterColumn colId="1"/>
    <filterColumn colId="3"/>
    <filterColumn colId="4"/>
  </autoFilter>
  <mergeCells count="1">
    <mergeCell ref="B172:D172"/>
  </mergeCells>
  <phoneticPr fontId="60" type="noConversion"/>
  <pageMargins left="0.7" right="0.7" top="0.75" bottom="0.75" header="0.3" footer="0.3"/>
  <pageSetup paperSize="9" orientation="portrait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CZ40"/>
  <sheetViews>
    <sheetView workbookViewId="0">
      <pane ySplit="1" topLeftCell="A2" activePane="bottomLeft" state="frozen"/>
      <selection pane="bottomLeft" activeCell="J30" sqref="J30"/>
    </sheetView>
  </sheetViews>
  <sheetFormatPr defaultRowHeight="15" customHeight="1"/>
  <cols>
    <col min="1" max="1" width="34.25" style="202" customWidth="1"/>
    <col min="2" max="2" width="11.5" style="309" customWidth="1"/>
    <col min="3" max="3" width="33.875" style="202" customWidth="1"/>
    <col min="4" max="4" width="11.375" style="201" customWidth="1"/>
    <col min="5" max="5" width="12.375" customWidth="1"/>
    <col min="6" max="6" width="21.25" customWidth="1"/>
    <col min="7" max="7" width="13.375" customWidth="1"/>
  </cols>
  <sheetData>
    <row r="1" spans="1:16328" s="215" customFormat="1" ht="21.75" customHeight="1">
      <c r="A1" s="212" t="s">
        <v>1111</v>
      </c>
      <c r="B1" s="212" t="s">
        <v>5114</v>
      </c>
      <c r="C1" s="212" t="s">
        <v>5096</v>
      </c>
      <c r="D1" s="213" t="s">
        <v>1112</v>
      </c>
      <c r="E1" s="213" t="s">
        <v>6281</v>
      </c>
      <c r="F1" s="212" t="s">
        <v>1837</v>
      </c>
      <c r="G1" s="214" t="s">
        <v>1115</v>
      </c>
    </row>
    <row r="2" spans="1:16328" s="136" customFormat="1" ht="13.5">
      <c r="A2" s="207" t="s">
        <v>1617</v>
      </c>
      <c r="B2" s="320"/>
      <c r="C2" s="320"/>
      <c r="D2" s="208" t="s">
        <v>4675</v>
      </c>
      <c r="E2" s="209">
        <f>2-1</f>
        <v>1</v>
      </c>
      <c r="F2" s="209" t="s">
        <v>1300</v>
      </c>
      <c r="G2" s="320"/>
    </row>
    <row r="3" spans="1:16328" s="136" customFormat="1" ht="13.5">
      <c r="A3" s="5" t="s">
        <v>1663</v>
      </c>
      <c r="B3" s="320"/>
      <c r="C3" s="320"/>
      <c r="D3" s="210" t="s">
        <v>6036</v>
      </c>
      <c r="E3" s="209">
        <f>2</f>
        <v>2</v>
      </c>
      <c r="F3" s="300" t="s">
        <v>7039</v>
      </c>
      <c r="G3" s="209">
        <f>69.5*2+68.8*48</f>
        <v>3441.3999999999996</v>
      </c>
    </row>
    <row r="4" spans="1:16328" s="136" customFormat="1" ht="13.5">
      <c r="A4" s="207" t="s">
        <v>1725</v>
      </c>
      <c r="B4" s="320"/>
      <c r="C4" s="320"/>
      <c r="D4" s="208" t="s">
        <v>5356</v>
      </c>
      <c r="E4" s="209">
        <f>1-1</f>
        <v>0</v>
      </c>
      <c r="F4" s="209" t="s">
        <v>1300</v>
      </c>
      <c r="G4" s="320"/>
    </row>
    <row r="5" spans="1:16328" s="136" customFormat="1" ht="13.5">
      <c r="A5" s="207" t="s">
        <v>1618</v>
      </c>
      <c r="B5" s="320"/>
      <c r="C5" s="320"/>
      <c r="D5" s="208" t="s">
        <v>5357</v>
      </c>
      <c r="E5" s="209">
        <f>3-1</f>
        <v>2</v>
      </c>
      <c r="F5" s="209" t="s">
        <v>1300</v>
      </c>
      <c r="G5" s="320"/>
    </row>
    <row r="6" spans="1:16328" s="136" customFormat="1" ht="13.5">
      <c r="A6" s="207" t="s">
        <v>1726</v>
      </c>
      <c r="B6" s="320"/>
      <c r="C6" s="320"/>
      <c r="D6" s="208" t="s">
        <v>5357</v>
      </c>
      <c r="E6" s="209">
        <v>1</v>
      </c>
      <c r="F6" s="209" t="s">
        <v>1300</v>
      </c>
      <c r="G6" s="320"/>
    </row>
    <row r="7" spans="1:16328" s="136" customFormat="1" ht="13.5">
      <c r="A7" s="207" t="s">
        <v>5008</v>
      </c>
      <c r="B7" s="308" t="s">
        <v>5115</v>
      </c>
      <c r="C7" s="211" t="s">
        <v>5097</v>
      </c>
      <c r="D7" s="208" t="s">
        <v>855</v>
      </c>
      <c r="E7" s="209">
        <f>144+144-230-1-30+27-1+288-144-144+144+144-1-288+88+3168</f>
        <v>3308</v>
      </c>
      <c r="F7" s="300" t="s">
        <v>7040</v>
      </c>
      <c r="G7" s="209">
        <f>140*10+3168*9.84</f>
        <v>32573.119999999999</v>
      </c>
      <c r="H7" s="302"/>
      <c r="I7" s="302"/>
      <c r="J7" s="302"/>
      <c r="K7" s="302"/>
      <c r="L7" s="302"/>
      <c r="M7" s="302"/>
      <c r="N7" s="302"/>
      <c r="O7" s="302"/>
      <c r="P7" s="302"/>
      <c r="Q7" s="302"/>
      <c r="R7" s="302"/>
      <c r="S7" s="302"/>
      <c r="T7" s="302"/>
      <c r="U7" s="302"/>
      <c r="V7" s="302"/>
      <c r="W7" s="302"/>
      <c r="X7" s="302"/>
      <c r="Y7" s="302"/>
      <c r="Z7" s="302"/>
      <c r="AA7" s="302"/>
      <c r="AB7" s="302"/>
      <c r="AC7" s="302"/>
      <c r="AD7" s="302"/>
      <c r="AE7" s="302"/>
      <c r="AF7" s="302"/>
      <c r="AG7" s="302"/>
      <c r="AH7" s="302"/>
      <c r="AI7" s="302"/>
      <c r="AJ7" s="302"/>
      <c r="AK7" s="302"/>
      <c r="AL7" s="302"/>
      <c r="AM7" s="302"/>
      <c r="AN7" s="302"/>
      <c r="AO7" s="302"/>
      <c r="AP7" s="302"/>
      <c r="AQ7" s="302"/>
      <c r="AR7" s="302"/>
      <c r="AS7" s="302"/>
      <c r="AT7" s="302"/>
      <c r="AU7" s="302"/>
      <c r="AV7" s="302"/>
      <c r="AW7" s="302"/>
      <c r="AX7" s="302"/>
      <c r="AY7" s="302"/>
      <c r="AZ7" s="302"/>
      <c r="BA7" s="302"/>
      <c r="BB7" s="302"/>
      <c r="BC7" s="302"/>
      <c r="BD7" s="302"/>
      <c r="BE7" s="302"/>
      <c r="BF7" s="302"/>
      <c r="BG7" s="302"/>
      <c r="BH7" s="302"/>
      <c r="BI7" s="302"/>
      <c r="BJ7" s="302"/>
      <c r="BK7" s="302"/>
      <c r="BL7" s="302"/>
      <c r="BM7" s="302"/>
      <c r="BN7" s="302"/>
      <c r="BO7" s="302"/>
      <c r="BP7" s="302"/>
      <c r="BQ7" s="302"/>
      <c r="BR7" s="302"/>
      <c r="BS7" s="302"/>
      <c r="BT7" s="302"/>
      <c r="BU7" s="302"/>
      <c r="BV7" s="302"/>
      <c r="BW7" s="302"/>
      <c r="BX7" s="302"/>
      <c r="BY7" s="302"/>
      <c r="BZ7" s="302"/>
      <c r="CA7" s="302"/>
      <c r="CB7" s="302"/>
      <c r="CC7" s="302"/>
      <c r="CD7" s="302"/>
      <c r="CE7" s="302"/>
      <c r="CF7" s="302"/>
      <c r="CG7" s="302"/>
      <c r="CH7" s="302"/>
      <c r="CI7" s="302"/>
      <c r="CJ7" s="302"/>
      <c r="CK7" s="302"/>
      <c r="CL7" s="302"/>
      <c r="CM7" s="302"/>
      <c r="CN7" s="302"/>
      <c r="CO7" s="302"/>
      <c r="CP7" s="302"/>
      <c r="CQ7" s="302"/>
      <c r="CR7" s="302"/>
      <c r="CS7" s="302"/>
      <c r="CT7" s="302"/>
      <c r="CU7" s="302"/>
      <c r="CV7" s="302"/>
      <c r="CW7" s="302"/>
      <c r="CX7" s="302"/>
      <c r="CY7" s="302"/>
      <c r="CZ7" s="302"/>
      <c r="DA7" s="302"/>
      <c r="DB7" s="302"/>
      <c r="DC7" s="302"/>
      <c r="DD7" s="302"/>
      <c r="DE7" s="302"/>
      <c r="DF7" s="302"/>
      <c r="DG7" s="302"/>
      <c r="DH7" s="302"/>
      <c r="DI7" s="302"/>
      <c r="DJ7" s="302"/>
      <c r="DK7" s="302"/>
      <c r="DL7" s="302"/>
      <c r="DM7" s="302"/>
      <c r="DN7" s="302"/>
      <c r="DO7" s="302"/>
      <c r="DP7" s="302"/>
      <c r="DQ7" s="302"/>
      <c r="DR7" s="302"/>
      <c r="DS7" s="302"/>
      <c r="DT7" s="302"/>
      <c r="DU7" s="302"/>
      <c r="DV7" s="302"/>
      <c r="DW7" s="302"/>
      <c r="DX7" s="302"/>
      <c r="DY7" s="302"/>
      <c r="DZ7" s="302"/>
      <c r="EA7" s="302"/>
      <c r="EB7" s="302"/>
      <c r="EC7" s="302"/>
      <c r="ED7" s="302"/>
      <c r="EE7" s="302"/>
      <c r="EF7" s="302"/>
      <c r="EG7" s="302"/>
      <c r="EH7" s="302"/>
      <c r="EI7" s="302"/>
      <c r="EJ7" s="302"/>
      <c r="EK7" s="302"/>
      <c r="EL7" s="302"/>
      <c r="EM7" s="302"/>
      <c r="EN7" s="302"/>
      <c r="EO7" s="302"/>
      <c r="EP7" s="302"/>
      <c r="EQ7" s="302"/>
      <c r="ER7" s="302"/>
      <c r="ES7" s="302"/>
      <c r="ET7" s="302"/>
      <c r="EU7" s="302"/>
      <c r="EV7" s="302"/>
      <c r="EW7" s="302"/>
      <c r="EX7" s="302"/>
      <c r="EY7" s="302"/>
      <c r="EZ7" s="302"/>
      <c r="FA7" s="302"/>
      <c r="FB7" s="302"/>
      <c r="FC7" s="302"/>
      <c r="FD7" s="302"/>
      <c r="FE7" s="302"/>
      <c r="FF7" s="302"/>
      <c r="FG7" s="302"/>
      <c r="FH7" s="302"/>
      <c r="FI7" s="302"/>
      <c r="FJ7" s="302"/>
      <c r="FK7" s="302"/>
      <c r="FL7" s="302"/>
      <c r="FM7" s="302"/>
      <c r="FN7" s="302"/>
      <c r="FO7" s="302"/>
      <c r="FP7" s="302"/>
      <c r="FQ7" s="302"/>
      <c r="FR7" s="302"/>
      <c r="FS7" s="302"/>
      <c r="FT7" s="302"/>
      <c r="FU7" s="302"/>
      <c r="FV7" s="302"/>
      <c r="FW7" s="302"/>
      <c r="FX7" s="302"/>
      <c r="FY7" s="302"/>
      <c r="FZ7" s="302"/>
      <c r="GA7" s="302"/>
      <c r="GB7" s="302"/>
      <c r="GC7" s="302"/>
      <c r="GD7" s="302"/>
      <c r="GE7" s="302"/>
      <c r="GF7" s="302"/>
      <c r="GG7" s="302"/>
      <c r="GH7" s="302"/>
      <c r="GI7" s="302"/>
      <c r="GJ7" s="302"/>
      <c r="GK7" s="302"/>
      <c r="GL7" s="302"/>
      <c r="GM7" s="302"/>
      <c r="GN7" s="302"/>
      <c r="GO7" s="302"/>
      <c r="GP7" s="302"/>
      <c r="GQ7" s="302"/>
      <c r="GR7" s="302"/>
      <c r="GS7" s="302"/>
      <c r="GT7" s="302"/>
      <c r="GU7" s="302"/>
      <c r="GV7" s="302"/>
      <c r="GW7" s="302"/>
      <c r="GX7" s="302"/>
      <c r="GY7" s="302"/>
      <c r="GZ7" s="302"/>
      <c r="HA7" s="302"/>
      <c r="HB7" s="302"/>
      <c r="HC7" s="302"/>
      <c r="HD7" s="302"/>
      <c r="HE7" s="302"/>
      <c r="HF7" s="302"/>
      <c r="HG7" s="302"/>
      <c r="HH7" s="302"/>
      <c r="HI7" s="302"/>
      <c r="HJ7" s="302"/>
      <c r="HK7" s="302"/>
      <c r="HL7" s="302"/>
      <c r="HM7" s="302"/>
      <c r="HN7" s="302"/>
      <c r="HO7" s="302"/>
      <c r="HP7" s="302"/>
      <c r="HQ7" s="302"/>
      <c r="HR7" s="302"/>
      <c r="HS7" s="302"/>
      <c r="HT7" s="302"/>
      <c r="HU7" s="302"/>
      <c r="HV7" s="302"/>
      <c r="HW7" s="302"/>
      <c r="HX7" s="302"/>
      <c r="HY7" s="302"/>
      <c r="HZ7" s="302"/>
      <c r="IA7" s="302"/>
      <c r="IB7" s="302"/>
      <c r="IC7" s="302"/>
      <c r="ID7" s="302"/>
      <c r="IE7" s="302"/>
      <c r="IF7" s="302"/>
      <c r="IG7" s="302"/>
      <c r="IH7" s="302"/>
      <c r="II7" s="302"/>
      <c r="IJ7" s="302"/>
      <c r="IK7" s="302"/>
      <c r="IL7" s="302"/>
      <c r="IM7" s="302"/>
      <c r="IN7" s="302"/>
      <c r="IO7" s="302"/>
      <c r="IP7" s="302"/>
      <c r="IQ7" s="302"/>
      <c r="IR7" s="302"/>
      <c r="IS7" s="302"/>
      <c r="IT7" s="302"/>
      <c r="IU7" s="302"/>
      <c r="IV7" s="302"/>
      <c r="IW7" s="302"/>
      <c r="IX7" s="302"/>
      <c r="IY7" s="302"/>
      <c r="IZ7" s="302"/>
      <c r="JA7" s="302"/>
      <c r="JB7" s="302"/>
      <c r="JC7" s="302"/>
      <c r="JD7" s="302"/>
      <c r="JE7" s="302"/>
      <c r="JF7" s="302"/>
      <c r="JG7" s="302"/>
      <c r="JH7" s="302"/>
      <c r="JI7" s="302"/>
      <c r="JJ7" s="302"/>
      <c r="JK7" s="302"/>
      <c r="JL7" s="302"/>
      <c r="JM7" s="302"/>
      <c r="JN7" s="302"/>
      <c r="JO7" s="302"/>
      <c r="JP7" s="302"/>
      <c r="JQ7" s="302"/>
      <c r="JR7" s="302"/>
      <c r="JS7" s="302"/>
      <c r="JT7" s="302"/>
      <c r="JU7" s="302"/>
      <c r="JV7" s="302"/>
      <c r="JW7" s="302"/>
      <c r="JX7" s="302"/>
      <c r="JY7" s="302"/>
      <c r="JZ7" s="302"/>
      <c r="KA7" s="302"/>
      <c r="KB7" s="302"/>
      <c r="KC7" s="302"/>
      <c r="KD7" s="302"/>
      <c r="KE7" s="302"/>
      <c r="KF7" s="302"/>
      <c r="KG7" s="302"/>
      <c r="KH7" s="302"/>
      <c r="KI7" s="302"/>
      <c r="KJ7" s="302"/>
      <c r="KK7" s="302"/>
      <c r="KL7" s="302"/>
      <c r="KM7" s="302"/>
      <c r="KN7" s="302"/>
      <c r="KO7" s="302"/>
      <c r="KP7" s="302"/>
      <c r="KQ7" s="302"/>
      <c r="KR7" s="302"/>
      <c r="KS7" s="302"/>
      <c r="KT7" s="302"/>
      <c r="KU7" s="302"/>
      <c r="KV7" s="302"/>
      <c r="KW7" s="302"/>
      <c r="KX7" s="302"/>
      <c r="KY7" s="302"/>
      <c r="KZ7" s="302"/>
      <c r="LA7" s="302"/>
      <c r="LB7" s="302"/>
      <c r="LC7" s="302"/>
      <c r="LD7" s="302"/>
      <c r="LE7" s="302"/>
      <c r="LF7" s="302"/>
      <c r="LG7" s="302"/>
      <c r="LH7" s="302"/>
      <c r="LI7" s="302"/>
      <c r="LJ7" s="302"/>
      <c r="LK7" s="302"/>
      <c r="LL7" s="302"/>
      <c r="LM7" s="302"/>
      <c r="LN7" s="302"/>
      <c r="LO7" s="302"/>
      <c r="LP7" s="302"/>
      <c r="LQ7" s="302"/>
      <c r="LR7" s="302"/>
      <c r="LS7" s="302"/>
      <c r="LT7" s="302"/>
      <c r="LU7" s="302"/>
      <c r="LV7" s="302"/>
      <c r="LW7" s="302"/>
      <c r="LX7" s="302"/>
      <c r="LY7" s="302"/>
      <c r="LZ7" s="302"/>
      <c r="MA7" s="302"/>
      <c r="MB7" s="302"/>
      <c r="MC7" s="302"/>
      <c r="MD7" s="302"/>
      <c r="ME7" s="302"/>
      <c r="MF7" s="302"/>
      <c r="MG7" s="302"/>
      <c r="MH7" s="302"/>
      <c r="MI7" s="302"/>
      <c r="MJ7" s="302"/>
      <c r="MK7" s="302"/>
      <c r="ML7" s="302"/>
      <c r="MM7" s="302"/>
      <c r="MN7" s="302"/>
      <c r="MO7" s="302"/>
      <c r="MP7" s="302"/>
      <c r="MQ7" s="302"/>
      <c r="MR7" s="302"/>
      <c r="MS7" s="302"/>
      <c r="MT7" s="302"/>
      <c r="MU7" s="302"/>
      <c r="MV7" s="302"/>
      <c r="MW7" s="302"/>
      <c r="MX7" s="302"/>
      <c r="MY7" s="302"/>
      <c r="MZ7" s="302"/>
      <c r="NA7" s="302"/>
      <c r="NB7" s="302"/>
      <c r="NC7" s="302"/>
      <c r="ND7" s="302"/>
      <c r="NE7" s="302"/>
      <c r="NF7" s="302"/>
      <c r="NG7" s="302"/>
      <c r="NH7" s="302"/>
      <c r="NI7" s="302"/>
      <c r="NJ7" s="302"/>
      <c r="NK7" s="302"/>
      <c r="NL7" s="302"/>
      <c r="NM7" s="302"/>
      <c r="NN7" s="302"/>
      <c r="NO7" s="302"/>
      <c r="NP7" s="302"/>
      <c r="NQ7" s="302"/>
      <c r="NR7" s="302"/>
      <c r="NS7" s="302"/>
      <c r="NT7" s="302"/>
      <c r="NU7" s="302"/>
      <c r="NV7" s="302"/>
      <c r="NW7" s="302"/>
      <c r="NX7" s="302"/>
      <c r="NY7" s="302"/>
      <c r="NZ7" s="302"/>
      <c r="OA7" s="302"/>
      <c r="OB7" s="302"/>
      <c r="OC7" s="302"/>
      <c r="OD7" s="302"/>
      <c r="OE7" s="302"/>
      <c r="OF7" s="302"/>
      <c r="OG7" s="302"/>
      <c r="OH7" s="302"/>
      <c r="OI7" s="302"/>
      <c r="OJ7" s="302"/>
      <c r="OK7" s="302"/>
      <c r="OL7" s="302"/>
      <c r="OM7" s="302"/>
      <c r="ON7" s="302"/>
      <c r="OO7" s="302"/>
      <c r="OP7" s="302"/>
      <c r="OQ7" s="302"/>
      <c r="OR7" s="302"/>
      <c r="OS7" s="302"/>
      <c r="OT7" s="302"/>
      <c r="OU7" s="302"/>
      <c r="OV7" s="302"/>
      <c r="OW7" s="302"/>
      <c r="OX7" s="302"/>
      <c r="OY7" s="302"/>
      <c r="OZ7" s="302"/>
      <c r="PA7" s="302"/>
      <c r="PB7" s="302"/>
      <c r="PC7" s="302"/>
      <c r="PD7" s="302"/>
      <c r="PE7" s="302"/>
      <c r="PF7" s="302"/>
      <c r="PG7" s="302"/>
      <c r="PH7" s="302"/>
      <c r="PI7" s="302"/>
      <c r="PJ7" s="302"/>
      <c r="PK7" s="302"/>
      <c r="PL7" s="302"/>
      <c r="PM7" s="302"/>
      <c r="PN7" s="302"/>
      <c r="PO7" s="302"/>
      <c r="PP7" s="302"/>
      <c r="PQ7" s="302"/>
      <c r="PR7" s="302"/>
      <c r="PS7" s="302"/>
      <c r="PT7" s="302"/>
      <c r="PU7" s="302"/>
      <c r="PV7" s="302"/>
      <c r="PW7" s="302"/>
      <c r="PX7" s="302"/>
      <c r="PY7" s="302"/>
      <c r="PZ7" s="302"/>
      <c r="QA7" s="302"/>
      <c r="QB7" s="302"/>
      <c r="QC7" s="302"/>
      <c r="QD7" s="302"/>
      <c r="QE7" s="302"/>
      <c r="QF7" s="302"/>
      <c r="QG7" s="302"/>
      <c r="QH7" s="302"/>
      <c r="QI7" s="302"/>
      <c r="QJ7" s="302"/>
      <c r="QK7" s="302"/>
      <c r="QL7" s="302"/>
      <c r="QM7" s="302"/>
      <c r="QN7" s="302"/>
      <c r="QO7" s="302"/>
      <c r="QP7" s="302"/>
      <c r="QQ7" s="302"/>
      <c r="QR7" s="302"/>
      <c r="QS7" s="302"/>
      <c r="QT7" s="302"/>
      <c r="QU7" s="302"/>
      <c r="QV7" s="302"/>
      <c r="QW7" s="302"/>
      <c r="QX7" s="302"/>
      <c r="QY7" s="302"/>
      <c r="QZ7" s="302"/>
      <c r="RA7" s="302"/>
      <c r="RB7" s="302"/>
      <c r="RC7" s="302"/>
      <c r="RD7" s="302"/>
      <c r="RE7" s="302"/>
      <c r="RF7" s="302"/>
      <c r="RG7" s="302"/>
      <c r="RH7" s="302"/>
      <c r="RI7" s="302"/>
      <c r="RJ7" s="302"/>
      <c r="RK7" s="302"/>
      <c r="RL7" s="302"/>
      <c r="RM7" s="302"/>
      <c r="RN7" s="302"/>
      <c r="RO7" s="302"/>
      <c r="RP7" s="302"/>
      <c r="RQ7" s="302"/>
      <c r="RR7" s="302"/>
      <c r="RS7" s="302"/>
      <c r="RT7" s="302"/>
      <c r="RU7" s="302"/>
      <c r="RV7" s="302"/>
      <c r="RW7" s="302"/>
      <c r="RX7" s="302"/>
      <c r="RY7" s="302"/>
      <c r="RZ7" s="302"/>
      <c r="SA7" s="302"/>
      <c r="SB7" s="302"/>
      <c r="SC7" s="302"/>
      <c r="SD7" s="302"/>
      <c r="SE7" s="302"/>
      <c r="SF7" s="302"/>
      <c r="SG7" s="302"/>
      <c r="SH7" s="302"/>
      <c r="SI7" s="302"/>
      <c r="SJ7" s="302"/>
      <c r="SK7" s="302"/>
      <c r="SL7" s="302"/>
      <c r="SM7" s="302"/>
      <c r="SN7" s="302"/>
      <c r="SO7" s="302"/>
      <c r="SP7" s="302"/>
      <c r="SQ7" s="302"/>
      <c r="SR7" s="302"/>
      <c r="SS7" s="302"/>
      <c r="ST7" s="302"/>
      <c r="SU7" s="302"/>
      <c r="SV7" s="302"/>
      <c r="SW7" s="302"/>
      <c r="SX7" s="302"/>
      <c r="SY7" s="302"/>
      <c r="SZ7" s="302"/>
      <c r="TA7" s="302"/>
      <c r="TB7" s="302"/>
      <c r="TC7" s="302"/>
      <c r="TD7" s="302"/>
      <c r="TE7" s="302"/>
      <c r="TF7" s="302"/>
      <c r="TG7" s="302"/>
      <c r="TH7" s="302"/>
      <c r="TI7" s="302"/>
      <c r="TJ7" s="302"/>
      <c r="TK7" s="302"/>
      <c r="TL7" s="302"/>
      <c r="TM7" s="302"/>
      <c r="TN7" s="302"/>
      <c r="TO7" s="302"/>
      <c r="TP7" s="302"/>
      <c r="TQ7" s="302"/>
      <c r="TR7" s="302"/>
      <c r="TS7" s="302"/>
      <c r="TT7" s="302"/>
      <c r="TU7" s="302"/>
      <c r="TV7" s="302"/>
      <c r="TW7" s="302"/>
      <c r="TX7" s="302"/>
      <c r="TY7" s="302"/>
      <c r="TZ7" s="302"/>
      <c r="UA7" s="302"/>
      <c r="UB7" s="302"/>
      <c r="UC7" s="302"/>
      <c r="UD7" s="302"/>
      <c r="UE7" s="302"/>
      <c r="UF7" s="302"/>
      <c r="UG7" s="302"/>
      <c r="UH7" s="302"/>
      <c r="UI7" s="302"/>
      <c r="UJ7" s="302"/>
      <c r="UK7" s="302"/>
      <c r="UL7" s="302"/>
      <c r="UM7" s="302"/>
      <c r="UN7" s="302"/>
      <c r="UO7" s="302"/>
      <c r="UP7" s="302"/>
      <c r="UQ7" s="302"/>
      <c r="UR7" s="302"/>
      <c r="US7" s="302"/>
      <c r="UT7" s="302"/>
      <c r="UU7" s="302"/>
      <c r="UV7" s="302"/>
      <c r="UW7" s="302"/>
      <c r="UX7" s="302"/>
      <c r="UY7" s="302"/>
      <c r="UZ7" s="302"/>
      <c r="VA7" s="302"/>
      <c r="VB7" s="302"/>
      <c r="VC7" s="302"/>
      <c r="VD7" s="302"/>
      <c r="VE7" s="302"/>
      <c r="VF7" s="302"/>
      <c r="VG7" s="302"/>
      <c r="VH7" s="302"/>
      <c r="VI7" s="302"/>
      <c r="VJ7" s="302"/>
      <c r="VK7" s="302"/>
      <c r="VL7" s="302"/>
      <c r="VM7" s="302"/>
      <c r="VN7" s="302"/>
      <c r="VO7" s="302"/>
      <c r="VP7" s="302"/>
      <c r="VQ7" s="302"/>
      <c r="VR7" s="302"/>
      <c r="VS7" s="302"/>
      <c r="VT7" s="302"/>
      <c r="VU7" s="302"/>
      <c r="VV7" s="302"/>
      <c r="VW7" s="302"/>
      <c r="VX7" s="302"/>
      <c r="VY7" s="302"/>
      <c r="VZ7" s="302"/>
      <c r="WA7" s="302"/>
      <c r="WB7" s="302"/>
      <c r="WC7" s="302"/>
      <c r="WD7" s="302"/>
      <c r="WE7" s="302"/>
      <c r="WF7" s="302"/>
      <c r="WG7" s="302"/>
      <c r="WH7" s="302"/>
      <c r="WI7" s="302"/>
      <c r="WJ7" s="302"/>
      <c r="WK7" s="302"/>
      <c r="WL7" s="302"/>
      <c r="WM7" s="302"/>
      <c r="WN7" s="302"/>
      <c r="WO7" s="302"/>
      <c r="WP7" s="302"/>
      <c r="WQ7" s="302"/>
      <c r="WR7" s="302"/>
      <c r="WS7" s="302"/>
      <c r="WT7" s="302"/>
      <c r="WU7" s="302"/>
      <c r="WV7" s="302"/>
      <c r="WW7" s="302"/>
      <c r="WX7" s="302"/>
      <c r="WY7" s="302"/>
      <c r="WZ7" s="302"/>
      <c r="XA7" s="302"/>
      <c r="XB7" s="302"/>
      <c r="XC7" s="302"/>
      <c r="XD7" s="302"/>
      <c r="XE7" s="302"/>
      <c r="XF7" s="302"/>
      <c r="XG7" s="302"/>
      <c r="XH7" s="302"/>
      <c r="XI7" s="302"/>
      <c r="XJ7" s="302"/>
      <c r="XK7" s="302"/>
      <c r="XL7" s="302"/>
      <c r="XM7" s="302"/>
      <c r="XN7" s="302"/>
      <c r="XO7" s="302"/>
      <c r="XP7" s="302"/>
      <c r="XQ7" s="302"/>
      <c r="XR7" s="302"/>
      <c r="XS7" s="302"/>
      <c r="XT7" s="302"/>
      <c r="XU7" s="302"/>
      <c r="XV7" s="302"/>
      <c r="XW7" s="302"/>
      <c r="XX7" s="302"/>
      <c r="XY7" s="302"/>
      <c r="XZ7" s="302"/>
      <c r="YA7" s="302"/>
      <c r="YB7" s="302"/>
      <c r="YC7" s="302"/>
      <c r="YD7" s="302"/>
      <c r="YE7" s="302"/>
      <c r="YF7" s="302"/>
      <c r="YG7" s="302"/>
      <c r="YH7" s="302"/>
      <c r="YI7" s="302"/>
      <c r="YJ7" s="302"/>
      <c r="YK7" s="302"/>
      <c r="YL7" s="302"/>
      <c r="YM7" s="302"/>
      <c r="YN7" s="302"/>
      <c r="YO7" s="302"/>
      <c r="YP7" s="302"/>
      <c r="YQ7" s="302"/>
      <c r="YR7" s="302"/>
      <c r="YS7" s="302"/>
      <c r="YT7" s="302"/>
      <c r="YU7" s="302"/>
      <c r="YV7" s="302"/>
      <c r="YW7" s="302"/>
      <c r="YX7" s="302"/>
      <c r="YY7" s="302"/>
      <c r="YZ7" s="302"/>
      <c r="ZA7" s="302"/>
      <c r="ZB7" s="302"/>
      <c r="ZC7" s="302"/>
      <c r="ZD7" s="302"/>
      <c r="ZE7" s="302"/>
      <c r="ZF7" s="302"/>
      <c r="ZG7" s="302"/>
      <c r="ZH7" s="302"/>
      <c r="ZI7" s="302"/>
      <c r="ZJ7" s="302"/>
      <c r="ZK7" s="302"/>
      <c r="ZL7" s="302"/>
      <c r="ZM7" s="302"/>
      <c r="ZN7" s="302"/>
      <c r="ZO7" s="302"/>
      <c r="ZP7" s="302"/>
      <c r="ZQ7" s="302"/>
      <c r="ZR7" s="302"/>
      <c r="ZS7" s="302"/>
      <c r="ZT7" s="302"/>
      <c r="ZU7" s="302"/>
      <c r="ZV7" s="302"/>
      <c r="ZW7" s="302"/>
      <c r="ZX7" s="302"/>
      <c r="ZY7" s="302"/>
      <c r="ZZ7" s="302"/>
      <c r="AAA7" s="302"/>
      <c r="AAB7" s="302"/>
      <c r="AAC7" s="302"/>
      <c r="AAD7" s="302"/>
      <c r="AAE7" s="302"/>
      <c r="AAF7" s="302"/>
      <c r="AAG7" s="302"/>
      <c r="AAH7" s="302"/>
      <c r="AAI7" s="302"/>
      <c r="AAJ7" s="302"/>
      <c r="AAK7" s="302"/>
      <c r="AAL7" s="302"/>
      <c r="AAM7" s="302"/>
      <c r="AAN7" s="302"/>
      <c r="AAO7" s="302"/>
      <c r="AAP7" s="302"/>
      <c r="AAQ7" s="302"/>
      <c r="AAR7" s="302"/>
      <c r="AAS7" s="302"/>
      <c r="AAT7" s="302"/>
      <c r="AAU7" s="302"/>
      <c r="AAV7" s="302"/>
      <c r="AAW7" s="302"/>
      <c r="AAX7" s="302"/>
      <c r="AAY7" s="302"/>
      <c r="AAZ7" s="302"/>
      <c r="ABA7" s="302"/>
      <c r="ABB7" s="302"/>
      <c r="ABC7" s="302"/>
      <c r="ABD7" s="302"/>
      <c r="ABE7" s="302"/>
      <c r="ABF7" s="302"/>
      <c r="ABG7" s="302"/>
      <c r="ABH7" s="302"/>
      <c r="ABI7" s="302"/>
      <c r="ABJ7" s="302"/>
      <c r="ABK7" s="302"/>
      <c r="ABL7" s="302"/>
      <c r="ABM7" s="302"/>
      <c r="ABN7" s="302"/>
      <c r="ABO7" s="302"/>
      <c r="ABP7" s="302"/>
      <c r="ABQ7" s="302"/>
      <c r="ABR7" s="302"/>
      <c r="ABS7" s="302"/>
      <c r="ABT7" s="302"/>
      <c r="ABU7" s="302"/>
      <c r="ABV7" s="302"/>
      <c r="ABW7" s="302"/>
      <c r="ABX7" s="302"/>
      <c r="ABY7" s="302"/>
      <c r="ABZ7" s="302"/>
      <c r="ACA7" s="302"/>
      <c r="ACB7" s="302"/>
      <c r="ACC7" s="302"/>
      <c r="ACD7" s="302"/>
      <c r="ACE7" s="302"/>
      <c r="ACF7" s="302"/>
      <c r="ACG7" s="302"/>
      <c r="ACH7" s="302"/>
      <c r="ACI7" s="302"/>
      <c r="ACJ7" s="302"/>
      <c r="ACK7" s="302"/>
      <c r="ACL7" s="302"/>
      <c r="ACM7" s="302"/>
      <c r="ACN7" s="302"/>
      <c r="ACO7" s="302"/>
      <c r="ACP7" s="302"/>
      <c r="ACQ7" s="302"/>
      <c r="ACR7" s="302"/>
      <c r="ACS7" s="302"/>
      <c r="ACT7" s="302"/>
      <c r="ACU7" s="302"/>
      <c r="ACV7" s="302"/>
      <c r="ACW7" s="302"/>
      <c r="ACX7" s="302"/>
      <c r="ACY7" s="302"/>
      <c r="ACZ7" s="302"/>
      <c r="ADA7" s="302"/>
      <c r="ADB7" s="302"/>
      <c r="ADC7" s="302"/>
      <c r="ADD7" s="302"/>
      <c r="ADE7" s="302"/>
      <c r="ADF7" s="302"/>
      <c r="ADG7" s="302"/>
      <c r="ADH7" s="302"/>
      <c r="ADI7" s="302"/>
      <c r="ADJ7" s="302"/>
      <c r="ADK7" s="302"/>
      <c r="ADL7" s="302"/>
      <c r="ADM7" s="302"/>
      <c r="ADN7" s="302"/>
      <c r="ADO7" s="302"/>
      <c r="ADP7" s="302"/>
      <c r="ADQ7" s="302"/>
      <c r="ADR7" s="302"/>
      <c r="ADS7" s="302"/>
      <c r="ADT7" s="302"/>
      <c r="ADU7" s="302"/>
      <c r="ADV7" s="302"/>
      <c r="ADW7" s="302"/>
      <c r="ADX7" s="302"/>
      <c r="ADY7" s="302"/>
      <c r="ADZ7" s="302"/>
      <c r="AEA7" s="302"/>
      <c r="AEB7" s="302"/>
      <c r="AEC7" s="302"/>
      <c r="AED7" s="302"/>
      <c r="AEE7" s="302"/>
      <c r="AEF7" s="302"/>
      <c r="AEG7" s="302"/>
      <c r="AEH7" s="302"/>
      <c r="AEI7" s="302"/>
      <c r="AEJ7" s="302"/>
      <c r="AEK7" s="302"/>
      <c r="AEL7" s="302"/>
      <c r="AEM7" s="302"/>
      <c r="AEN7" s="302"/>
      <c r="AEO7" s="302"/>
      <c r="AEP7" s="302"/>
      <c r="AEQ7" s="302"/>
      <c r="AER7" s="302"/>
      <c r="AES7" s="302"/>
      <c r="AET7" s="302"/>
      <c r="AEU7" s="302"/>
      <c r="AEV7" s="302"/>
      <c r="AEW7" s="302"/>
      <c r="AEX7" s="302"/>
      <c r="AEY7" s="302"/>
      <c r="AEZ7" s="302"/>
      <c r="AFA7" s="302"/>
      <c r="AFB7" s="302"/>
      <c r="AFC7" s="302"/>
      <c r="AFD7" s="302"/>
      <c r="AFE7" s="302"/>
      <c r="AFF7" s="302"/>
      <c r="AFG7" s="302"/>
      <c r="AFH7" s="302"/>
      <c r="AFI7" s="302"/>
      <c r="AFJ7" s="302"/>
      <c r="AFK7" s="302"/>
      <c r="AFL7" s="302"/>
      <c r="AFM7" s="302"/>
      <c r="AFN7" s="302"/>
      <c r="AFO7" s="302"/>
      <c r="AFP7" s="302"/>
      <c r="AFQ7" s="302"/>
      <c r="AFR7" s="302"/>
      <c r="AFS7" s="302"/>
      <c r="AFT7" s="302"/>
      <c r="AFU7" s="302"/>
      <c r="AFV7" s="302"/>
      <c r="AFW7" s="302"/>
      <c r="AFX7" s="302"/>
      <c r="AFY7" s="302"/>
      <c r="AFZ7" s="302"/>
      <c r="AGA7" s="302"/>
      <c r="AGB7" s="302"/>
      <c r="AGC7" s="302"/>
      <c r="AGD7" s="302"/>
      <c r="AGE7" s="302"/>
      <c r="AGF7" s="302"/>
      <c r="AGG7" s="302"/>
      <c r="AGH7" s="302"/>
      <c r="AGI7" s="302"/>
      <c r="AGJ7" s="302"/>
      <c r="AGK7" s="302"/>
      <c r="AGL7" s="302"/>
      <c r="AGM7" s="302"/>
      <c r="AGN7" s="302"/>
      <c r="AGO7" s="302"/>
      <c r="AGP7" s="302"/>
      <c r="AGQ7" s="302"/>
      <c r="AGR7" s="302"/>
      <c r="AGS7" s="302"/>
      <c r="AGT7" s="302"/>
      <c r="AGU7" s="302"/>
      <c r="AGV7" s="302"/>
      <c r="AGW7" s="302"/>
      <c r="AGX7" s="302"/>
      <c r="AGY7" s="302"/>
      <c r="AGZ7" s="302"/>
      <c r="AHA7" s="302"/>
      <c r="AHB7" s="302"/>
      <c r="AHC7" s="302"/>
      <c r="AHD7" s="302"/>
      <c r="AHE7" s="302"/>
      <c r="AHF7" s="302"/>
      <c r="AHG7" s="302"/>
      <c r="AHH7" s="302"/>
      <c r="AHI7" s="302"/>
      <c r="AHJ7" s="302"/>
      <c r="AHK7" s="302"/>
      <c r="AHL7" s="302"/>
      <c r="AHM7" s="302"/>
      <c r="AHN7" s="302"/>
      <c r="AHO7" s="302"/>
      <c r="AHP7" s="302"/>
      <c r="AHQ7" s="302"/>
      <c r="AHR7" s="302"/>
      <c r="AHS7" s="302"/>
      <c r="AHT7" s="302"/>
      <c r="AHU7" s="302"/>
      <c r="AHV7" s="302"/>
      <c r="AHW7" s="302"/>
      <c r="AHX7" s="302"/>
      <c r="AHY7" s="302"/>
      <c r="AHZ7" s="302"/>
      <c r="AIA7" s="302"/>
      <c r="AIB7" s="302"/>
      <c r="AIC7" s="302"/>
      <c r="AID7" s="302"/>
      <c r="AIE7" s="302"/>
      <c r="AIF7" s="302"/>
      <c r="AIG7" s="302"/>
      <c r="AIH7" s="302"/>
      <c r="AII7" s="302"/>
      <c r="AIJ7" s="302"/>
      <c r="AIK7" s="302"/>
      <c r="AIL7" s="302"/>
      <c r="AIM7" s="302"/>
      <c r="AIN7" s="302"/>
      <c r="AIO7" s="302"/>
      <c r="AIP7" s="302"/>
      <c r="AIQ7" s="302"/>
      <c r="AIR7" s="302"/>
      <c r="AIS7" s="302"/>
      <c r="AIT7" s="302"/>
      <c r="AIU7" s="302"/>
      <c r="AIV7" s="302"/>
      <c r="AIW7" s="302"/>
      <c r="AIX7" s="302"/>
      <c r="AIY7" s="302"/>
      <c r="AIZ7" s="302"/>
      <c r="AJA7" s="302"/>
      <c r="AJB7" s="302"/>
      <c r="AJC7" s="302"/>
      <c r="AJD7" s="302"/>
      <c r="AJE7" s="302"/>
      <c r="AJF7" s="302"/>
      <c r="AJG7" s="302"/>
      <c r="AJH7" s="302"/>
      <c r="AJI7" s="302"/>
      <c r="AJJ7" s="302"/>
      <c r="AJK7" s="302"/>
      <c r="AJL7" s="302"/>
      <c r="AJM7" s="302"/>
      <c r="AJN7" s="302"/>
      <c r="AJO7" s="302"/>
      <c r="AJP7" s="302"/>
      <c r="AJQ7" s="302"/>
      <c r="AJR7" s="302"/>
      <c r="AJS7" s="302"/>
      <c r="AJT7" s="302"/>
      <c r="AJU7" s="302"/>
      <c r="AJV7" s="302"/>
      <c r="AJW7" s="302"/>
      <c r="AJX7" s="302"/>
      <c r="AJY7" s="302"/>
      <c r="AJZ7" s="302"/>
      <c r="AKA7" s="302"/>
      <c r="AKB7" s="302"/>
      <c r="AKC7" s="302"/>
      <c r="AKD7" s="302"/>
      <c r="AKE7" s="302"/>
      <c r="AKF7" s="302"/>
      <c r="AKG7" s="302"/>
      <c r="AKH7" s="302"/>
      <c r="AKI7" s="302"/>
      <c r="AKJ7" s="302"/>
      <c r="AKK7" s="302"/>
      <c r="AKL7" s="302"/>
      <c r="AKM7" s="302"/>
      <c r="AKN7" s="302"/>
      <c r="AKO7" s="302"/>
      <c r="AKP7" s="302"/>
      <c r="AKQ7" s="302"/>
      <c r="AKR7" s="302"/>
      <c r="AKS7" s="302"/>
      <c r="AKT7" s="302"/>
      <c r="AKU7" s="302"/>
      <c r="AKV7" s="302"/>
      <c r="AKW7" s="302"/>
      <c r="AKX7" s="302"/>
      <c r="AKY7" s="302"/>
      <c r="AKZ7" s="302"/>
      <c r="ALA7" s="302"/>
      <c r="ALB7" s="302"/>
      <c r="ALC7" s="302"/>
      <c r="ALD7" s="302"/>
      <c r="ALE7" s="302"/>
      <c r="ALF7" s="302"/>
      <c r="ALG7" s="302"/>
      <c r="ALH7" s="302"/>
      <c r="ALI7" s="302"/>
      <c r="ALJ7" s="302"/>
      <c r="ALK7" s="302"/>
      <c r="ALL7" s="302"/>
      <c r="ALM7" s="302"/>
      <c r="ALN7" s="302"/>
      <c r="ALO7" s="302"/>
      <c r="ALP7" s="302"/>
      <c r="ALQ7" s="302"/>
      <c r="ALR7" s="302"/>
      <c r="ALS7" s="302"/>
      <c r="ALT7" s="302"/>
      <c r="ALU7" s="302"/>
      <c r="ALV7" s="302"/>
      <c r="ALW7" s="302"/>
      <c r="ALX7" s="302"/>
      <c r="ALY7" s="302"/>
      <c r="ALZ7" s="302"/>
      <c r="AMA7" s="302"/>
      <c r="AMB7" s="302"/>
      <c r="AMC7" s="302"/>
      <c r="AMD7" s="302"/>
      <c r="AME7" s="302"/>
      <c r="AMF7" s="302"/>
      <c r="AMG7" s="302"/>
      <c r="AMH7" s="302"/>
      <c r="AMI7" s="302"/>
      <c r="AMJ7" s="302"/>
      <c r="AMK7" s="302"/>
      <c r="AML7" s="302"/>
      <c r="AMM7" s="302"/>
      <c r="AMN7" s="302"/>
      <c r="AMO7" s="302"/>
      <c r="AMP7" s="302"/>
      <c r="AMQ7" s="302"/>
      <c r="AMR7" s="302"/>
      <c r="AMS7" s="302"/>
      <c r="AMT7" s="302"/>
      <c r="AMU7" s="302"/>
      <c r="AMV7" s="302"/>
      <c r="AMW7" s="302"/>
      <c r="AMX7" s="302"/>
      <c r="AMY7" s="302"/>
      <c r="AMZ7" s="302"/>
      <c r="ANA7" s="302"/>
      <c r="ANB7" s="302"/>
      <c r="ANC7" s="302"/>
      <c r="AND7" s="302"/>
      <c r="ANE7" s="302"/>
      <c r="ANF7" s="302"/>
      <c r="ANG7" s="302"/>
      <c r="ANH7" s="302"/>
      <c r="ANI7" s="302"/>
      <c r="ANJ7" s="302"/>
      <c r="ANK7" s="302"/>
      <c r="ANL7" s="302"/>
      <c r="ANM7" s="302"/>
      <c r="ANN7" s="302"/>
      <c r="ANO7" s="302"/>
      <c r="ANP7" s="302"/>
      <c r="ANQ7" s="302"/>
      <c r="ANR7" s="302"/>
      <c r="ANS7" s="302"/>
      <c r="ANT7" s="302"/>
      <c r="ANU7" s="302"/>
      <c r="ANV7" s="302"/>
      <c r="ANW7" s="302"/>
      <c r="ANX7" s="302"/>
      <c r="ANY7" s="302"/>
      <c r="ANZ7" s="302"/>
      <c r="AOA7" s="302"/>
      <c r="AOB7" s="302"/>
      <c r="AOC7" s="302"/>
      <c r="AOD7" s="302"/>
      <c r="AOE7" s="302"/>
      <c r="AOF7" s="302"/>
      <c r="AOG7" s="302"/>
      <c r="AOH7" s="302"/>
      <c r="AOI7" s="302"/>
      <c r="AOJ7" s="302"/>
      <c r="AOK7" s="302"/>
      <c r="AOL7" s="302"/>
      <c r="AOM7" s="302"/>
      <c r="AON7" s="302"/>
      <c r="AOO7" s="302"/>
      <c r="AOP7" s="302"/>
      <c r="AOQ7" s="302"/>
      <c r="AOR7" s="302"/>
      <c r="AOS7" s="302"/>
      <c r="AOT7" s="302"/>
      <c r="AOU7" s="302"/>
      <c r="AOV7" s="302"/>
      <c r="AOW7" s="302"/>
      <c r="AOX7" s="302"/>
      <c r="AOY7" s="302"/>
      <c r="AOZ7" s="302"/>
      <c r="APA7" s="302"/>
      <c r="APB7" s="302"/>
      <c r="APC7" s="302"/>
      <c r="APD7" s="302"/>
      <c r="APE7" s="302"/>
      <c r="APF7" s="302"/>
      <c r="APG7" s="302"/>
      <c r="APH7" s="302"/>
      <c r="API7" s="302"/>
      <c r="APJ7" s="302"/>
      <c r="APK7" s="302"/>
      <c r="APL7" s="302"/>
      <c r="APM7" s="302"/>
      <c r="APN7" s="302"/>
      <c r="APO7" s="302"/>
      <c r="APP7" s="302"/>
      <c r="APQ7" s="302"/>
      <c r="APR7" s="302"/>
      <c r="APS7" s="302"/>
      <c r="APT7" s="302"/>
      <c r="APU7" s="302"/>
      <c r="APV7" s="302"/>
      <c r="APW7" s="302"/>
      <c r="APX7" s="302"/>
      <c r="APY7" s="302"/>
      <c r="APZ7" s="302"/>
      <c r="AQA7" s="302"/>
      <c r="AQB7" s="302"/>
      <c r="AQC7" s="302"/>
      <c r="AQD7" s="302"/>
      <c r="AQE7" s="302"/>
      <c r="AQF7" s="302"/>
      <c r="AQG7" s="302"/>
      <c r="AQH7" s="302"/>
      <c r="AQI7" s="302"/>
      <c r="AQJ7" s="302"/>
      <c r="AQK7" s="302"/>
      <c r="AQL7" s="302"/>
      <c r="AQM7" s="302"/>
      <c r="AQN7" s="302"/>
      <c r="AQO7" s="302"/>
      <c r="AQP7" s="302"/>
      <c r="AQQ7" s="302"/>
      <c r="AQR7" s="302"/>
      <c r="AQS7" s="302"/>
      <c r="AQT7" s="302"/>
      <c r="AQU7" s="302"/>
      <c r="AQV7" s="302"/>
      <c r="AQW7" s="302"/>
      <c r="AQX7" s="302"/>
      <c r="AQY7" s="302"/>
      <c r="AQZ7" s="302"/>
      <c r="ARA7" s="302"/>
      <c r="ARB7" s="302"/>
      <c r="ARC7" s="302"/>
      <c r="ARD7" s="302"/>
      <c r="ARE7" s="302"/>
      <c r="ARF7" s="302"/>
      <c r="ARG7" s="302"/>
      <c r="ARH7" s="302"/>
      <c r="ARI7" s="302"/>
      <c r="ARJ7" s="302"/>
      <c r="ARK7" s="302"/>
      <c r="ARL7" s="302"/>
      <c r="ARM7" s="302"/>
      <c r="ARN7" s="302"/>
      <c r="ARO7" s="302"/>
      <c r="ARP7" s="302"/>
      <c r="ARQ7" s="302"/>
      <c r="ARR7" s="302"/>
      <c r="ARS7" s="302"/>
      <c r="ART7" s="302"/>
      <c r="ARU7" s="302"/>
      <c r="ARV7" s="302"/>
      <c r="ARW7" s="302"/>
      <c r="ARX7" s="302"/>
      <c r="ARY7" s="302"/>
      <c r="ARZ7" s="302"/>
      <c r="ASA7" s="302"/>
      <c r="ASB7" s="302"/>
      <c r="ASC7" s="302"/>
      <c r="ASD7" s="302"/>
      <c r="ASE7" s="302"/>
      <c r="ASF7" s="302"/>
      <c r="ASG7" s="302"/>
      <c r="ASH7" s="302"/>
      <c r="ASI7" s="302"/>
      <c r="ASJ7" s="302"/>
      <c r="ASK7" s="302"/>
      <c r="ASL7" s="302"/>
      <c r="ASM7" s="302"/>
      <c r="ASN7" s="302"/>
      <c r="ASO7" s="302"/>
      <c r="ASP7" s="302"/>
      <c r="ASQ7" s="302"/>
      <c r="ASR7" s="302"/>
      <c r="ASS7" s="302"/>
      <c r="AST7" s="302"/>
      <c r="ASU7" s="302"/>
      <c r="ASV7" s="302"/>
      <c r="ASW7" s="302"/>
      <c r="ASX7" s="302"/>
      <c r="ASY7" s="302"/>
      <c r="ASZ7" s="302"/>
      <c r="ATA7" s="302"/>
      <c r="ATB7" s="302"/>
      <c r="ATC7" s="302"/>
      <c r="ATD7" s="302"/>
      <c r="ATE7" s="302"/>
      <c r="ATF7" s="302"/>
      <c r="ATG7" s="302"/>
      <c r="ATH7" s="302"/>
      <c r="ATI7" s="302"/>
      <c r="ATJ7" s="302"/>
      <c r="ATK7" s="302"/>
      <c r="ATL7" s="302"/>
      <c r="ATM7" s="302"/>
      <c r="ATN7" s="302"/>
      <c r="ATO7" s="302"/>
      <c r="ATP7" s="302"/>
      <c r="ATQ7" s="302"/>
      <c r="ATR7" s="302"/>
      <c r="ATS7" s="302"/>
      <c r="ATT7" s="302"/>
      <c r="ATU7" s="302"/>
      <c r="ATV7" s="302"/>
      <c r="ATW7" s="302"/>
      <c r="ATX7" s="302"/>
      <c r="ATY7" s="302"/>
      <c r="ATZ7" s="302"/>
      <c r="AUA7" s="302"/>
      <c r="AUB7" s="302"/>
      <c r="AUC7" s="302"/>
      <c r="AUD7" s="302"/>
      <c r="AUE7" s="302"/>
      <c r="AUF7" s="302"/>
      <c r="AUG7" s="302"/>
      <c r="AUH7" s="302"/>
      <c r="AUI7" s="302"/>
      <c r="AUJ7" s="302"/>
      <c r="AUK7" s="302"/>
      <c r="AUL7" s="302"/>
      <c r="AUM7" s="302"/>
      <c r="AUN7" s="302"/>
      <c r="AUO7" s="302"/>
      <c r="AUP7" s="302"/>
      <c r="AUQ7" s="302"/>
      <c r="AUR7" s="302"/>
      <c r="AUS7" s="302"/>
      <c r="AUT7" s="302"/>
      <c r="AUU7" s="302"/>
      <c r="AUV7" s="302"/>
      <c r="AUW7" s="302"/>
      <c r="AUX7" s="302"/>
      <c r="AUY7" s="302"/>
      <c r="AUZ7" s="302"/>
      <c r="AVA7" s="302"/>
      <c r="AVB7" s="302"/>
      <c r="AVC7" s="302"/>
      <c r="AVD7" s="302"/>
      <c r="AVE7" s="302"/>
      <c r="AVF7" s="302"/>
      <c r="AVG7" s="302"/>
      <c r="AVH7" s="302"/>
      <c r="AVI7" s="302"/>
      <c r="AVJ7" s="302"/>
      <c r="AVK7" s="302"/>
      <c r="AVL7" s="302"/>
      <c r="AVM7" s="302"/>
      <c r="AVN7" s="302"/>
      <c r="AVO7" s="302"/>
      <c r="AVP7" s="302"/>
      <c r="AVQ7" s="302"/>
      <c r="AVR7" s="302"/>
      <c r="AVS7" s="302"/>
      <c r="AVT7" s="302"/>
      <c r="AVU7" s="302"/>
      <c r="AVV7" s="302"/>
      <c r="AVW7" s="302"/>
      <c r="AVX7" s="302"/>
      <c r="AVY7" s="302"/>
      <c r="AVZ7" s="302"/>
      <c r="AWA7" s="302"/>
      <c r="AWB7" s="302"/>
      <c r="AWC7" s="302"/>
      <c r="AWD7" s="302"/>
      <c r="AWE7" s="302"/>
      <c r="AWF7" s="302"/>
      <c r="AWG7" s="302"/>
      <c r="AWH7" s="302"/>
      <c r="AWI7" s="302"/>
      <c r="AWJ7" s="302"/>
      <c r="AWK7" s="302"/>
      <c r="AWL7" s="302"/>
      <c r="AWM7" s="302"/>
      <c r="AWN7" s="302"/>
      <c r="AWO7" s="302"/>
      <c r="AWP7" s="302"/>
      <c r="AWQ7" s="302"/>
      <c r="AWR7" s="302"/>
      <c r="AWS7" s="302"/>
      <c r="AWT7" s="302"/>
      <c r="AWU7" s="302"/>
      <c r="AWV7" s="302"/>
      <c r="AWW7" s="302"/>
      <c r="AWX7" s="302"/>
      <c r="AWY7" s="302"/>
      <c r="AWZ7" s="302"/>
      <c r="AXA7" s="302"/>
      <c r="AXB7" s="302"/>
      <c r="AXC7" s="302"/>
      <c r="AXD7" s="302"/>
      <c r="AXE7" s="302"/>
      <c r="AXF7" s="302"/>
      <c r="AXG7" s="302"/>
      <c r="AXH7" s="302"/>
      <c r="AXI7" s="302"/>
      <c r="AXJ7" s="302"/>
      <c r="AXK7" s="302"/>
      <c r="AXL7" s="302"/>
      <c r="AXM7" s="302"/>
      <c r="AXN7" s="302"/>
      <c r="AXO7" s="302"/>
      <c r="AXP7" s="302"/>
      <c r="AXQ7" s="302"/>
      <c r="AXR7" s="302"/>
      <c r="AXS7" s="302"/>
      <c r="AXT7" s="302"/>
      <c r="AXU7" s="302"/>
      <c r="AXV7" s="302"/>
      <c r="AXW7" s="302"/>
      <c r="AXX7" s="302"/>
      <c r="AXY7" s="302"/>
      <c r="AXZ7" s="302"/>
      <c r="AYA7" s="302"/>
      <c r="AYB7" s="302"/>
      <c r="AYC7" s="302"/>
      <c r="AYD7" s="302"/>
      <c r="AYE7" s="302"/>
      <c r="AYF7" s="302"/>
      <c r="AYG7" s="302"/>
      <c r="AYH7" s="302"/>
      <c r="AYI7" s="302"/>
      <c r="AYJ7" s="302"/>
      <c r="AYK7" s="302"/>
      <c r="AYL7" s="302"/>
      <c r="AYM7" s="302"/>
      <c r="AYN7" s="302"/>
      <c r="AYO7" s="302"/>
      <c r="AYP7" s="302"/>
      <c r="AYQ7" s="302"/>
      <c r="AYR7" s="302"/>
      <c r="AYS7" s="302"/>
      <c r="AYT7" s="302"/>
      <c r="AYU7" s="302"/>
      <c r="AYV7" s="302"/>
      <c r="AYW7" s="302"/>
      <c r="AYX7" s="302"/>
      <c r="AYY7" s="302"/>
      <c r="AYZ7" s="302"/>
      <c r="AZA7" s="302"/>
      <c r="AZB7" s="302"/>
      <c r="AZC7" s="302"/>
      <c r="AZD7" s="302"/>
      <c r="AZE7" s="302"/>
      <c r="AZF7" s="302"/>
      <c r="AZG7" s="302"/>
      <c r="AZH7" s="302"/>
      <c r="AZI7" s="302"/>
      <c r="AZJ7" s="302"/>
      <c r="AZK7" s="302"/>
      <c r="AZL7" s="302"/>
      <c r="AZM7" s="302"/>
      <c r="AZN7" s="302"/>
      <c r="AZO7" s="302"/>
      <c r="AZP7" s="302"/>
      <c r="AZQ7" s="302"/>
      <c r="AZR7" s="302"/>
      <c r="AZS7" s="302"/>
      <c r="AZT7" s="302"/>
      <c r="AZU7" s="302"/>
      <c r="AZV7" s="302"/>
      <c r="AZW7" s="302"/>
      <c r="AZX7" s="302"/>
      <c r="AZY7" s="302"/>
      <c r="AZZ7" s="302"/>
      <c r="BAA7" s="302"/>
      <c r="BAB7" s="302"/>
      <c r="BAC7" s="302"/>
      <c r="BAD7" s="302"/>
      <c r="BAE7" s="302"/>
      <c r="BAF7" s="302"/>
      <c r="BAG7" s="302"/>
      <c r="BAH7" s="302"/>
      <c r="BAI7" s="302"/>
      <c r="BAJ7" s="302"/>
      <c r="BAK7" s="302"/>
      <c r="BAL7" s="302"/>
      <c r="BAM7" s="302"/>
      <c r="BAN7" s="302"/>
      <c r="BAO7" s="302"/>
      <c r="BAP7" s="302"/>
      <c r="BAQ7" s="302"/>
      <c r="BAR7" s="302"/>
      <c r="BAS7" s="302"/>
      <c r="BAT7" s="302"/>
      <c r="BAU7" s="302"/>
      <c r="BAV7" s="302"/>
      <c r="BAW7" s="302"/>
      <c r="BAX7" s="302"/>
      <c r="BAY7" s="302"/>
      <c r="BAZ7" s="302"/>
      <c r="BBA7" s="302"/>
      <c r="BBB7" s="302"/>
      <c r="BBC7" s="302"/>
      <c r="BBD7" s="302"/>
      <c r="BBE7" s="302"/>
      <c r="BBF7" s="302"/>
      <c r="BBG7" s="302"/>
      <c r="BBH7" s="302"/>
      <c r="BBI7" s="302"/>
      <c r="BBJ7" s="302"/>
      <c r="BBK7" s="302"/>
      <c r="BBL7" s="302"/>
      <c r="BBM7" s="302"/>
      <c r="BBN7" s="302"/>
      <c r="BBO7" s="302"/>
      <c r="BBP7" s="302"/>
      <c r="BBQ7" s="302"/>
      <c r="BBR7" s="302"/>
      <c r="BBS7" s="302"/>
      <c r="BBT7" s="302"/>
      <c r="BBU7" s="302"/>
      <c r="BBV7" s="302"/>
      <c r="BBW7" s="302"/>
      <c r="BBX7" s="302"/>
      <c r="BBY7" s="302"/>
      <c r="BBZ7" s="302"/>
      <c r="BCA7" s="302"/>
      <c r="BCB7" s="302"/>
      <c r="BCC7" s="302"/>
      <c r="BCD7" s="302"/>
      <c r="BCE7" s="302"/>
      <c r="BCF7" s="302"/>
      <c r="BCG7" s="302"/>
      <c r="BCH7" s="302"/>
      <c r="BCI7" s="302"/>
      <c r="BCJ7" s="302"/>
      <c r="BCK7" s="302"/>
      <c r="BCL7" s="302"/>
      <c r="BCM7" s="302"/>
      <c r="BCN7" s="302"/>
      <c r="BCO7" s="302"/>
      <c r="BCP7" s="302"/>
      <c r="BCQ7" s="302"/>
      <c r="BCR7" s="302"/>
      <c r="BCS7" s="302"/>
      <c r="BCT7" s="302"/>
      <c r="BCU7" s="302"/>
      <c r="BCV7" s="302"/>
      <c r="BCW7" s="302"/>
      <c r="BCX7" s="302"/>
      <c r="BCY7" s="302"/>
      <c r="BCZ7" s="302"/>
      <c r="BDA7" s="302"/>
      <c r="BDB7" s="302"/>
      <c r="BDC7" s="302"/>
      <c r="BDD7" s="302"/>
      <c r="BDE7" s="302"/>
      <c r="BDF7" s="302"/>
      <c r="BDG7" s="302"/>
      <c r="BDH7" s="302"/>
      <c r="BDI7" s="302"/>
      <c r="BDJ7" s="302"/>
      <c r="BDK7" s="302"/>
      <c r="BDL7" s="302"/>
      <c r="BDM7" s="302"/>
      <c r="BDN7" s="302"/>
      <c r="BDO7" s="302"/>
      <c r="BDP7" s="302"/>
      <c r="BDQ7" s="302"/>
      <c r="BDR7" s="302"/>
      <c r="BDS7" s="302"/>
      <c r="BDT7" s="302"/>
      <c r="BDU7" s="302"/>
      <c r="BDV7" s="302"/>
      <c r="BDW7" s="302"/>
      <c r="BDX7" s="302"/>
      <c r="BDY7" s="302"/>
      <c r="BDZ7" s="302"/>
      <c r="BEA7" s="302"/>
      <c r="BEB7" s="302"/>
      <c r="BEC7" s="302"/>
      <c r="BED7" s="302"/>
      <c r="BEE7" s="302"/>
      <c r="BEF7" s="302"/>
      <c r="BEG7" s="302"/>
      <c r="BEH7" s="302"/>
      <c r="BEI7" s="302"/>
      <c r="BEJ7" s="302"/>
      <c r="BEK7" s="302"/>
      <c r="BEL7" s="302"/>
      <c r="BEM7" s="302"/>
      <c r="BEN7" s="302"/>
      <c r="BEO7" s="302"/>
      <c r="BEP7" s="302"/>
      <c r="BEQ7" s="302"/>
      <c r="BER7" s="302"/>
      <c r="BES7" s="302"/>
      <c r="BET7" s="302"/>
      <c r="BEU7" s="302"/>
      <c r="BEV7" s="302"/>
      <c r="BEW7" s="302"/>
      <c r="BEX7" s="302"/>
      <c r="BEY7" s="302"/>
      <c r="BEZ7" s="302"/>
      <c r="BFA7" s="302"/>
      <c r="BFB7" s="302"/>
      <c r="BFC7" s="302"/>
      <c r="BFD7" s="302"/>
      <c r="BFE7" s="302"/>
      <c r="BFF7" s="302"/>
      <c r="BFG7" s="302"/>
      <c r="BFH7" s="302"/>
      <c r="BFI7" s="302"/>
      <c r="BFJ7" s="302"/>
      <c r="BFK7" s="302"/>
      <c r="BFL7" s="302"/>
      <c r="BFM7" s="302"/>
      <c r="BFN7" s="302"/>
      <c r="BFO7" s="302"/>
      <c r="BFP7" s="302"/>
      <c r="BFQ7" s="302"/>
      <c r="BFR7" s="302"/>
      <c r="BFS7" s="302"/>
      <c r="BFT7" s="302"/>
      <c r="BFU7" s="302"/>
      <c r="BFV7" s="302"/>
      <c r="BFW7" s="302"/>
      <c r="BFX7" s="302"/>
      <c r="BFY7" s="302"/>
      <c r="BFZ7" s="302"/>
      <c r="BGA7" s="302"/>
      <c r="BGB7" s="302"/>
      <c r="BGC7" s="302"/>
      <c r="BGD7" s="302"/>
      <c r="BGE7" s="302"/>
      <c r="BGF7" s="302"/>
      <c r="BGG7" s="302"/>
      <c r="BGH7" s="302"/>
      <c r="BGI7" s="302"/>
      <c r="BGJ7" s="302"/>
      <c r="BGK7" s="302"/>
      <c r="BGL7" s="302"/>
      <c r="BGM7" s="302"/>
      <c r="BGN7" s="302"/>
      <c r="BGO7" s="302"/>
      <c r="BGP7" s="302"/>
      <c r="BGQ7" s="302"/>
      <c r="BGR7" s="302"/>
      <c r="BGS7" s="302"/>
      <c r="BGT7" s="302"/>
      <c r="BGU7" s="302"/>
      <c r="BGV7" s="302"/>
      <c r="BGW7" s="302"/>
      <c r="BGX7" s="302"/>
      <c r="BGY7" s="302"/>
      <c r="BGZ7" s="302"/>
      <c r="BHA7" s="302"/>
      <c r="BHB7" s="302"/>
      <c r="BHC7" s="302"/>
      <c r="BHD7" s="302"/>
      <c r="BHE7" s="302"/>
      <c r="BHF7" s="302"/>
      <c r="BHG7" s="302"/>
      <c r="BHH7" s="302"/>
      <c r="BHI7" s="302"/>
      <c r="BHJ7" s="302"/>
      <c r="BHK7" s="302"/>
      <c r="BHL7" s="302"/>
      <c r="BHM7" s="302"/>
      <c r="BHN7" s="302"/>
      <c r="BHO7" s="302"/>
      <c r="BHP7" s="302"/>
      <c r="BHQ7" s="302"/>
      <c r="BHR7" s="302"/>
      <c r="BHS7" s="302"/>
      <c r="BHT7" s="302"/>
      <c r="BHU7" s="302"/>
      <c r="BHV7" s="302"/>
      <c r="BHW7" s="302"/>
      <c r="BHX7" s="302"/>
      <c r="BHY7" s="302"/>
      <c r="BHZ7" s="302"/>
      <c r="BIA7" s="302"/>
      <c r="BIB7" s="302"/>
      <c r="BIC7" s="302"/>
      <c r="BID7" s="302"/>
      <c r="BIE7" s="302"/>
      <c r="BIF7" s="302"/>
      <c r="BIG7" s="302"/>
      <c r="BIH7" s="302"/>
      <c r="BII7" s="302"/>
      <c r="BIJ7" s="302"/>
      <c r="BIK7" s="302"/>
      <c r="BIL7" s="302"/>
      <c r="BIM7" s="302"/>
      <c r="BIN7" s="302"/>
      <c r="BIO7" s="302"/>
      <c r="BIP7" s="302"/>
      <c r="BIQ7" s="302"/>
      <c r="BIR7" s="302"/>
      <c r="BIS7" s="302"/>
      <c r="BIT7" s="302"/>
      <c r="BIU7" s="302"/>
      <c r="BIV7" s="302"/>
      <c r="BIW7" s="302"/>
      <c r="BIX7" s="302"/>
      <c r="BIY7" s="302"/>
      <c r="BIZ7" s="302"/>
      <c r="BJA7" s="302"/>
      <c r="BJB7" s="302"/>
      <c r="BJC7" s="302"/>
      <c r="BJD7" s="302"/>
      <c r="BJE7" s="302"/>
      <c r="BJF7" s="302"/>
      <c r="BJG7" s="302"/>
      <c r="BJH7" s="302"/>
      <c r="BJI7" s="302"/>
      <c r="BJJ7" s="302"/>
      <c r="BJK7" s="302"/>
      <c r="BJL7" s="302"/>
      <c r="BJM7" s="302"/>
      <c r="BJN7" s="302"/>
      <c r="BJO7" s="302"/>
      <c r="BJP7" s="302"/>
      <c r="BJQ7" s="302"/>
      <c r="BJR7" s="302"/>
      <c r="BJS7" s="302"/>
      <c r="BJT7" s="302"/>
      <c r="BJU7" s="302"/>
      <c r="BJV7" s="302"/>
      <c r="BJW7" s="302"/>
      <c r="BJX7" s="302"/>
      <c r="BJY7" s="302"/>
      <c r="BJZ7" s="302"/>
      <c r="BKA7" s="302"/>
      <c r="BKB7" s="302"/>
      <c r="BKC7" s="302"/>
      <c r="BKD7" s="302"/>
      <c r="BKE7" s="302"/>
      <c r="BKF7" s="302"/>
      <c r="BKG7" s="302"/>
      <c r="BKH7" s="302"/>
      <c r="BKI7" s="302"/>
      <c r="BKJ7" s="302"/>
      <c r="BKK7" s="302"/>
      <c r="BKL7" s="302"/>
      <c r="BKM7" s="302"/>
      <c r="BKN7" s="302"/>
      <c r="BKO7" s="302"/>
      <c r="BKP7" s="302"/>
      <c r="BKQ7" s="302"/>
      <c r="BKR7" s="302"/>
      <c r="BKS7" s="302"/>
      <c r="BKT7" s="302"/>
      <c r="BKU7" s="302"/>
      <c r="BKV7" s="302"/>
      <c r="BKW7" s="302"/>
      <c r="BKX7" s="302"/>
      <c r="BKY7" s="302"/>
      <c r="BKZ7" s="302"/>
      <c r="BLA7" s="302"/>
      <c r="BLB7" s="302"/>
      <c r="BLC7" s="302"/>
      <c r="BLD7" s="302"/>
      <c r="BLE7" s="302"/>
      <c r="BLF7" s="302"/>
      <c r="BLG7" s="302"/>
      <c r="BLH7" s="302"/>
      <c r="BLI7" s="302"/>
      <c r="BLJ7" s="302"/>
      <c r="BLK7" s="302"/>
      <c r="BLL7" s="302"/>
      <c r="BLM7" s="302"/>
      <c r="BLN7" s="302"/>
      <c r="BLO7" s="302"/>
      <c r="BLP7" s="302"/>
      <c r="BLQ7" s="302"/>
      <c r="BLR7" s="302"/>
      <c r="BLS7" s="302"/>
      <c r="BLT7" s="302"/>
      <c r="BLU7" s="302"/>
      <c r="BLV7" s="302"/>
      <c r="BLW7" s="302"/>
      <c r="BLX7" s="302"/>
      <c r="BLY7" s="302"/>
      <c r="BLZ7" s="302"/>
      <c r="BMA7" s="302"/>
      <c r="BMB7" s="302"/>
      <c r="BMC7" s="302"/>
      <c r="BMD7" s="302"/>
      <c r="BME7" s="302"/>
      <c r="BMF7" s="302"/>
      <c r="BMG7" s="302"/>
      <c r="BMH7" s="302"/>
      <c r="BMI7" s="302"/>
      <c r="BMJ7" s="302"/>
      <c r="BMK7" s="302"/>
      <c r="BML7" s="302"/>
      <c r="BMM7" s="302"/>
      <c r="BMN7" s="302"/>
      <c r="BMO7" s="302"/>
      <c r="BMP7" s="302"/>
      <c r="BMQ7" s="302"/>
      <c r="BMR7" s="302"/>
      <c r="BMS7" s="302"/>
      <c r="BMT7" s="302"/>
      <c r="BMU7" s="302"/>
      <c r="BMV7" s="302"/>
      <c r="BMW7" s="302"/>
      <c r="BMX7" s="302"/>
      <c r="BMY7" s="302"/>
      <c r="BMZ7" s="302"/>
      <c r="BNA7" s="302"/>
      <c r="BNB7" s="302"/>
      <c r="BNC7" s="302"/>
      <c r="BND7" s="302"/>
      <c r="BNE7" s="302"/>
      <c r="BNF7" s="302"/>
      <c r="BNG7" s="302"/>
      <c r="BNH7" s="302"/>
      <c r="BNI7" s="302"/>
      <c r="BNJ7" s="302"/>
      <c r="BNK7" s="302"/>
      <c r="BNL7" s="302"/>
      <c r="BNM7" s="302"/>
      <c r="BNN7" s="302"/>
      <c r="BNO7" s="302"/>
      <c r="BNP7" s="302"/>
      <c r="BNQ7" s="302"/>
      <c r="BNR7" s="302"/>
      <c r="BNS7" s="302"/>
      <c r="BNT7" s="302"/>
      <c r="BNU7" s="302"/>
      <c r="BNV7" s="302"/>
      <c r="BNW7" s="302"/>
      <c r="BNX7" s="302"/>
      <c r="BNY7" s="302"/>
      <c r="BNZ7" s="302"/>
      <c r="BOA7" s="302"/>
      <c r="BOB7" s="302"/>
      <c r="BOC7" s="302"/>
      <c r="BOD7" s="302"/>
      <c r="BOE7" s="302"/>
      <c r="BOF7" s="302"/>
      <c r="BOG7" s="302"/>
      <c r="BOH7" s="302"/>
      <c r="BOI7" s="302"/>
      <c r="BOJ7" s="302"/>
      <c r="BOK7" s="302"/>
      <c r="BOL7" s="302"/>
      <c r="BOM7" s="302"/>
      <c r="BON7" s="302"/>
      <c r="BOO7" s="302"/>
      <c r="BOP7" s="302"/>
      <c r="BOQ7" s="302"/>
      <c r="BOR7" s="302"/>
      <c r="BOS7" s="302"/>
      <c r="BOT7" s="302"/>
      <c r="BOU7" s="302"/>
      <c r="BOV7" s="302"/>
      <c r="BOW7" s="302"/>
      <c r="BOX7" s="302"/>
      <c r="BOY7" s="302"/>
      <c r="BOZ7" s="302"/>
      <c r="BPA7" s="302"/>
      <c r="BPB7" s="302"/>
      <c r="BPC7" s="302"/>
      <c r="BPD7" s="302"/>
      <c r="BPE7" s="302"/>
      <c r="BPF7" s="302"/>
      <c r="BPG7" s="302"/>
      <c r="BPH7" s="302"/>
      <c r="BPI7" s="302"/>
      <c r="BPJ7" s="302"/>
      <c r="BPK7" s="302"/>
      <c r="BPL7" s="302"/>
      <c r="BPM7" s="302"/>
      <c r="BPN7" s="302"/>
      <c r="BPO7" s="302"/>
      <c r="BPP7" s="302"/>
      <c r="BPQ7" s="302"/>
      <c r="BPR7" s="302"/>
      <c r="BPS7" s="302"/>
      <c r="BPT7" s="302"/>
      <c r="BPU7" s="302"/>
      <c r="BPV7" s="302"/>
      <c r="BPW7" s="302"/>
      <c r="BPX7" s="302"/>
      <c r="BPY7" s="302"/>
      <c r="BPZ7" s="302"/>
      <c r="BQA7" s="302"/>
      <c r="BQB7" s="302"/>
      <c r="BQC7" s="302"/>
      <c r="BQD7" s="302"/>
      <c r="BQE7" s="302"/>
      <c r="BQF7" s="302"/>
      <c r="BQG7" s="302"/>
      <c r="BQH7" s="302"/>
      <c r="BQI7" s="302"/>
      <c r="BQJ7" s="302"/>
      <c r="BQK7" s="302"/>
      <c r="BQL7" s="302"/>
      <c r="BQM7" s="302"/>
      <c r="BQN7" s="302"/>
      <c r="BQO7" s="302"/>
      <c r="BQP7" s="302"/>
      <c r="BQQ7" s="302"/>
      <c r="BQR7" s="302"/>
      <c r="BQS7" s="302"/>
      <c r="BQT7" s="302"/>
      <c r="BQU7" s="302"/>
      <c r="BQV7" s="302"/>
      <c r="BQW7" s="302"/>
      <c r="BQX7" s="302"/>
      <c r="BQY7" s="302"/>
      <c r="BQZ7" s="302"/>
      <c r="BRA7" s="302"/>
      <c r="BRB7" s="302"/>
      <c r="BRC7" s="302"/>
      <c r="BRD7" s="302"/>
      <c r="BRE7" s="302"/>
      <c r="BRF7" s="302"/>
      <c r="BRG7" s="302"/>
      <c r="BRH7" s="302"/>
      <c r="BRI7" s="302"/>
      <c r="BRJ7" s="302"/>
      <c r="BRK7" s="302"/>
      <c r="BRL7" s="302"/>
      <c r="BRM7" s="302"/>
      <c r="BRN7" s="302"/>
      <c r="BRO7" s="302"/>
      <c r="BRP7" s="302"/>
      <c r="BRQ7" s="302"/>
      <c r="BRR7" s="302"/>
      <c r="BRS7" s="302"/>
      <c r="BRT7" s="302"/>
      <c r="BRU7" s="302"/>
      <c r="BRV7" s="302"/>
      <c r="BRW7" s="302"/>
      <c r="BRX7" s="302"/>
      <c r="BRY7" s="302"/>
      <c r="BRZ7" s="302"/>
      <c r="BSA7" s="302"/>
      <c r="BSB7" s="302"/>
      <c r="BSC7" s="302"/>
      <c r="BSD7" s="302"/>
      <c r="BSE7" s="302"/>
      <c r="BSF7" s="302"/>
      <c r="BSG7" s="302"/>
      <c r="BSH7" s="302"/>
      <c r="BSI7" s="302"/>
      <c r="BSJ7" s="302"/>
      <c r="BSK7" s="302"/>
      <c r="BSL7" s="302"/>
      <c r="BSM7" s="302"/>
      <c r="BSN7" s="302"/>
      <c r="BSO7" s="302"/>
      <c r="BSP7" s="302"/>
      <c r="BSQ7" s="302"/>
      <c r="BSR7" s="302"/>
      <c r="BSS7" s="302"/>
      <c r="BST7" s="302"/>
      <c r="BSU7" s="302"/>
      <c r="BSV7" s="302"/>
      <c r="BSW7" s="302"/>
      <c r="BSX7" s="302"/>
      <c r="BSY7" s="302"/>
      <c r="BSZ7" s="302"/>
      <c r="BTA7" s="302"/>
      <c r="BTB7" s="302"/>
      <c r="BTC7" s="302"/>
      <c r="BTD7" s="302"/>
      <c r="BTE7" s="302"/>
      <c r="BTF7" s="302"/>
      <c r="BTG7" s="302"/>
      <c r="BTH7" s="302"/>
      <c r="BTI7" s="302"/>
      <c r="BTJ7" s="302"/>
      <c r="BTK7" s="302"/>
      <c r="BTL7" s="302"/>
      <c r="BTM7" s="302"/>
      <c r="BTN7" s="302"/>
      <c r="BTO7" s="302"/>
      <c r="BTP7" s="302"/>
      <c r="BTQ7" s="302"/>
      <c r="BTR7" s="302"/>
      <c r="BTS7" s="302"/>
      <c r="BTT7" s="302"/>
      <c r="BTU7" s="302"/>
      <c r="BTV7" s="302"/>
      <c r="BTW7" s="302"/>
      <c r="BTX7" s="302"/>
      <c r="BTY7" s="302"/>
      <c r="BTZ7" s="302"/>
      <c r="BUA7" s="302"/>
      <c r="BUB7" s="302"/>
      <c r="BUC7" s="302"/>
      <c r="BUD7" s="302"/>
      <c r="BUE7" s="302"/>
      <c r="BUF7" s="302"/>
      <c r="BUG7" s="302"/>
      <c r="BUH7" s="302"/>
      <c r="BUI7" s="302"/>
      <c r="BUJ7" s="302"/>
      <c r="BUK7" s="302"/>
      <c r="BUL7" s="302"/>
      <c r="BUM7" s="302"/>
      <c r="BUN7" s="302"/>
      <c r="BUO7" s="302"/>
      <c r="BUP7" s="302"/>
      <c r="BUQ7" s="302"/>
      <c r="BUR7" s="302"/>
      <c r="BUS7" s="302"/>
      <c r="BUT7" s="302"/>
      <c r="BUU7" s="302"/>
      <c r="BUV7" s="302"/>
      <c r="BUW7" s="302"/>
      <c r="BUX7" s="302"/>
      <c r="BUY7" s="302"/>
      <c r="BUZ7" s="302"/>
      <c r="BVA7" s="302"/>
      <c r="BVB7" s="302"/>
      <c r="BVC7" s="302"/>
      <c r="BVD7" s="302"/>
      <c r="BVE7" s="302"/>
      <c r="BVF7" s="302"/>
      <c r="BVG7" s="302"/>
      <c r="BVH7" s="302"/>
      <c r="BVI7" s="302"/>
      <c r="BVJ7" s="302"/>
      <c r="BVK7" s="302"/>
      <c r="BVL7" s="302"/>
      <c r="BVM7" s="302"/>
      <c r="BVN7" s="302"/>
      <c r="BVO7" s="302"/>
      <c r="BVP7" s="302"/>
      <c r="BVQ7" s="302"/>
      <c r="BVR7" s="302"/>
      <c r="BVS7" s="302"/>
      <c r="BVT7" s="302"/>
      <c r="BVU7" s="302"/>
      <c r="BVV7" s="302"/>
      <c r="BVW7" s="302"/>
      <c r="BVX7" s="302"/>
      <c r="BVY7" s="302"/>
      <c r="BVZ7" s="302"/>
      <c r="BWA7" s="302"/>
      <c r="BWB7" s="302"/>
      <c r="BWC7" s="302"/>
      <c r="BWD7" s="302"/>
      <c r="BWE7" s="302"/>
      <c r="BWF7" s="302"/>
      <c r="BWG7" s="302"/>
      <c r="BWH7" s="302"/>
      <c r="BWI7" s="302"/>
      <c r="BWJ7" s="302"/>
      <c r="BWK7" s="302"/>
      <c r="BWL7" s="302"/>
      <c r="BWM7" s="302"/>
      <c r="BWN7" s="302"/>
      <c r="BWO7" s="302"/>
      <c r="BWP7" s="302"/>
      <c r="BWQ7" s="302"/>
      <c r="BWR7" s="302"/>
      <c r="BWS7" s="302"/>
      <c r="BWT7" s="302"/>
      <c r="BWU7" s="302"/>
      <c r="BWV7" s="302"/>
      <c r="BWW7" s="302"/>
      <c r="BWX7" s="302"/>
      <c r="BWY7" s="302"/>
      <c r="BWZ7" s="302"/>
      <c r="BXA7" s="302"/>
      <c r="BXB7" s="302"/>
      <c r="BXC7" s="302"/>
      <c r="BXD7" s="302"/>
      <c r="BXE7" s="302"/>
      <c r="BXF7" s="302"/>
      <c r="BXG7" s="302"/>
      <c r="BXH7" s="302"/>
      <c r="BXI7" s="302"/>
      <c r="BXJ7" s="302"/>
      <c r="BXK7" s="302"/>
      <c r="BXL7" s="302"/>
      <c r="BXM7" s="302"/>
      <c r="BXN7" s="302"/>
      <c r="BXO7" s="302"/>
      <c r="BXP7" s="302"/>
      <c r="BXQ7" s="302"/>
      <c r="BXR7" s="302"/>
      <c r="BXS7" s="302"/>
      <c r="BXT7" s="302"/>
      <c r="BXU7" s="302"/>
      <c r="BXV7" s="302"/>
      <c r="BXW7" s="302"/>
      <c r="BXX7" s="302"/>
      <c r="BXY7" s="302"/>
      <c r="BXZ7" s="302"/>
      <c r="BYA7" s="302"/>
      <c r="BYB7" s="302"/>
      <c r="BYC7" s="302"/>
      <c r="BYD7" s="302"/>
      <c r="BYE7" s="302"/>
      <c r="BYF7" s="302"/>
      <c r="BYG7" s="302"/>
      <c r="BYH7" s="302"/>
      <c r="BYI7" s="302"/>
      <c r="BYJ7" s="302"/>
      <c r="BYK7" s="302"/>
      <c r="BYL7" s="302"/>
      <c r="BYM7" s="302"/>
      <c r="BYN7" s="302"/>
      <c r="BYO7" s="302"/>
      <c r="BYP7" s="302"/>
      <c r="BYQ7" s="302"/>
      <c r="BYR7" s="302"/>
      <c r="BYS7" s="302"/>
      <c r="BYT7" s="302"/>
      <c r="BYU7" s="302"/>
      <c r="BYV7" s="302"/>
      <c r="BYW7" s="302"/>
      <c r="BYX7" s="302"/>
      <c r="BYY7" s="302"/>
      <c r="BYZ7" s="302"/>
      <c r="BZA7" s="302"/>
      <c r="BZB7" s="302"/>
      <c r="BZC7" s="302"/>
      <c r="BZD7" s="302"/>
      <c r="BZE7" s="302"/>
      <c r="BZF7" s="302"/>
      <c r="BZG7" s="302"/>
      <c r="BZH7" s="302"/>
      <c r="BZI7" s="302"/>
      <c r="BZJ7" s="302"/>
      <c r="BZK7" s="302"/>
      <c r="BZL7" s="302"/>
      <c r="BZM7" s="302"/>
      <c r="BZN7" s="302"/>
      <c r="BZO7" s="302"/>
      <c r="BZP7" s="302"/>
      <c r="BZQ7" s="302"/>
      <c r="BZR7" s="302"/>
      <c r="BZS7" s="302"/>
      <c r="BZT7" s="302"/>
      <c r="BZU7" s="302"/>
      <c r="BZV7" s="302"/>
      <c r="BZW7" s="302"/>
      <c r="BZX7" s="302"/>
      <c r="BZY7" s="302"/>
      <c r="BZZ7" s="302"/>
      <c r="CAA7" s="302"/>
      <c r="CAB7" s="302"/>
      <c r="CAC7" s="302"/>
      <c r="CAD7" s="302"/>
      <c r="CAE7" s="302"/>
      <c r="CAF7" s="302"/>
      <c r="CAG7" s="302"/>
      <c r="CAH7" s="302"/>
      <c r="CAI7" s="302"/>
      <c r="CAJ7" s="302"/>
      <c r="CAK7" s="302"/>
      <c r="CAL7" s="302"/>
      <c r="CAM7" s="302"/>
      <c r="CAN7" s="302"/>
      <c r="CAO7" s="302"/>
      <c r="CAP7" s="302"/>
      <c r="CAQ7" s="302"/>
      <c r="CAR7" s="302"/>
      <c r="CAS7" s="302"/>
      <c r="CAT7" s="302"/>
      <c r="CAU7" s="302"/>
      <c r="CAV7" s="302"/>
      <c r="CAW7" s="302"/>
      <c r="CAX7" s="302"/>
      <c r="CAY7" s="302"/>
      <c r="CAZ7" s="302"/>
      <c r="CBA7" s="302"/>
      <c r="CBB7" s="302"/>
      <c r="CBC7" s="302"/>
      <c r="CBD7" s="302"/>
      <c r="CBE7" s="302"/>
      <c r="CBF7" s="302"/>
      <c r="CBG7" s="302"/>
      <c r="CBH7" s="302"/>
      <c r="CBI7" s="302"/>
      <c r="CBJ7" s="302"/>
      <c r="CBK7" s="302"/>
      <c r="CBL7" s="302"/>
      <c r="CBM7" s="302"/>
      <c r="CBN7" s="302"/>
      <c r="CBO7" s="302"/>
      <c r="CBP7" s="302"/>
      <c r="CBQ7" s="302"/>
      <c r="CBR7" s="302"/>
      <c r="CBS7" s="302"/>
      <c r="CBT7" s="302"/>
      <c r="CBU7" s="302"/>
      <c r="CBV7" s="302"/>
      <c r="CBW7" s="302"/>
      <c r="CBX7" s="302"/>
      <c r="CBY7" s="302"/>
      <c r="CBZ7" s="302"/>
      <c r="CCA7" s="302"/>
      <c r="CCB7" s="302"/>
      <c r="CCC7" s="302"/>
      <c r="CCD7" s="302"/>
      <c r="CCE7" s="302"/>
      <c r="CCF7" s="302"/>
      <c r="CCG7" s="302"/>
      <c r="CCH7" s="302"/>
      <c r="CCI7" s="302"/>
      <c r="CCJ7" s="302"/>
      <c r="CCK7" s="302"/>
      <c r="CCL7" s="302"/>
      <c r="CCM7" s="302"/>
      <c r="CCN7" s="302"/>
      <c r="CCO7" s="302"/>
      <c r="CCP7" s="302"/>
      <c r="CCQ7" s="302"/>
      <c r="CCR7" s="302"/>
      <c r="CCS7" s="302"/>
      <c r="CCT7" s="302"/>
      <c r="CCU7" s="302"/>
      <c r="CCV7" s="302"/>
      <c r="CCW7" s="302"/>
      <c r="CCX7" s="302"/>
      <c r="CCY7" s="302"/>
      <c r="CCZ7" s="302"/>
      <c r="CDA7" s="302"/>
      <c r="CDB7" s="302"/>
      <c r="CDC7" s="302"/>
      <c r="CDD7" s="302"/>
      <c r="CDE7" s="302"/>
      <c r="CDF7" s="302"/>
      <c r="CDG7" s="302"/>
      <c r="CDH7" s="302"/>
      <c r="CDI7" s="302"/>
      <c r="CDJ7" s="302"/>
      <c r="CDK7" s="302"/>
      <c r="CDL7" s="302"/>
      <c r="CDM7" s="302"/>
      <c r="CDN7" s="302"/>
      <c r="CDO7" s="302"/>
      <c r="CDP7" s="302"/>
      <c r="CDQ7" s="302"/>
      <c r="CDR7" s="302"/>
      <c r="CDS7" s="302"/>
      <c r="CDT7" s="302"/>
      <c r="CDU7" s="302"/>
      <c r="CDV7" s="302"/>
      <c r="CDW7" s="302"/>
      <c r="CDX7" s="302"/>
      <c r="CDY7" s="302"/>
      <c r="CDZ7" s="302"/>
      <c r="CEA7" s="302"/>
      <c r="CEB7" s="302"/>
      <c r="CEC7" s="302"/>
      <c r="CED7" s="302"/>
      <c r="CEE7" s="302"/>
      <c r="CEF7" s="302"/>
      <c r="CEG7" s="302"/>
      <c r="CEH7" s="302"/>
      <c r="CEI7" s="302"/>
      <c r="CEJ7" s="302"/>
      <c r="CEK7" s="302"/>
      <c r="CEL7" s="302"/>
      <c r="CEM7" s="302"/>
      <c r="CEN7" s="302"/>
      <c r="CEO7" s="302"/>
      <c r="CEP7" s="302"/>
      <c r="CEQ7" s="302"/>
      <c r="CER7" s="302"/>
      <c r="CES7" s="302"/>
      <c r="CET7" s="302"/>
      <c r="CEU7" s="302"/>
      <c r="CEV7" s="302"/>
      <c r="CEW7" s="302"/>
      <c r="CEX7" s="302"/>
      <c r="CEY7" s="302"/>
      <c r="CEZ7" s="302"/>
      <c r="CFA7" s="302"/>
      <c r="CFB7" s="302"/>
      <c r="CFC7" s="302"/>
      <c r="CFD7" s="302"/>
      <c r="CFE7" s="302"/>
      <c r="CFF7" s="302"/>
      <c r="CFG7" s="302"/>
      <c r="CFH7" s="302"/>
      <c r="CFI7" s="302"/>
      <c r="CFJ7" s="302"/>
      <c r="CFK7" s="302"/>
      <c r="CFL7" s="302"/>
      <c r="CFM7" s="302"/>
      <c r="CFN7" s="302"/>
      <c r="CFO7" s="302"/>
      <c r="CFP7" s="302"/>
      <c r="CFQ7" s="302"/>
      <c r="CFR7" s="302"/>
      <c r="CFS7" s="302"/>
      <c r="CFT7" s="302"/>
      <c r="CFU7" s="302"/>
      <c r="CFV7" s="302"/>
      <c r="CFW7" s="302"/>
      <c r="CFX7" s="302"/>
      <c r="CFY7" s="302"/>
      <c r="CFZ7" s="302"/>
      <c r="CGA7" s="302"/>
      <c r="CGB7" s="302"/>
      <c r="CGC7" s="302"/>
      <c r="CGD7" s="302"/>
      <c r="CGE7" s="302"/>
      <c r="CGF7" s="302"/>
      <c r="CGG7" s="302"/>
      <c r="CGH7" s="302"/>
      <c r="CGI7" s="302"/>
      <c r="CGJ7" s="302"/>
      <c r="CGK7" s="302"/>
      <c r="CGL7" s="302"/>
      <c r="CGM7" s="302"/>
      <c r="CGN7" s="302"/>
      <c r="CGO7" s="302"/>
      <c r="CGP7" s="302"/>
      <c r="CGQ7" s="302"/>
      <c r="CGR7" s="302"/>
      <c r="CGS7" s="302"/>
      <c r="CGT7" s="302"/>
      <c r="CGU7" s="302"/>
      <c r="CGV7" s="302"/>
      <c r="CGW7" s="302"/>
      <c r="CGX7" s="302"/>
      <c r="CGY7" s="302"/>
      <c r="CGZ7" s="302"/>
      <c r="CHA7" s="302"/>
      <c r="CHB7" s="302"/>
      <c r="CHC7" s="302"/>
      <c r="CHD7" s="302"/>
      <c r="CHE7" s="302"/>
      <c r="CHF7" s="302"/>
      <c r="CHG7" s="302"/>
      <c r="CHH7" s="302"/>
      <c r="CHI7" s="302"/>
      <c r="CHJ7" s="302"/>
      <c r="CHK7" s="302"/>
      <c r="CHL7" s="302"/>
      <c r="CHM7" s="302"/>
      <c r="CHN7" s="302"/>
      <c r="CHO7" s="302"/>
      <c r="CHP7" s="302"/>
      <c r="CHQ7" s="302"/>
      <c r="CHR7" s="302"/>
      <c r="CHS7" s="302"/>
      <c r="CHT7" s="302"/>
      <c r="CHU7" s="302"/>
      <c r="CHV7" s="302"/>
      <c r="CHW7" s="302"/>
      <c r="CHX7" s="302"/>
      <c r="CHY7" s="302"/>
      <c r="CHZ7" s="302"/>
      <c r="CIA7" s="302"/>
      <c r="CIB7" s="302"/>
      <c r="CIC7" s="302"/>
      <c r="CID7" s="302"/>
      <c r="CIE7" s="302"/>
      <c r="CIF7" s="302"/>
      <c r="CIG7" s="302"/>
      <c r="CIH7" s="302"/>
      <c r="CII7" s="302"/>
      <c r="CIJ7" s="302"/>
      <c r="CIK7" s="302"/>
      <c r="CIL7" s="302"/>
      <c r="CIM7" s="302"/>
      <c r="CIN7" s="302"/>
      <c r="CIO7" s="302"/>
      <c r="CIP7" s="302"/>
      <c r="CIQ7" s="302"/>
      <c r="CIR7" s="302"/>
      <c r="CIS7" s="302"/>
      <c r="CIT7" s="302"/>
      <c r="CIU7" s="302"/>
      <c r="CIV7" s="302"/>
      <c r="CIW7" s="302"/>
      <c r="CIX7" s="302"/>
      <c r="CIY7" s="302"/>
      <c r="CIZ7" s="302"/>
      <c r="CJA7" s="302"/>
      <c r="CJB7" s="302"/>
      <c r="CJC7" s="302"/>
      <c r="CJD7" s="302"/>
      <c r="CJE7" s="302"/>
      <c r="CJF7" s="302"/>
      <c r="CJG7" s="302"/>
      <c r="CJH7" s="302"/>
      <c r="CJI7" s="302"/>
      <c r="CJJ7" s="302"/>
      <c r="CJK7" s="302"/>
      <c r="CJL7" s="302"/>
      <c r="CJM7" s="302"/>
      <c r="CJN7" s="302"/>
      <c r="CJO7" s="302"/>
      <c r="CJP7" s="302"/>
      <c r="CJQ7" s="302"/>
      <c r="CJR7" s="302"/>
      <c r="CJS7" s="302"/>
      <c r="CJT7" s="302"/>
      <c r="CJU7" s="302"/>
      <c r="CJV7" s="302"/>
      <c r="CJW7" s="302"/>
      <c r="CJX7" s="302"/>
      <c r="CJY7" s="302"/>
      <c r="CJZ7" s="302"/>
      <c r="CKA7" s="302"/>
      <c r="CKB7" s="302"/>
      <c r="CKC7" s="302"/>
      <c r="CKD7" s="302"/>
      <c r="CKE7" s="302"/>
      <c r="CKF7" s="302"/>
      <c r="CKG7" s="302"/>
      <c r="CKH7" s="302"/>
      <c r="CKI7" s="302"/>
      <c r="CKJ7" s="302"/>
      <c r="CKK7" s="302"/>
      <c r="CKL7" s="302"/>
      <c r="CKM7" s="302"/>
      <c r="CKN7" s="302"/>
      <c r="CKO7" s="302"/>
      <c r="CKP7" s="302"/>
      <c r="CKQ7" s="302"/>
      <c r="CKR7" s="302"/>
      <c r="CKS7" s="302"/>
      <c r="CKT7" s="302"/>
      <c r="CKU7" s="302"/>
      <c r="CKV7" s="302"/>
      <c r="CKW7" s="302"/>
      <c r="CKX7" s="302"/>
      <c r="CKY7" s="302"/>
      <c r="CKZ7" s="302"/>
      <c r="CLA7" s="302"/>
      <c r="CLB7" s="302"/>
      <c r="CLC7" s="302"/>
      <c r="CLD7" s="302"/>
      <c r="CLE7" s="302"/>
      <c r="CLF7" s="302"/>
      <c r="CLG7" s="302"/>
      <c r="CLH7" s="302"/>
      <c r="CLI7" s="302"/>
      <c r="CLJ7" s="302"/>
      <c r="CLK7" s="302"/>
      <c r="CLL7" s="302"/>
      <c r="CLM7" s="302"/>
      <c r="CLN7" s="302"/>
      <c r="CLO7" s="302"/>
      <c r="CLP7" s="302"/>
      <c r="CLQ7" s="302"/>
      <c r="CLR7" s="302"/>
      <c r="CLS7" s="302"/>
      <c r="CLT7" s="302"/>
      <c r="CLU7" s="302"/>
      <c r="CLV7" s="302"/>
      <c r="CLW7" s="302"/>
      <c r="CLX7" s="302"/>
      <c r="CLY7" s="302"/>
      <c r="CLZ7" s="302"/>
      <c r="CMA7" s="302"/>
      <c r="CMB7" s="302"/>
      <c r="CMC7" s="302"/>
      <c r="CMD7" s="302"/>
      <c r="CME7" s="302"/>
      <c r="CMF7" s="302"/>
      <c r="CMG7" s="302"/>
      <c r="CMH7" s="302"/>
      <c r="CMI7" s="302"/>
      <c r="CMJ7" s="302"/>
      <c r="CMK7" s="302"/>
      <c r="CML7" s="302"/>
      <c r="CMM7" s="302"/>
      <c r="CMN7" s="302"/>
      <c r="CMO7" s="302"/>
      <c r="CMP7" s="302"/>
      <c r="CMQ7" s="302"/>
      <c r="CMR7" s="302"/>
      <c r="CMS7" s="302"/>
      <c r="CMT7" s="302"/>
      <c r="CMU7" s="302"/>
      <c r="CMV7" s="302"/>
      <c r="CMW7" s="302"/>
      <c r="CMX7" s="302"/>
      <c r="CMY7" s="302"/>
      <c r="CMZ7" s="302"/>
      <c r="CNA7" s="302"/>
      <c r="CNB7" s="302"/>
      <c r="CNC7" s="302"/>
      <c r="CND7" s="302"/>
      <c r="CNE7" s="302"/>
      <c r="CNF7" s="302"/>
      <c r="CNG7" s="302"/>
      <c r="CNH7" s="302"/>
      <c r="CNI7" s="302"/>
      <c r="CNJ7" s="302"/>
      <c r="CNK7" s="302"/>
      <c r="CNL7" s="302"/>
      <c r="CNM7" s="302"/>
      <c r="CNN7" s="302"/>
      <c r="CNO7" s="302"/>
      <c r="CNP7" s="302"/>
      <c r="CNQ7" s="302"/>
      <c r="CNR7" s="302"/>
      <c r="CNS7" s="302"/>
      <c r="CNT7" s="302"/>
      <c r="CNU7" s="302"/>
      <c r="CNV7" s="302"/>
      <c r="CNW7" s="302"/>
      <c r="CNX7" s="302"/>
      <c r="CNY7" s="302"/>
      <c r="CNZ7" s="302"/>
      <c r="COA7" s="302"/>
      <c r="COB7" s="302"/>
      <c r="COC7" s="302"/>
      <c r="COD7" s="302"/>
      <c r="COE7" s="302"/>
      <c r="COF7" s="302"/>
      <c r="COG7" s="302"/>
      <c r="COH7" s="302"/>
      <c r="COI7" s="302"/>
      <c r="COJ7" s="302"/>
      <c r="COK7" s="302"/>
      <c r="COL7" s="302"/>
      <c r="COM7" s="302"/>
      <c r="CON7" s="302"/>
      <c r="COO7" s="302"/>
      <c r="COP7" s="302"/>
      <c r="COQ7" s="302"/>
      <c r="COR7" s="302"/>
      <c r="COS7" s="302"/>
      <c r="COT7" s="302"/>
      <c r="COU7" s="302"/>
      <c r="COV7" s="302"/>
      <c r="COW7" s="302"/>
      <c r="COX7" s="302"/>
      <c r="COY7" s="302"/>
      <c r="COZ7" s="302"/>
      <c r="CPA7" s="302"/>
      <c r="CPB7" s="302"/>
      <c r="CPC7" s="302"/>
      <c r="CPD7" s="302"/>
      <c r="CPE7" s="302"/>
      <c r="CPF7" s="302"/>
      <c r="CPG7" s="302"/>
      <c r="CPH7" s="302"/>
      <c r="CPI7" s="302"/>
      <c r="CPJ7" s="302"/>
      <c r="CPK7" s="302"/>
      <c r="CPL7" s="302"/>
      <c r="CPM7" s="302"/>
      <c r="CPN7" s="302"/>
      <c r="CPO7" s="302"/>
      <c r="CPP7" s="302"/>
      <c r="CPQ7" s="302"/>
      <c r="CPR7" s="302"/>
      <c r="CPS7" s="302"/>
      <c r="CPT7" s="302"/>
      <c r="CPU7" s="302"/>
      <c r="CPV7" s="302"/>
      <c r="CPW7" s="302"/>
      <c r="CPX7" s="302"/>
      <c r="CPY7" s="302"/>
      <c r="CPZ7" s="302"/>
      <c r="CQA7" s="302"/>
      <c r="CQB7" s="302"/>
      <c r="CQC7" s="302"/>
      <c r="CQD7" s="302"/>
      <c r="CQE7" s="302"/>
      <c r="CQF7" s="302"/>
      <c r="CQG7" s="302"/>
      <c r="CQH7" s="302"/>
      <c r="CQI7" s="302"/>
      <c r="CQJ7" s="302"/>
      <c r="CQK7" s="302"/>
      <c r="CQL7" s="302"/>
      <c r="CQM7" s="302"/>
      <c r="CQN7" s="302"/>
      <c r="CQO7" s="302"/>
      <c r="CQP7" s="302"/>
      <c r="CQQ7" s="302"/>
      <c r="CQR7" s="302"/>
      <c r="CQS7" s="302"/>
      <c r="CQT7" s="302"/>
      <c r="CQU7" s="302"/>
      <c r="CQV7" s="302"/>
      <c r="CQW7" s="302"/>
      <c r="CQX7" s="302"/>
      <c r="CQY7" s="302"/>
      <c r="CQZ7" s="302"/>
      <c r="CRA7" s="302"/>
      <c r="CRB7" s="302"/>
      <c r="CRC7" s="302"/>
      <c r="CRD7" s="302"/>
      <c r="CRE7" s="302"/>
      <c r="CRF7" s="302"/>
      <c r="CRG7" s="302"/>
      <c r="CRH7" s="302"/>
      <c r="CRI7" s="302"/>
      <c r="CRJ7" s="302"/>
      <c r="CRK7" s="302"/>
      <c r="CRL7" s="302"/>
      <c r="CRM7" s="302"/>
      <c r="CRN7" s="302"/>
      <c r="CRO7" s="302"/>
      <c r="CRP7" s="302"/>
      <c r="CRQ7" s="302"/>
      <c r="CRR7" s="302"/>
      <c r="CRS7" s="302"/>
      <c r="CRT7" s="302"/>
      <c r="CRU7" s="302"/>
      <c r="CRV7" s="302"/>
      <c r="CRW7" s="302"/>
      <c r="CRX7" s="302"/>
      <c r="CRY7" s="302"/>
      <c r="CRZ7" s="302"/>
      <c r="CSA7" s="302"/>
      <c r="CSB7" s="302"/>
      <c r="CSC7" s="302"/>
      <c r="CSD7" s="302"/>
      <c r="CSE7" s="302"/>
      <c r="CSF7" s="302"/>
      <c r="CSG7" s="302"/>
      <c r="CSH7" s="302"/>
      <c r="CSI7" s="302"/>
      <c r="CSJ7" s="302"/>
      <c r="CSK7" s="302"/>
      <c r="CSL7" s="302"/>
      <c r="CSM7" s="302"/>
      <c r="CSN7" s="302"/>
      <c r="CSO7" s="302"/>
      <c r="CSP7" s="302"/>
      <c r="CSQ7" s="302"/>
      <c r="CSR7" s="302"/>
      <c r="CSS7" s="302"/>
      <c r="CST7" s="302"/>
      <c r="CSU7" s="302"/>
      <c r="CSV7" s="302"/>
      <c r="CSW7" s="302"/>
      <c r="CSX7" s="302"/>
      <c r="CSY7" s="302"/>
      <c r="CSZ7" s="302"/>
      <c r="CTA7" s="302"/>
      <c r="CTB7" s="302"/>
      <c r="CTC7" s="302"/>
      <c r="CTD7" s="302"/>
      <c r="CTE7" s="302"/>
      <c r="CTF7" s="302"/>
      <c r="CTG7" s="302"/>
      <c r="CTH7" s="302"/>
      <c r="CTI7" s="302"/>
      <c r="CTJ7" s="302"/>
      <c r="CTK7" s="302"/>
      <c r="CTL7" s="302"/>
      <c r="CTM7" s="302"/>
      <c r="CTN7" s="302"/>
      <c r="CTO7" s="302"/>
      <c r="CTP7" s="302"/>
      <c r="CTQ7" s="302"/>
      <c r="CTR7" s="302"/>
      <c r="CTS7" s="302"/>
      <c r="CTT7" s="302"/>
      <c r="CTU7" s="302"/>
      <c r="CTV7" s="302"/>
      <c r="CTW7" s="302"/>
      <c r="CTX7" s="302"/>
      <c r="CTY7" s="302"/>
      <c r="CTZ7" s="302"/>
      <c r="CUA7" s="302"/>
      <c r="CUB7" s="302"/>
      <c r="CUC7" s="302"/>
      <c r="CUD7" s="302"/>
      <c r="CUE7" s="302"/>
      <c r="CUF7" s="302"/>
      <c r="CUG7" s="302"/>
      <c r="CUH7" s="302"/>
      <c r="CUI7" s="302"/>
      <c r="CUJ7" s="302"/>
      <c r="CUK7" s="302"/>
      <c r="CUL7" s="302"/>
      <c r="CUM7" s="302"/>
      <c r="CUN7" s="302"/>
      <c r="CUO7" s="302"/>
      <c r="CUP7" s="302"/>
      <c r="CUQ7" s="302"/>
      <c r="CUR7" s="302"/>
      <c r="CUS7" s="302"/>
      <c r="CUT7" s="302"/>
      <c r="CUU7" s="302"/>
      <c r="CUV7" s="302"/>
      <c r="CUW7" s="302"/>
      <c r="CUX7" s="302"/>
      <c r="CUY7" s="302"/>
      <c r="CUZ7" s="302"/>
      <c r="CVA7" s="302"/>
      <c r="CVB7" s="302"/>
      <c r="CVC7" s="302"/>
      <c r="CVD7" s="302"/>
      <c r="CVE7" s="302"/>
      <c r="CVF7" s="302"/>
      <c r="CVG7" s="302"/>
      <c r="CVH7" s="302"/>
      <c r="CVI7" s="302"/>
      <c r="CVJ7" s="302"/>
      <c r="CVK7" s="302"/>
      <c r="CVL7" s="302"/>
      <c r="CVM7" s="302"/>
      <c r="CVN7" s="302"/>
      <c r="CVO7" s="302"/>
      <c r="CVP7" s="302"/>
      <c r="CVQ7" s="302"/>
      <c r="CVR7" s="302"/>
      <c r="CVS7" s="302"/>
      <c r="CVT7" s="302"/>
      <c r="CVU7" s="302"/>
      <c r="CVV7" s="302"/>
      <c r="CVW7" s="302"/>
      <c r="CVX7" s="302"/>
      <c r="CVY7" s="302"/>
      <c r="CVZ7" s="302"/>
      <c r="CWA7" s="302"/>
      <c r="CWB7" s="302"/>
      <c r="CWC7" s="302"/>
      <c r="CWD7" s="302"/>
      <c r="CWE7" s="302"/>
      <c r="CWF7" s="302"/>
      <c r="CWG7" s="302"/>
      <c r="CWH7" s="302"/>
      <c r="CWI7" s="302"/>
      <c r="CWJ7" s="302"/>
      <c r="CWK7" s="302"/>
      <c r="CWL7" s="302"/>
      <c r="CWM7" s="302"/>
      <c r="CWN7" s="302"/>
      <c r="CWO7" s="302"/>
      <c r="CWP7" s="302"/>
      <c r="CWQ7" s="302"/>
      <c r="CWR7" s="302"/>
      <c r="CWS7" s="302"/>
      <c r="CWT7" s="302"/>
      <c r="CWU7" s="302"/>
      <c r="CWV7" s="302"/>
      <c r="CWW7" s="302"/>
      <c r="CWX7" s="302"/>
      <c r="CWY7" s="302"/>
      <c r="CWZ7" s="302"/>
      <c r="CXA7" s="302"/>
      <c r="CXB7" s="302"/>
      <c r="CXC7" s="302"/>
      <c r="CXD7" s="302"/>
      <c r="CXE7" s="302"/>
      <c r="CXF7" s="302"/>
      <c r="CXG7" s="302"/>
      <c r="CXH7" s="302"/>
      <c r="CXI7" s="302"/>
      <c r="CXJ7" s="302"/>
      <c r="CXK7" s="302"/>
      <c r="CXL7" s="302"/>
      <c r="CXM7" s="302"/>
      <c r="CXN7" s="302"/>
      <c r="CXO7" s="302"/>
      <c r="CXP7" s="302"/>
      <c r="CXQ7" s="302"/>
      <c r="CXR7" s="302"/>
      <c r="CXS7" s="302"/>
      <c r="CXT7" s="302"/>
      <c r="CXU7" s="302"/>
      <c r="CXV7" s="302"/>
      <c r="CXW7" s="302"/>
      <c r="CXX7" s="302"/>
      <c r="CXY7" s="302"/>
      <c r="CXZ7" s="302"/>
      <c r="CYA7" s="302"/>
      <c r="CYB7" s="302"/>
      <c r="CYC7" s="302"/>
      <c r="CYD7" s="302"/>
      <c r="CYE7" s="302"/>
      <c r="CYF7" s="302"/>
      <c r="CYG7" s="302"/>
      <c r="CYH7" s="302"/>
      <c r="CYI7" s="302"/>
      <c r="CYJ7" s="302"/>
      <c r="CYK7" s="302"/>
      <c r="CYL7" s="302"/>
      <c r="CYM7" s="302"/>
      <c r="CYN7" s="302"/>
      <c r="CYO7" s="302"/>
      <c r="CYP7" s="302"/>
      <c r="CYQ7" s="302"/>
      <c r="CYR7" s="302"/>
      <c r="CYS7" s="302"/>
      <c r="CYT7" s="302"/>
      <c r="CYU7" s="302"/>
      <c r="CYV7" s="302"/>
      <c r="CYW7" s="302"/>
      <c r="CYX7" s="302"/>
      <c r="CYY7" s="302"/>
      <c r="CYZ7" s="302"/>
      <c r="CZA7" s="302"/>
      <c r="CZB7" s="302"/>
      <c r="CZC7" s="302"/>
      <c r="CZD7" s="302"/>
      <c r="CZE7" s="302"/>
      <c r="CZF7" s="302"/>
      <c r="CZG7" s="302"/>
      <c r="CZH7" s="302"/>
      <c r="CZI7" s="302"/>
      <c r="CZJ7" s="302"/>
      <c r="CZK7" s="302"/>
      <c r="CZL7" s="302"/>
      <c r="CZM7" s="302"/>
      <c r="CZN7" s="302"/>
      <c r="CZO7" s="302"/>
      <c r="CZP7" s="302"/>
      <c r="CZQ7" s="302"/>
      <c r="CZR7" s="302"/>
      <c r="CZS7" s="302"/>
      <c r="CZT7" s="302"/>
      <c r="CZU7" s="302"/>
      <c r="CZV7" s="302"/>
      <c r="CZW7" s="302"/>
      <c r="CZX7" s="302"/>
      <c r="CZY7" s="302"/>
      <c r="CZZ7" s="302"/>
      <c r="DAA7" s="302"/>
      <c r="DAB7" s="302"/>
      <c r="DAC7" s="302"/>
      <c r="DAD7" s="302"/>
      <c r="DAE7" s="302"/>
      <c r="DAF7" s="302"/>
      <c r="DAG7" s="302"/>
      <c r="DAH7" s="302"/>
      <c r="DAI7" s="302"/>
      <c r="DAJ7" s="302"/>
      <c r="DAK7" s="302"/>
      <c r="DAL7" s="302"/>
      <c r="DAM7" s="302"/>
      <c r="DAN7" s="302"/>
      <c r="DAO7" s="302"/>
      <c r="DAP7" s="302"/>
      <c r="DAQ7" s="302"/>
      <c r="DAR7" s="302"/>
      <c r="DAS7" s="302"/>
      <c r="DAT7" s="302"/>
      <c r="DAU7" s="302"/>
      <c r="DAV7" s="302"/>
      <c r="DAW7" s="302"/>
      <c r="DAX7" s="302"/>
      <c r="DAY7" s="302"/>
      <c r="DAZ7" s="302"/>
      <c r="DBA7" s="302"/>
      <c r="DBB7" s="302"/>
      <c r="DBC7" s="302"/>
      <c r="DBD7" s="302"/>
      <c r="DBE7" s="302"/>
      <c r="DBF7" s="302"/>
      <c r="DBG7" s="302"/>
      <c r="DBH7" s="302"/>
      <c r="DBI7" s="302"/>
      <c r="DBJ7" s="302"/>
      <c r="DBK7" s="302"/>
      <c r="DBL7" s="302"/>
      <c r="DBM7" s="302"/>
      <c r="DBN7" s="302"/>
      <c r="DBO7" s="302"/>
      <c r="DBP7" s="302"/>
      <c r="DBQ7" s="302"/>
      <c r="DBR7" s="302"/>
      <c r="DBS7" s="302"/>
      <c r="DBT7" s="302"/>
      <c r="DBU7" s="302"/>
      <c r="DBV7" s="302"/>
      <c r="DBW7" s="302"/>
      <c r="DBX7" s="302"/>
      <c r="DBY7" s="302"/>
      <c r="DBZ7" s="302"/>
      <c r="DCA7" s="302"/>
      <c r="DCB7" s="302"/>
      <c r="DCC7" s="302"/>
      <c r="DCD7" s="302"/>
      <c r="DCE7" s="302"/>
      <c r="DCF7" s="302"/>
      <c r="DCG7" s="302"/>
      <c r="DCH7" s="302"/>
      <c r="DCI7" s="302"/>
      <c r="DCJ7" s="302"/>
      <c r="DCK7" s="302"/>
      <c r="DCL7" s="302"/>
      <c r="DCM7" s="302"/>
      <c r="DCN7" s="302"/>
      <c r="DCO7" s="302"/>
      <c r="DCP7" s="302"/>
      <c r="DCQ7" s="302"/>
      <c r="DCR7" s="302"/>
      <c r="DCS7" s="302"/>
      <c r="DCT7" s="302"/>
      <c r="DCU7" s="302"/>
      <c r="DCV7" s="302"/>
      <c r="DCW7" s="302"/>
      <c r="DCX7" s="302"/>
      <c r="DCY7" s="302"/>
      <c r="DCZ7" s="302"/>
      <c r="DDA7" s="302"/>
      <c r="DDB7" s="302"/>
      <c r="DDC7" s="302"/>
      <c r="DDD7" s="302"/>
      <c r="DDE7" s="302"/>
      <c r="DDF7" s="302"/>
      <c r="DDG7" s="302"/>
      <c r="DDH7" s="302"/>
      <c r="DDI7" s="302"/>
      <c r="DDJ7" s="302"/>
      <c r="DDK7" s="302"/>
      <c r="DDL7" s="302"/>
      <c r="DDM7" s="302"/>
      <c r="DDN7" s="302"/>
      <c r="DDO7" s="302"/>
      <c r="DDP7" s="302"/>
      <c r="DDQ7" s="302"/>
      <c r="DDR7" s="302"/>
      <c r="DDS7" s="302"/>
      <c r="DDT7" s="302"/>
      <c r="DDU7" s="302"/>
      <c r="DDV7" s="302"/>
      <c r="DDW7" s="302"/>
      <c r="DDX7" s="302"/>
      <c r="DDY7" s="302"/>
      <c r="DDZ7" s="302"/>
      <c r="DEA7" s="302"/>
      <c r="DEB7" s="302"/>
      <c r="DEC7" s="302"/>
      <c r="DED7" s="302"/>
      <c r="DEE7" s="302"/>
      <c r="DEF7" s="302"/>
      <c r="DEG7" s="302"/>
      <c r="DEH7" s="302"/>
      <c r="DEI7" s="302"/>
      <c r="DEJ7" s="302"/>
      <c r="DEK7" s="302"/>
      <c r="DEL7" s="302"/>
      <c r="DEM7" s="302"/>
      <c r="DEN7" s="302"/>
      <c r="DEO7" s="302"/>
      <c r="DEP7" s="302"/>
      <c r="DEQ7" s="302"/>
      <c r="DER7" s="302"/>
      <c r="DES7" s="302"/>
      <c r="DET7" s="302"/>
      <c r="DEU7" s="302"/>
      <c r="DEV7" s="302"/>
      <c r="DEW7" s="302"/>
      <c r="DEX7" s="302"/>
      <c r="DEY7" s="302"/>
      <c r="DEZ7" s="302"/>
      <c r="DFA7" s="302"/>
      <c r="DFB7" s="302"/>
      <c r="DFC7" s="302"/>
      <c r="DFD7" s="302"/>
      <c r="DFE7" s="302"/>
      <c r="DFF7" s="302"/>
      <c r="DFG7" s="302"/>
      <c r="DFH7" s="302"/>
      <c r="DFI7" s="302"/>
      <c r="DFJ7" s="302"/>
      <c r="DFK7" s="302"/>
      <c r="DFL7" s="302"/>
      <c r="DFM7" s="302"/>
      <c r="DFN7" s="302"/>
      <c r="DFO7" s="302"/>
      <c r="DFP7" s="302"/>
      <c r="DFQ7" s="302"/>
      <c r="DFR7" s="302"/>
      <c r="DFS7" s="302"/>
      <c r="DFT7" s="302"/>
      <c r="DFU7" s="302"/>
      <c r="DFV7" s="302"/>
      <c r="DFW7" s="302"/>
      <c r="DFX7" s="302"/>
      <c r="DFY7" s="302"/>
      <c r="DFZ7" s="302"/>
      <c r="DGA7" s="302"/>
      <c r="DGB7" s="302"/>
      <c r="DGC7" s="302"/>
      <c r="DGD7" s="302"/>
      <c r="DGE7" s="302"/>
      <c r="DGF7" s="302"/>
      <c r="DGG7" s="302"/>
      <c r="DGH7" s="302"/>
      <c r="DGI7" s="302"/>
      <c r="DGJ7" s="302"/>
      <c r="DGK7" s="302"/>
      <c r="DGL7" s="302"/>
      <c r="DGM7" s="302"/>
      <c r="DGN7" s="302"/>
      <c r="DGO7" s="302"/>
      <c r="DGP7" s="302"/>
      <c r="DGQ7" s="302"/>
      <c r="DGR7" s="302"/>
      <c r="DGS7" s="302"/>
      <c r="DGT7" s="302"/>
      <c r="DGU7" s="302"/>
      <c r="DGV7" s="302"/>
      <c r="DGW7" s="302"/>
      <c r="DGX7" s="302"/>
      <c r="DGY7" s="302"/>
      <c r="DGZ7" s="302"/>
      <c r="DHA7" s="302"/>
      <c r="DHB7" s="302"/>
      <c r="DHC7" s="302"/>
      <c r="DHD7" s="302"/>
      <c r="DHE7" s="302"/>
      <c r="DHF7" s="302"/>
      <c r="DHG7" s="302"/>
      <c r="DHH7" s="302"/>
      <c r="DHI7" s="302"/>
      <c r="DHJ7" s="302"/>
      <c r="DHK7" s="302"/>
      <c r="DHL7" s="302"/>
      <c r="DHM7" s="302"/>
      <c r="DHN7" s="302"/>
      <c r="DHO7" s="302"/>
      <c r="DHP7" s="302"/>
      <c r="DHQ7" s="302"/>
      <c r="DHR7" s="302"/>
      <c r="DHS7" s="302"/>
      <c r="DHT7" s="302"/>
      <c r="DHU7" s="302"/>
      <c r="DHV7" s="302"/>
      <c r="DHW7" s="302"/>
      <c r="DHX7" s="302"/>
      <c r="DHY7" s="302"/>
      <c r="DHZ7" s="302"/>
      <c r="DIA7" s="302"/>
      <c r="DIB7" s="302"/>
      <c r="DIC7" s="302"/>
      <c r="DID7" s="302"/>
      <c r="DIE7" s="302"/>
      <c r="DIF7" s="302"/>
      <c r="DIG7" s="302"/>
      <c r="DIH7" s="302"/>
      <c r="DII7" s="302"/>
      <c r="DIJ7" s="302"/>
      <c r="DIK7" s="302"/>
      <c r="DIL7" s="302"/>
      <c r="DIM7" s="302"/>
      <c r="DIN7" s="302"/>
      <c r="DIO7" s="302"/>
      <c r="DIP7" s="302"/>
      <c r="DIQ7" s="302"/>
      <c r="DIR7" s="302"/>
      <c r="DIS7" s="302"/>
      <c r="DIT7" s="302"/>
      <c r="DIU7" s="302"/>
      <c r="DIV7" s="302"/>
      <c r="DIW7" s="302"/>
      <c r="DIX7" s="302"/>
      <c r="DIY7" s="302"/>
      <c r="DIZ7" s="302"/>
      <c r="DJA7" s="302"/>
      <c r="DJB7" s="302"/>
      <c r="DJC7" s="302"/>
      <c r="DJD7" s="302"/>
      <c r="DJE7" s="302"/>
      <c r="DJF7" s="302"/>
      <c r="DJG7" s="302"/>
      <c r="DJH7" s="302"/>
      <c r="DJI7" s="302"/>
      <c r="DJJ7" s="302"/>
      <c r="DJK7" s="302"/>
      <c r="DJL7" s="302"/>
      <c r="DJM7" s="302"/>
      <c r="DJN7" s="302"/>
      <c r="DJO7" s="302"/>
      <c r="DJP7" s="302"/>
      <c r="DJQ7" s="302"/>
      <c r="DJR7" s="302"/>
      <c r="DJS7" s="302"/>
      <c r="DJT7" s="302"/>
      <c r="DJU7" s="302"/>
      <c r="DJV7" s="302"/>
      <c r="DJW7" s="302"/>
      <c r="DJX7" s="302"/>
      <c r="DJY7" s="302"/>
      <c r="DJZ7" s="302"/>
      <c r="DKA7" s="302"/>
      <c r="DKB7" s="302"/>
      <c r="DKC7" s="302"/>
      <c r="DKD7" s="302"/>
      <c r="DKE7" s="302"/>
      <c r="DKF7" s="302"/>
      <c r="DKG7" s="302"/>
      <c r="DKH7" s="302"/>
      <c r="DKI7" s="302"/>
      <c r="DKJ7" s="302"/>
      <c r="DKK7" s="302"/>
      <c r="DKL7" s="302"/>
      <c r="DKM7" s="302"/>
      <c r="DKN7" s="302"/>
      <c r="DKO7" s="302"/>
      <c r="DKP7" s="302"/>
      <c r="DKQ7" s="302"/>
      <c r="DKR7" s="302"/>
      <c r="DKS7" s="302"/>
      <c r="DKT7" s="302"/>
      <c r="DKU7" s="302"/>
      <c r="DKV7" s="302"/>
      <c r="DKW7" s="302"/>
      <c r="DKX7" s="302"/>
      <c r="DKY7" s="302"/>
      <c r="DKZ7" s="302"/>
      <c r="DLA7" s="302"/>
      <c r="DLB7" s="302"/>
      <c r="DLC7" s="302"/>
      <c r="DLD7" s="302"/>
      <c r="DLE7" s="302"/>
      <c r="DLF7" s="302"/>
      <c r="DLG7" s="302"/>
      <c r="DLH7" s="302"/>
      <c r="DLI7" s="302"/>
      <c r="DLJ7" s="302"/>
      <c r="DLK7" s="302"/>
      <c r="DLL7" s="302"/>
      <c r="DLM7" s="302"/>
      <c r="DLN7" s="302"/>
      <c r="DLO7" s="302"/>
      <c r="DLP7" s="302"/>
      <c r="DLQ7" s="302"/>
      <c r="DLR7" s="302"/>
      <c r="DLS7" s="302"/>
      <c r="DLT7" s="302"/>
      <c r="DLU7" s="302"/>
      <c r="DLV7" s="302"/>
      <c r="DLW7" s="302"/>
      <c r="DLX7" s="302"/>
      <c r="DLY7" s="302"/>
      <c r="DLZ7" s="302"/>
      <c r="DMA7" s="302"/>
      <c r="DMB7" s="302"/>
      <c r="DMC7" s="302"/>
      <c r="DMD7" s="302"/>
      <c r="DME7" s="302"/>
      <c r="DMF7" s="302"/>
      <c r="DMG7" s="302"/>
      <c r="DMH7" s="302"/>
      <c r="DMI7" s="302"/>
      <c r="DMJ7" s="302"/>
      <c r="DMK7" s="302"/>
      <c r="DML7" s="302"/>
      <c r="DMM7" s="302"/>
      <c r="DMN7" s="302"/>
      <c r="DMO7" s="302"/>
      <c r="DMP7" s="302"/>
      <c r="DMQ7" s="302"/>
      <c r="DMR7" s="302"/>
      <c r="DMS7" s="302"/>
      <c r="DMT7" s="302"/>
      <c r="DMU7" s="302"/>
      <c r="DMV7" s="302"/>
      <c r="DMW7" s="302"/>
      <c r="DMX7" s="302"/>
      <c r="DMY7" s="302"/>
      <c r="DMZ7" s="302"/>
      <c r="DNA7" s="302"/>
      <c r="DNB7" s="302"/>
      <c r="DNC7" s="302"/>
      <c r="DND7" s="302"/>
      <c r="DNE7" s="302"/>
      <c r="DNF7" s="302"/>
      <c r="DNG7" s="302"/>
      <c r="DNH7" s="302"/>
      <c r="DNI7" s="302"/>
      <c r="DNJ7" s="302"/>
      <c r="DNK7" s="302"/>
      <c r="DNL7" s="302"/>
      <c r="DNM7" s="302"/>
      <c r="DNN7" s="302"/>
      <c r="DNO7" s="302"/>
      <c r="DNP7" s="302"/>
      <c r="DNQ7" s="302"/>
      <c r="DNR7" s="302"/>
      <c r="DNS7" s="302"/>
      <c r="DNT7" s="302"/>
      <c r="DNU7" s="302"/>
      <c r="DNV7" s="302"/>
      <c r="DNW7" s="302"/>
      <c r="DNX7" s="302"/>
      <c r="DNY7" s="302"/>
      <c r="DNZ7" s="302"/>
      <c r="DOA7" s="302"/>
      <c r="DOB7" s="302"/>
      <c r="DOC7" s="302"/>
      <c r="DOD7" s="302"/>
      <c r="DOE7" s="302"/>
      <c r="DOF7" s="302"/>
      <c r="DOG7" s="302"/>
      <c r="DOH7" s="302"/>
      <c r="DOI7" s="302"/>
      <c r="DOJ7" s="302"/>
      <c r="DOK7" s="302"/>
      <c r="DOL7" s="302"/>
      <c r="DOM7" s="302"/>
      <c r="DON7" s="302"/>
      <c r="DOO7" s="302"/>
      <c r="DOP7" s="302"/>
      <c r="DOQ7" s="302"/>
      <c r="DOR7" s="302"/>
      <c r="DOS7" s="302"/>
      <c r="DOT7" s="302"/>
      <c r="DOU7" s="302"/>
      <c r="DOV7" s="302"/>
      <c r="DOW7" s="302"/>
      <c r="DOX7" s="302"/>
      <c r="DOY7" s="302"/>
      <c r="DOZ7" s="302"/>
      <c r="DPA7" s="302"/>
      <c r="DPB7" s="302"/>
      <c r="DPC7" s="302"/>
      <c r="DPD7" s="302"/>
      <c r="DPE7" s="302"/>
      <c r="DPF7" s="302"/>
      <c r="DPG7" s="302"/>
      <c r="DPH7" s="302"/>
      <c r="DPI7" s="302"/>
      <c r="DPJ7" s="302"/>
      <c r="DPK7" s="302"/>
      <c r="DPL7" s="302"/>
      <c r="DPM7" s="302"/>
      <c r="DPN7" s="302"/>
      <c r="DPO7" s="302"/>
      <c r="DPP7" s="302"/>
      <c r="DPQ7" s="302"/>
      <c r="DPR7" s="302"/>
      <c r="DPS7" s="302"/>
      <c r="DPT7" s="302"/>
      <c r="DPU7" s="302"/>
      <c r="DPV7" s="302"/>
      <c r="DPW7" s="302"/>
      <c r="DPX7" s="302"/>
      <c r="DPY7" s="302"/>
      <c r="DPZ7" s="302"/>
      <c r="DQA7" s="302"/>
      <c r="DQB7" s="302"/>
      <c r="DQC7" s="302"/>
      <c r="DQD7" s="302"/>
      <c r="DQE7" s="302"/>
      <c r="DQF7" s="302"/>
      <c r="DQG7" s="302"/>
      <c r="DQH7" s="302"/>
      <c r="DQI7" s="302"/>
      <c r="DQJ7" s="302"/>
      <c r="DQK7" s="302"/>
      <c r="DQL7" s="302"/>
      <c r="DQM7" s="302"/>
      <c r="DQN7" s="302"/>
      <c r="DQO7" s="302"/>
      <c r="DQP7" s="302"/>
      <c r="DQQ7" s="302"/>
      <c r="DQR7" s="302"/>
      <c r="DQS7" s="302"/>
      <c r="DQT7" s="302"/>
      <c r="DQU7" s="302"/>
      <c r="DQV7" s="302"/>
      <c r="DQW7" s="302"/>
      <c r="DQX7" s="302"/>
      <c r="DQY7" s="302"/>
      <c r="DQZ7" s="302"/>
      <c r="DRA7" s="302"/>
      <c r="DRB7" s="302"/>
      <c r="DRC7" s="302"/>
      <c r="DRD7" s="302"/>
      <c r="DRE7" s="302"/>
      <c r="DRF7" s="302"/>
      <c r="DRG7" s="302"/>
      <c r="DRH7" s="302"/>
      <c r="DRI7" s="302"/>
      <c r="DRJ7" s="302"/>
      <c r="DRK7" s="302"/>
      <c r="DRL7" s="302"/>
      <c r="DRM7" s="302"/>
      <c r="DRN7" s="302"/>
      <c r="DRO7" s="302"/>
      <c r="DRP7" s="302"/>
      <c r="DRQ7" s="302"/>
      <c r="DRR7" s="302"/>
      <c r="DRS7" s="302"/>
      <c r="DRT7" s="302"/>
      <c r="DRU7" s="302"/>
      <c r="DRV7" s="302"/>
      <c r="DRW7" s="302"/>
      <c r="DRX7" s="302"/>
      <c r="DRY7" s="302"/>
      <c r="DRZ7" s="302"/>
      <c r="DSA7" s="302"/>
      <c r="DSB7" s="302"/>
      <c r="DSC7" s="302"/>
      <c r="DSD7" s="302"/>
      <c r="DSE7" s="302"/>
      <c r="DSF7" s="302"/>
      <c r="DSG7" s="302"/>
      <c r="DSH7" s="302"/>
      <c r="DSI7" s="302"/>
      <c r="DSJ7" s="302"/>
      <c r="DSK7" s="302"/>
      <c r="DSL7" s="302"/>
      <c r="DSM7" s="302"/>
      <c r="DSN7" s="302"/>
      <c r="DSO7" s="302"/>
      <c r="DSP7" s="302"/>
      <c r="DSQ7" s="302"/>
      <c r="DSR7" s="302"/>
      <c r="DSS7" s="302"/>
      <c r="DST7" s="302"/>
      <c r="DSU7" s="302"/>
      <c r="DSV7" s="302"/>
      <c r="DSW7" s="302"/>
      <c r="DSX7" s="302"/>
      <c r="DSY7" s="302"/>
      <c r="DSZ7" s="302"/>
      <c r="DTA7" s="302"/>
      <c r="DTB7" s="302"/>
      <c r="DTC7" s="302"/>
      <c r="DTD7" s="302"/>
      <c r="DTE7" s="302"/>
      <c r="DTF7" s="302"/>
      <c r="DTG7" s="302"/>
      <c r="DTH7" s="302"/>
      <c r="DTI7" s="302"/>
      <c r="DTJ7" s="302"/>
      <c r="DTK7" s="302"/>
      <c r="DTL7" s="302"/>
      <c r="DTM7" s="302"/>
      <c r="DTN7" s="302"/>
      <c r="DTO7" s="302"/>
      <c r="DTP7" s="302"/>
      <c r="DTQ7" s="302"/>
      <c r="DTR7" s="302"/>
      <c r="DTS7" s="302"/>
      <c r="DTT7" s="302"/>
      <c r="DTU7" s="302"/>
      <c r="DTV7" s="302"/>
      <c r="DTW7" s="302"/>
      <c r="DTX7" s="302"/>
      <c r="DTY7" s="302"/>
      <c r="DTZ7" s="302"/>
      <c r="DUA7" s="302"/>
      <c r="DUB7" s="302"/>
      <c r="DUC7" s="302"/>
      <c r="DUD7" s="302"/>
      <c r="DUE7" s="302"/>
      <c r="DUF7" s="302"/>
      <c r="DUG7" s="302"/>
      <c r="DUH7" s="302"/>
      <c r="DUI7" s="302"/>
      <c r="DUJ7" s="302"/>
      <c r="DUK7" s="302"/>
      <c r="DUL7" s="302"/>
      <c r="DUM7" s="302"/>
      <c r="DUN7" s="302"/>
      <c r="DUO7" s="302"/>
      <c r="DUP7" s="302"/>
      <c r="DUQ7" s="302"/>
      <c r="DUR7" s="302"/>
      <c r="DUS7" s="302"/>
      <c r="DUT7" s="302"/>
      <c r="DUU7" s="302"/>
      <c r="DUV7" s="302"/>
      <c r="DUW7" s="302"/>
      <c r="DUX7" s="302"/>
      <c r="DUY7" s="302"/>
      <c r="DUZ7" s="302"/>
      <c r="DVA7" s="302"/>
      <c r="DVB7" s="302"/>
      <c r="DVC7" s="302"/>
      <c r="DVD7" s="302"/>
      <c r="DVE7" s="302"/>
      <c r="DVF7" s="302"/>
      <c r="DVG7" s="302"/>
      <c r="DVH7" s="302"/>
      <c r="DVI7" s="302"/>
      <c r="DVJ7" s="302"/>
      <c r="DVK7" s="302"/>
      <c r="DVL7" s="302"/>
      <c r="DVM7" s="302"/>
      <c r="DVN7" s="302"/>
      <c r="DVO7" s="302"/>
      <c r="DVP7" s="302"/>
      <c r="DVQ7" s="302"/>
      <c r="DVR7" s="302"/>
      <c r="DVS7" s="302"/>
      <c r="DVT7" s="302"/>
      <c r="DVU7" s="302"/>
      <c r="DVV7" s="302"/>
      <c r="DVW7" s="302"/>
      <c r="DVX7" s="302"/>
      <c r="DVY7" s="302"/>
      <c r="DVZ7" s="302"/>
      <c r="DWA7" s="302"/>
      <c r="DWB7" s="302"/>
      <c r="DWC7" s="302"/>
      <c r="DWD7" s="302"/>
      <c r="DWE7" s="302"/>
      <c r="DWF7" s="302"/>
      <c r="DWG7" s="302"/>
      <c r="DWH7" s="302"/>
      <c r="DWI7" s="302"/>
      <c r="DWJ7" s="302"/>
      <c r="DWK7" s="302"/>
      <c r="DWL7" s="302"/>
      <c r="DWM7" s="302"/>
      <c r="DWN7" s="302"/>
      <c r="DWO7" s="302"/>
      <c r="DWP7" s="302"/>
      <c r="DWQ7" s="302"/>
      <c r="DWR7" s="302"/>
      <c r="DWS7" s="302"/>
      <c r="DWT7" s="302"/>
      <c r="DWU7" s="302"/>
      <c r="DWV7" s="302"/>
      <c r="DWW7" s="302"/>
      <c r="DWX7" s="302"/>
      <c r="DWY7" s="302"/>
      <c r="DWZ7" s="302"/>
      <c r="DXA7" s="302"/>
      <c r="DXB7" s="302"/>
      <c r="DXC7" s="302"/>
      <c r="DXD7" s="302"/>
      <c r="DXE7" s="302"/>
      <c r="DXF7" s="302"/>
      <c r="DXG7" s="302"/>
      <c r="DXH7" s="302"/>
      <c r="DXI7" s="302"/>
      <c r="DXJ7" s="302"/>
      <c r="DXK7" s="302"/>
      <c r="DXL7" s="302"/>
      <c r="DXM7" s="302"/>
      <c r="DXN7" s="302"/>
      <c r="DXO7" s="302"/>
      <c r="DXP7" s="302"/>
      <c r="DXQ7" s="302"/>
      <c r="DXR7" s="302"/>
      <c r="DXS7" s="302"/>
      <c r="DXT7" s="302"/>
      <c r="DXU7" s="302"/>
      <c r="DXV7" s="302"/>
      <c r="DXW7" s="302"/>
      <c r="DXX7" s="302"/>
      <c r="DXY7" s="302"/>
      <c r="DXZ7" s="302"/>
      <c r="DYA7" s="302"/>
      <c r="DYB7" s="302"/>
      <c r="DYC7" s="302"/>
      <c r="DYD7" s="302"/>
      <c r="DYE7" s="302"/>
      <c r="DYF7" s="302"/>
      <c r="DYG7" s="302"/>
      <c r="DYH7" s="302"/>
      <c r="DYI7" s="302"/>
      <c r="DYJ7" s="302"/>
      <c r="DYK7" s="302"/>
      <c r="DYL7" s="302"/>
      <c r="DYM7" s="302"/>
      <c r="DYN7" s="302"/>
      <c r="DYO7" s="302"/>
      <c r="DYP7" s="302"/>
      <c r="DYQ7" s="302"/>
      <c r="DYR7" s="302"/>
      <c r="DYS7" s="302"/>
      <c r="DYT7" s="302"/>
      <c r="DYU7" s="302"/>
      <c r="DYV7" s="302"/>
      <c r="DYW7" s="302"/>
      <c r="DYX7" s="302"/>
      <c r="DYY7" s="302"/>
      <c r="DYZ7" s="302"/>
      <c r="DZA7" s="302"/>
      <c r="DZB7" s="302"/>
      <c r="DZC7" s="302"/>
      <c r="DZD7" s="302"/>
      <c r="DZE7" s="302"/>
      <c r="DZF7" s="302"/>
      <c r="DZG7" s="302"/>
      <c r="DZH7" s="302"/>
      <c r="DZI7" s="302"/>
      <c r="DZJ7" s="302"/>
      <c r="DZK7" s="302"/>
      <c r="DZL7" s="302"/>
      <c r="DZM7" s="302"/>
      <c r="DZN7" s="302"/>
      <c r="DZO7" s="302"/>
      <c r="DZP7" s="302"/>
      <c r="DZQ7" s="302"/>
      <c r="DZR7" s="302"/>
      <c r="DZS7" s="302"/>
      <c r="DZT7" s="302"/>
      <c r="DZU7" s="302"/>
      <c r="DZV7" s="302"/>
      <c r="DZW7" s="302"/>
      <c r="DZX7" s="302"/>
      <c r="DZY7" s="302"/>
      <c r="DZZ7" s="302"/>
      <c r="EAA7" s="302"/>
      <c r="EAB7" s="302"/>
      <c r="EAC7" s="302"/>
      <c r="EAD7" s="302"/>
      <c r="EAE7" s="302"/>
      <c r="EAF7" s="302"/>
      <c r="EAG7" s="302"/>
      <c r="EAH7" s="302"/>
      <c r="EAI7" s="302"/>
      <c r="EAJ7" s="302"/>
      <c r="EAK7" s="302"/>
      <c r="EAL7" s="302"/>
      <c r="EAM7" s="302"/>
      <c r="EAN7" s="302"/>
      <c r="EAO7" s="302"/>
      <c r="EAP7" s="302"/>
      <c r="EAQ7" s="302"/>
      <c r="EAR7" s="302"/>
      <c r="EAS7" s="302"/>
      <c r="EAT7" s="302"/>
      <c r="EAU7" s="302"/>
      <c r="EAV7" s="302"/>
      <c r="EAW7" s="302"/>
      <c r="EAX7" s="302"/>
      <c r="EAY7" s="302"/>
      <c r="EAZ7" s="302"/>
      <c r="EBA7" s="302"/>
      <c r="EBB7" s="302"/>
      <c r="EBC7" s="302"/>
      <c r="EBD7" s="302"/>
      <c r="EBE7" s="302"/>
      <c r="EBF7" s="302"/>
      <c r="EBG7" s="302"/>
      <c r="EBH7" s="302"/>
      <c r="EBI7" s="302"/>
      <c r="EBJ7" s="302"/>
      <c r="EBK7" s="302"/>
      <c r="EBL7" s="302"/>
      <c r="EBM7" s="302"/>
      <c r="EBN7" s="302"/>
      <c r="EBO7" s="302"/>
      <c r="EBP7" s="302"/>
      <c r="EBQ7" s="302"/>
      <c r="EBR7" s="302"/>
      <c r="EBS7" s="302"/>
      <c r="EBT7" s="302"/>
      <c r="EBU7" s="302"/>
      <c r="EBV7" s="302"/>
      <c r="EBW7" s="302"/>
      <c r="EBX7" s="302"/>
      <c r="EBY7" s="302"/>
      <c r="EBZ7" s="302"/>
      <c r="ECA7" s="302"/>
      <c r="ECB7" s="302"/>
      <c r="ECC7" s="302"/>
      <c r="ECD7" s="302"/>
      <c r="ECE7" s="302"/>
      <c r="ECF7" s="302"/>
      <c r="ECG7" s="302"/>
      <c r="ECH7" s="302"/>
      <c r="ECI7" s="302"/>
      <c r="ECJ7" s="302"/>
      <c r="ECK7" s="302"/>
      <c r="ECL7" s="302"/>
      <c r="ECM7" s="302"/>
      <c r="ECN7" s="302"/>
      <c r="ECO7" s="302"/>
      <c r="ECP7" s="302"/>
      <c r="ECQ7" s="302"/>
      <c r="ECR7" s="302"/>
      <c r="ECS7" s="302"/>
      <c r="ECT7" s="302"/>
      <c r="ECU7" s="302"/>
      <c r="ECV7" s="302"/>
      <c r="ECW7" s="302"/>
      <c r="ECX7" s="302"/>
      <c r="ECY7" s="302"/>
      <c r="ECZ7" s="302"/>
      <c r="EDA7" s="302"/>
      <c r="EDB7" s="302"/>
      <c r="EDC7" s="302"/>
      <c r="EDD7" s="302"/>
      <c r="EDE7" s="302"/>
      <c r="EDF7" s="302"/>
      <c r="EDG7" s="302"/>
      <c r="EDH7" s="302"/>
      <c r="EDI7" s="302"/>
      <c r="EDJ7" s="302"/>
      <c r="EDK7" s="302"/>
      <c r="EDL7" s="302"/>
      <c r="EDM7" s="302"/>
      <c r="EDN7" s="302"/>
      <c r="EDO7" s="302"/>
      <c r="EDP7" s="302"/>
      <c r="EDQ7" s="302"/>
      <c r="EDR7" s="302"/>
      <c r="EDS7" s="302"/>
      <c r="EDT7" s="302"/>
      <c r="EDU7" s="302"/>
      <c r="EDV7" s="302"/>
      <c r="EDW7" s="302"/>
      <c r="EDX7" s="302"/>
      <c r="EDY7" s="302"/>
      <c r="EDZ7" s="302"/>
      <c r="EEA7" s="302"/>
      <c r="EEB7" s="302"/>
      <c r="EEC7" s="302"/>
      <c r="EED7" s="302"/>
      <c r="EEE7" s="302"/>
      <c r="EEF7" s="302"/>
      <c r="EEG7" s="302"/>
      <c r="EEH7" s="302"/>
      <c r="EEI7" s="302"/>
      <c r="EEJ7" s="302"/>
      <c r="EEK7" s="302"/>
      <c r="EEL7" s="302"/>
      <c r="EEM7" s="302"/>
      <c r="EEN7" s="302"/>
      <c r="EEO7" s="302"/>
      <c r="EEP7" s="302"/>
      <c r="EEQ7" s="302"/>
      <c r="EER7" s="302"/>
      <c r="EES7" s="302"/>
      <c r="EET7" s="302"/>
      <c r="EEU7" s="302"/>
      <c r="EEV7" s="302"/>
      <c r="EEW7" s="302"/>
      <c r="EEX7" s="302"/>
      <c r="EEY7" s="302"/>
      <c r="EEZ7" s="302"/>
      <c r="EFA7" s="302"/>
      <c r="EFB7" s="302"/>
      <c r="EFC7" s="302"/>
      <c r="EFD7" s="302"/>
      <c r="EFE7" s="302"/>
      <c r="EFF7" s="302"/>
      <c r="EFG7" s="302"/>
      <c r="EFH7" s="302"/>
      <c r="EFI7" s="302"/>
      <c r="EFJ7" s="302"/>
      <c r="EFK7" s="302"/>
      <c r="EFL7" s="302"/>
      <c r="EFM7" s="302"/>
      <c r="EFN7" s="302"/>
      <c r="EFO7" s="302"/>
      <c r="EFP7" s="302"/>
      <c r="EFQ7" s="302"/>
      <c r="EFR7" s="302"/>
      <c r="EFS7" s="302"/>
      <c r="EFT7" s="302"/>
      <c r="EFU7" s="302"/>
      <c r="EFV7" s="302"/>
      <c r="EFW7" s="302"/>
      <c r="EFX7" s="302"/>
      <c r="EFY7" s="302"/>
      <c r="EFZ7" s="302"/>
      <c r="EGA7" s="302"/>
      <c r="EGB7" s="302"/>
      <c r="EGC7" s="302"/>
      <c r="EGD7" s="302"/>
      <c r="EGE7" s="302"/>
      <c r="EGF7" s="302"/>
      <c r="EGG7" s="302"/>
      <c r="EGH7" s="302"/>
      <c r="EGI7" s="302"/>
      <c r="EGJ7" s="302"/>
      <c r="EGK7" s="302"/>
      <c r="EGL7" s="302"/>
      <c r="EGM7" s="302"/>
      <c r="EGN7" s="302"/>
      <c r="EGO7" s="302"/>
      <c r="EGP7" s="302"/>
      <c r="EGQ7" s="302"/>
      <c r="EGR7" s="302"/>
      <c r="EGS7" s="302"/>
      <c r="EGT7" s="302"/>
      <c r="EGU7" s="302"/>
      <c r="EGV7" s="302"/>
      <c r="EGW7" s="302"/>
      <c r="EGX7" s="302"/>
      <c r="EGY7" s="302"/>
      <c r="EGZ7" s="302"/>
      <c r="EHA7" s="302"/>
      <c r="EHB7" s="302"/>
      <c r="EHC7" s="302"/>
      <c r="EHD7" s="302"/>
      <c r="EHE7" s="302"/>
      <c r="EHF7" s="302"/>
      <c r="EHG7" s="302"/>
      <c r="EHH7" s="302"/>
      <c r="EHI7" s="302"/>
      <c r="EHJ7" s="302"/>
      <c r="EHK7" s="302"/>
      <c r="EHL7" s="302"/>
      <c r="EHM7" s="302"/>
      <c r="EHN7" s="302"/>
      <c r="EHO7" s="302"/>
      <c r="EHP7" s="302"/>
      <c r="EHQ7" s="302"/>
      <c r="EHR7" s="302"/>
      <c r="EHS7" s="302"/>
      <c r="EHT7" s="302"/>
      <c r="EHU7" s="302"/>
      <c r="EHV7" s="302"/>
      <c r="EHW7" s="302"/>
      <c r="EHX7" s="302"/>
      <c r="EHY7" s="302"/>
      <c r="EHZ7" s="302"/>
      <c r="EIA7" s="302"/>
      <c r="EIB7" s="302"/>
      <c r="EIC7" s="302"/>
      <c r="EID7" s="302"/>
      <c r="EIE7" s="302"/>
      <c r="EIF7" s="302"/>
      <c r="EIG7" s="302"/>
      <c r="EIH7" s="302"/>
      <c r="EII7" s="302"/>
      <c r="EIJ7" s="302"/>
      <c r="EIK7" s="302"/>
      <c r="EIL7" s="302"/>
      <c r="EIM7" s="302"/>
      <c r="EIN7" s="302"/>
      <c r="EIO7" s="302"/>
      <c r="EIP7" s="302"/>
      <c r="EIQ7" s="302"/>
      <c r="EIR7" s="302"/>
      <c r="EIS7" s="302"/>
      <c r="EIT7" s="302"/>
      <c r="EIU7" s="302"/>
      <c r="EIV7" s="302"/>
      <c r="EIW7" s="302"/>
      <c r="EIX7" s="302"/>
      <c r="EIY7" s="302"/>
      <c r="EIZ7" s="302"/>
      <c r="EJA7" s="302"/>
      <c r="EJB7" s="302"/>
      <c r="EJC7" s="302"/>
      <c r="EJD7" s="302"/>
      <c r="EJE7" s="302"/>
      <c r="EJF7" s="302"/>
      <c r="EJG7" s="302"/>
      <c r="EJH7" s="302"/>
      <c r="EJI7" s="302"/>
      <c r="EJJ7" s="302"/>
      <c r="EJK7" s="302"/>
      <c r="EJL7" s="302"/>
      <c r="EJM7" s="302"/>
      <c r="EJN7" s="302"/>
      <c r="EJO7" s="302"/>
      <c r="EJP7" s="302"/>
      <c r="EJQ7" s="302"/>
      <c r="EJR7" s="302"/>
      <c r="EJS7" s="302"/>
      <c r="EJT7" s="302"/>
      <c r="EJU7" s="302"/>
      <c r="EJV7" s="302"/>
      <c r="EJW7" s="302"/>
      <c r="EJX7" s="302"/>
      <c r="EJY7" s="302"/>
      <c r="EJZ7" s="302"/>
      <c r="EKA7" s="302"/>
      <c r="EKB7" s="302"/>
      <c r="EKC7" s="302"/>
      <c r="EKD7" s="302"/>
      <c r="EKE7" s="302"/>
      <c r="EKF7" s="302"/>
      <c r="EKG7" s="302"/>
      <c r="EKH7" s="302"/>
      <c r="EKI7" s="302"/>
      <c r="EKJ7" s="302"/>
      <c r="EKK7" s="302"/>
      <c r="EKL7" s="302"/>
      <c r="EKM7" s="302"/>
      <c r="EKN7" s="302"/>
      <c r="EKO7" s="302"/>
      <c r="EKP7" s="302"/>
      <c r="EKQ7" s="302"/>
      <c r="EKR7" s="302"/>
      <c r="EKS7" s="302"/>
      <c r="EKT7" s="302"/>
      <c r="EKU7" s="302"/>
      <c r="EKV7" s="302"/>
      <c r="EKW7" s="302"/>
      <c r="EKX7" s="302"/>
      <c r="EKY7" s="302"/>
      <c r="EKZ7" s="302"/>
      <c r="ELA7" s="302"/>
      <c r="ELB7" s="302"/>
      <c r="ELC7" s="302"/>
      <c r="ELD7" s="302"/>
      <c r="ELE7" s="302"/>
      <c r="ELF7" s="302"/>
      <c r="ELG7" s="302"/>
      <c r="ELH7" s="302"/>
      <c r="ELI7" s="302"/>
      <c r="ELJ7" s="302"/>
      <c r="ELK7" s="302"/>
      <c r="ELL7" s="302"/>
      <c r="ELM7" s="302"/>
      <c r="ELN7" s="302"/>
      <c r="ELO7" s="302"/>
      <c r="ELP7" s="302"/>
      <c r="ELQ7" s="302"/>
      <c r="ELR7" s="302"/>
      <c r="ELS7" s="302"/>
      <c r="ELT7" s="302"/>
      <c r="ELU7" s="302"/>
      <c r="ELV7" s="302"/>
      <c r="ELW7" s="302"/>
      <c r="ELX7" s="302"/>
      <c r="ELY7" s="302"/>
      <c r="ELZ7" s="302"/>
      <c r="EMA7" s="302"/>
      <c r="EMB7" s="302"/>
      <c r="EMC7" s="302"/>
      <c r="EMD7" s="302"/>
      <c r="EME7" s="302"/>
      <c r="EMF7" s="302"/>
      <c r="EMG7" s="302"/>
      <c r="EMH7" s="302"/>
      <c r="EMI7" s="302"/>
      <c r="EMJ7" s="302"/>
      <c r="EMK7" s="302"/>
      <c r="EML7" s="302"/>
      <c r="EMM7" s="302"/>
      <c r="EMN7" s="302"/>
      <c r="EMO7" s="302"/>
      <c r="EMP7" s="302"/>
      <c r="EMQ7" s="302"/>
      <c r="EMR7" s="302"/>
      <c r="EMS7" s="302"/>
      <c r="EMT7" s="302"/>
      <c r="EMU7" s="302"/>
      <c r="EMV7" s="302"/>
      <c r="EMW7" s="302"/>
      <c r="EMX7" s="302"/>
      <c r="EMY7" s="302"/>
      <c r="EMZ7" s="302"/>
      <c r="ENA7" s="302"/>
      <c r="ENB7" s="302"/>
      <c r="ENC7" s="302"/>
      <c r="END7" s="302"/>
      <c r="ENE7" s="302"/>
      <c r="ENF7" s="302"/>
      <c r="ENG7" s="302"/>
      <c r="ENH7" s="302"/>
      <c r="ENI7" s="302"/>
      <c r="ENJ7" s="302"/>
      <c r="ENK7" s="302"/>
      <c r="ENL7" s="302"/>
      <c r="ENM7" s="302"/>
      <c r="ENN7" s="302"/>
      <c r="ENO7" s="302"/>
      <c r="ENP7" s="302"/>
      <c r="ENQ7" s="302"/>
      <c r="ENR7" s="302"/>
      <c r="ENS7" s="302"/>
      <c r="ENT7" s="302"/>
      <c r="ENU7" s="302"/>
      <c r="ENV7" s="302"/>
      <c r="ENW7" s="302"/>
      <c r="ENX7" s="302"/>
      <c r="ENY7" s="302"/>
      <c r="ENZ7" s="302"/>
      <c r="EOA7" s="302"/>
      <c r="EOB7" s="302"/>
      <c r="EOC7" s="302"/>
      <c r="EOD7" s="302"/>
      <c r="EOE7" s="302"/>
      <c r="EOF7" s="302"/>
      <c r="EOG7" s="302"/>
      <c r="EOH7" s="302"/>
      <c r="EOI7" s="302"/>
      <c r="EOJ7" s="302"/>
      <c r="EOK7" s="302"/>
      <c r="EOL7" s="302"/>
      <c r="EOM7" s="302"/>
      <c r="EON7" s="302"/>
      <c r="EOO7" s="302"/>
      <c r="EOP7" s="302"/>
      <c r="EOQ7" s="302"/>
      <c r="EOR7" s="302"/>
      <c r="EOS7" s="302"/>
      <c r="EOT7" s="302"/>
      <c r="EOU7" s="302"/>
      <c r="EOV7" s="302"/>
      <c r="EOW7" s="302"/>
      <c r="EOX7" s="302"/>
      <c r="EOY7" s="302"/>
      <c r="EOZ7" s="302"/>
      <c r="EPA7" s="302"/>
      <c r="EPB7" s="302"/>
      <c r="EPC7" s="302"/>
      <c r="EPD7" s="302"/>
      <c r="EPE7" s="302"/>
      <c r="EPF7" s="302"/>
      <c r="EPG7" s="302"/>
      <c r="EPH7" s="302"/>
      <c r="EPI7" s="302"/>
      <c r="EPJ7" s="302"/>
      <c r="EPK7" s="302"/>
      <c r="EPL7" s="302"/>
      <c r="EPM7" s="302"/>
      <c r="EPN7" s="302"/>
      <c r="EPO7" s="302"/>
      <c r="EPP7" s="302"/>
      <c r="EPQ7" s="302"/>
      <c r="EPR7" s="302"/>
      <c r="EPS7" s="302"/>
      <c r="EPT7" s="302"/>
      <c r="EPU7" s="302"/>
      <c r="EPV7" s="302"/>
      <c r="EPW7" s="302"/>
      <c r="EPX7" s="302"/>
      <c r="EPY7" s="302"/>
      <c r="EPZ7" s="302"/>
      <c r="EQA7" s="302"/>
      <c r="EQB7" s="302"/>
      <c r="EQC7" s="302"/>
      <c r="EQD7" s="302"/>
      <c r="EQE7" s="302"/>
      <c r="EQF7" s="302"/>
      <c r="EQG7" s="302"/>
      <c r="EQH7" s="302"/>
      <c r="EQI7" s="302"/>
      <c r="EQJ7" s="302"/>
      <c r="EQK7" s="302"/>
      <c r="EQL7" s="302"/>
      <c r="EQM7" s="302"/>
      <c r="EQN7" s="302"/>
      <c r="EQO7" s="302"/>
      <c r="EQP7" s="302"/>
      <c r="EQQ7" s="302"/>
      <c r="EQR7" s="302"/>
      <c r="EQS7" s="302"/>
      <c r="EQT7" s="302"/>
      <c r="EQU7" s="302"/>
      <c r="EQV7" s="302"/>
      <c r="EQW7" s="302"/>
      <c r="EQX7" s="302"/>
      <c r="EQY7" s="302"/>
      <c r="EQZ7" s="302"/>
      <c r="ERA7" s="302"/>
      <c r="ERB7" s="302"/>
      <c r="ERC7" s="302"/>
      <c r="ERD7" s="302"/>
      <c r="ERE7" s="302"/>
      <c r="ERF7" s="302"/>
      <c r="ERG7" s="302"/>
      <c r="ERH7" s="302"/>
      <c r="ERI7" s="302"/>
      <c r="ERJ7" s="302"/>
      <c r="ERK7" s="302"/>
      <c r="ERL7" s="302"/>
      <c r="ERM7" s="302"/>
      <c r="ERN7" s="302"/>
      <c r="ERO7" s="302"/>
      <c r="ERP7" s="302"/>
      <c r="ERQ7" s="302"/>
      <c r="ERR7" s="302"/>
      <c r="ERS7" s="302"/>
      <c r="ERT7" s="302"/>
      <c r="ERU7" s="302"/>
      <c r="ERV7" s="302"/>
      <c r="ERW7" s="302"/>
      <c r="ERX7" s="302"/>
      <c r="ERY7" s="302"/>
      <c r="ERZ7" s="302"/>
      <c r="ESA7" s="302"/>
      <c r="ESB7" s="302"/>
      <c r="ESC7" s="302"/>
      <c r="ESD7" s="302"/>
      <c r="ESE7" s="302"/>
      <c r="ESF7" s="302"/>
      <c r="ESG7" s="302"/>
      <c r="ESH7" s="302"/>
      <c r="ESI7" s="302"/>
      <c r="ESJ7" s="302"/>
      <c r="ESK7" s="302"/>
      <c r="ESL7" s="302"/>
      <c r="ESM7" s="302"/>
      <c r="ESN7" s="302"/>
      <c r="ESO7" s="302"/>
      <c r="ESP7" s="302"/>
      <c r="ESQ7" s="302"/>
      <c r="ESR7" s="302"/>
      <c r="ESS7" s="302"/>
      <c r="EST7" s="302"/>
      <c r="ESU7" s="302"/>
      <c r="ESV7" s="302"/>
      <c r="ESW7" s="302"/>
      <c r="ESX7" s="302"/>
      <c r="ESY7" s="302"/>
      <c r="ESZ7" s="302"/>
      <c r="ETA7" s="302"/>
      <c r="ETB7" s="302"/>
      <c r="ETC7" s="302"/>
      <c r="ETD7" s="302"/>
      <c r="ETE7" s="302"/>
      <c r="ETF7" s="302"/>
      <c r="ETG7" s="302"/>
      <c r="ETH7" s="302"/>
      <c r="ETI7" s="302"/>
      <c r="ETJ7" s="302"/>
      <c r="ETK7" s="302"/>
      <c r="ETL7" s="302"/>
      <c r="ETM7" s="302"/>
      <c r="ETN7" s="302"/>
      <c r="ETO7" s="302"/>
      <c r="ETP7" s="302"/>
      <c r="ETQ7" s="302"/>
      <c r="ETR7" s="302"/>
      <c r="ETS7" s="302"/>
      <c r="ETT7" s="302"/>
      <c r="ETU7" s="302"/>
      <c r="ETV7" s="302"/>
      <c r="ETW7" s="302"/>
      <c r="ETX7" s="302"/>
      <c r="ETY7" s="302"/>
      <c r="ETZ7" s="302"/>
      <c r="EUA7" s="302"/>
      <c r="EUB7" s="302"/>
      <c r="EUC7" s="302"/>
      <c r="EUD7" s="302"/>
      <c r="EUE7" s="302"/>
      <c r="EUF7" s="302"/>
      <c r="EUG7" s="302"/>
      <c r="EUH7" s="302"/>
      <c r="EUI7" s="302"/>
      <c r="EUJ7" s="302"/>
      <c r="EUK7" s="302"/>
      <c r="EUL7" s="302"/>
      <c r="EUM7" s="302"/>
      <c r="EUN7" s="302"/>
      <c r="EUO7" s="302"/>
      <c r="EUP7" s="302"/>
      <c r="EUQ7" s="302"/>
      <c r="EUR7" s="302"/>
      <c r="EUS7" s="302"/>
      <c r="EUT7" s="302"/>
      <c r="EUU7" s="302"/>
      <c r="EUV7" s="302"/>
      <c r="EUW7" s="302"/>
      <c r="EUX7" s="302"/>
      <c r="EUY7" s="302"/>
      <c r="EUZ7" s="302"/>
      <c r="EVA7" s="302"/>
      <c r="EVB7" s="302"/>
      <c r="EVC7" s="302"/>
      <c r="EVD7" s="302"/>
      <c r="EVE7" s="302"/>
      <c r="EVF7" s="302"/>
      <c r="EVG7" s="302"/>
      <c r="EVH7" s="302"/>
      <c r="EVI7" s="302"/>
      <c r="EVJ7" s="302"/>
      <c r="EVK7" s="302"/>
      <c r="EVL7" s="302"/>
      <c r="EVM7" s="302"/>
      <c r="EVN7" s="302"/>
      <c r="EVO7" s="302"/>
      <c r="EVP7" s="302"/>
      <c r="EVQ7" s="302"/>
      <c r="EVR7" s="302"/>
      <c r="EVS7" s="302"/>
      <c r="EVT7" s="302"/>
      <c r="EVU7" s="302"/>
      <c r="EVV7" s="302"/>
      <c r="EVW7" s="302"/>
      <c r="EVX7" s="302"/>
      <c r="EVY7" s="302"/>
      <c r="EVZ7" s="302"/>
      <c r="EWA7" s="302"/>
      <c r="EWB7" s="302"/>
      <c r="EWC7" s="302"/>
      <c r="EWD7" s="302"/>
      <c r="EWE7" s="302"/>
      <c r="EWF7" s="302"/>
      <c r="EWG7" s="302"/>
      <c r="EWH7" s="302"/>
      <c r="EWI7" s="302"/>
      <c r="EWJ7" s="302"/>
      <c r="EWK7" s="302"/>
      <c r="EWL7" s="302"/>
      <c r="EWM7" s="302"/>
      <c r="EWN7" s="302"/>
      <c r="EWO7" s="302"/>
      <c r="EWP7" s="302"/>
      <c r="EWQ7" s="302"/>
      <c r="EWR7" s="302"/>
      <c r="EWS7" s="302"/>
      <c r="EWT7" s="302"/>
      <c r="EWU7" s="302"/>
      <c r="EWV7" s="302"/>
      <c r="EWW7" s="302"/>
      <c r="EWX7" s="302"/>
      <c r="EWY7" s="302"/>
      <c r="EWZ7" s="302"/>
      <c r="EXA7" s="302"/>
      <c r="EXB7" s="302"/>
      <c r="EXC7" s="302"/>
      <c r="EXD7" s="302"/>
      <c r="EXE7" s="302"/>
      <c r="EXF7" s="302"/>
      <c r="EXG7" s="302"/>
      <c r="EXH7" s="302"/>
      <c r="EXI7" s="302"/>
      <c r="EXJ7" s="302"/>
      <c r="EXK7" s="302"/>
      <c r="EXL7" s="302"/>
      <c r="EXM7" s="302"/>
      <c r="EXN7" s="302"/>
      <c r="EXO7" s="302"/>
      <c r="EXP7" s="302"/>
      <c r="EXQ7" s="302"/>
      <c r="EXR7" s="302"/>
      <c r="EXS7" s="302"/>
      <c r="EXT7" s="302"/>
      <c r="EXU7" s="302"/>
      <c r="EXV7" s="302"/>
      <c r="EXW7" s="302"/>
      <c r="EXX7" s="302"/>
      <c r="EXY7" s="302"/>
      <c r="EXZ7" s="302"/>
      <c r="EYA7" s="302"/>
      <c r="EYB7" s="302"/>
      <c r="EYC7" s="302"/>
      <c r="EYD7" s="302"/>
      <c r="EYE7" s="302"/>
      <c r="EYF7" s="302"/>
      <c r="EYG7" s="302"/>
      <c r="EYH7" s="302"/>
      <c r="EYI7" s="302"/>
      <c r="EYJ7" s="302"/>
      <c r="EYK7" s="302"/>
      <c r="EYL7" s="302"/>
      <c r="EYM7" s="302"/>
      <c r="EYN7" s="302"/>
      <c r="EYO7" s="302"/>
      <c r="EYP7" s="302"/>
      <c r="EYQ7" s="302"/>
      <c r="EYR7" s="302"/>
      <c r="EYS7" s="302"/>
      <c r="EYT7" s="302"/>
      <c r="EYU7" s="302"/>
      <c r="EYV7" s="302"/>
      <c r="EYW7" s="302"/>
      <c r="EYX7" s="302"/>
      <c r="EYY7" s="302"/>
      <c r="EYZ7" s="302"/>
      <c r="EZA7" s="302"/>
      <c r="EZB7" s="302"/>
      <c r="EZC7" s="302"/>
      <c r="EZD7" s="302"/>
      <c r="EZE7" s="302"/>
      <c r="EZF7" s="302"/>
      <c r="EZG7" s="302"/>
      <c r="EZH7" s="302"/>
      <c r="EZI7" s="302"/>
      <c r="EZJ7" s="302"/>
      <c r="EZK7" s="302"/>
      <c r="EZL7" s="302"/>
      <c r="EZM7" s="302"/>
      <c r="EZN7" s="302"/>
      <c r="EZO7" s="302"/>
      <c r="EZP7" s="302"/>
      <c r="EZQ7" s="302"/>
      <c r="EZR7" s="302"/>
      <c r="EZS7" s="302"/>
      <c r="EZT7" s="302"/>
      <c r="EZU7" s="302"/>
      <c r="EZV7" s="302"/>
      <c r="EZW7" s="302"/>
      <c r="EZX7" s="302"/>
      <c r="EZY7" s="302"/>
      <c r="EZZ7" s="302"/>
      <c r="FAA7" s="302"/>
      <c r="FAB7" s="302"/>
      <c r="FAC7" s="302"/>
      <c r="FAD7" s="302"/>
      <c r="FAE7" s="302"/>
      <c r="FAF7" s="302"/>
      <c r="FAG7" s="302"/>
      <c r="FAH7" s="302"/>
      <c r="FAI7" s="302"/>
      <c r="FAJ7" s="302"/>
      <c r="FAK7" s="302"/>
      <c r="FAL7" s="302"/>
      <c r="FAM7" s="302"/>
      <c r="FAN7" s="302"/>
      <c r="FAO7" s="302"/>
      <c r="FAP7" s="302"/>
      <c r="FAQ7" s="302"/>
      <c r="FAR7" s="302"/>
      <c r="FAS7" s="302"/>
      <c r="FAT7" s="302"/>
      <c r="FAU7" s="302"/>
      <c r="FAV7" s="302"/>
      <c r="FAW7" s="302"/>
      <c r="FAX7" s="302"/>
      <c r="FAY7" s="302"/>
      <c r="FAZ7" s="302"/>
      <c r="FBA7" s="302"/>
      <c r="FBB7" s="302"/>
      <c r="FBC7" s="302"/>
      <c r="FBD7" s="302"/>
      <c r="FBE7" s="302"/>
      <c r="FBF7" s="302"/>
      <c r="FBG7" s="302"/>
      <c r="FBH7" s="302"/>
      <c r="FBI7" s="302"/>
      <c r="FBJ7" s="302"/>
      <c r="FBK7" s="302"/>
      <c r="FBL7" s="302"/>
      <c r="FBM7" s="302"/>
      <c r="FBN7" s="302"/>
      <c r="FBO7" s="302"/>
      <c r="FBP7" s="302"/>
      <c r="FBQ7" s="302"/>
      <c r="FBR7" s="302"/>
      <c r="FBS7" s="302"/>
      <c r="FBT7" s="302"/>
      <c r="FBU7" s="302"/>
      <c r="FBV7" s="302"/>
      <c r="FBW7" s="302"/>
      <c r="FBX7" s="302"/>
      <c r="FBY7" s="302"/>
      <c r="FBZ7" s="302"/>
      <c r="FCA7" s="302"/>
      <c r="FCB7" s="302"/>
      <c r="FCC7" s="302"/>
      <c r="FCD7" s="302"/>
      <c r="FCE7" s="302"/>
      <c r="FCF7" s="302"/>
      <c r="FCG7" s="302"/>
      <c r="FCH7" s="302"/>
      <c r="FCI7" s="302"/>
      <c r="FCJ7" s="302"/>
      <c r="FCK7" s="302"/>
      <c r="FCL7" s="302"/>
      <c r="FCM7" s="302"/>
      <c r="FCN7" s="302"/>
      <c r="FCO7" s="302"/>
      <c r="FCP7" s="302"/>
      <c r="FCQ7" s="302"/>
      <c r="FCR7" s="302"/>
      <c r="FCS7" s="302"/>
      <c r="FCT7" s="302"/>
      <c r="FCU7" s="302"/>
      <c r="FCV7" s="302"/>
      <c r="FCW7" s="302"/>
      <c r="FCX7" s="302"/>
      <c r="FCY7" s="302"/>
      <c r="FCZ7" s="302"/>
      <c r="FDA7" s="302"/>
      <c r="FDB7" s="302"/>
      <c r="FDC7" s="302"/>
      <c r="FDD7" s="302"/>
      <c r="FDE7" s="302"/>
      <c r="FDF7" s="302"/>
      <c r="FDG7" s="302"/>
      <c r="FDH7" s="302"/>
      <c r="FDI7" s="302"/>
      <c r="FDJ7" s="302"/>
      <c r="FDK7" s="302"/>
      <c r="FDL7" s="302"/>
      <c r="FDM7" s="302"/>
      <c r="FDN7" s="302"/>
      <c r="FDO7" s="302"/>
      <c r="FDP7" s="302"/>
      <c r="FDQ7" s="302"/>
      <c r="FDR7" s="302"/>
      <c r="FDS7" s="302"/>
      <c r="FDT7" s="302"/>
      <c r="FDU7" s="302"/>
      <c r="FDV7" s="302"/>
      <c r="FDW7" s="302"/>
      <c r="FDX7" s="302"/>
      <c r="FDY7" s="302"/>
      <c r="FDZ7" s="302"/>
      <c r="FEA7" s="302"/>
      <c r="FEB7" s="302"/>
      <c r="FEC7" s="302"/>
      <c r="FED7" s="302"/>
      <c r="FEE7" s="302"/>
      <c r="FEF7" s="302"/>
      <c r="FEG7" s="302"/>
      <c r="FEH7" s="302"/>
      <c r="FEI7" s="302"/>
      <c r="FEJ7" s="302"/>
      <c r="FEK7" s="302"/>
      <c r="FEL7" s="302"/>
      <c r="FEM7" s="302"/>
      <c r="FEN7" s="302"/>
      <c r="FEO7" s="302"/>
      <c r="FEP7" s="302"/>
      <c r="FEQ7" s="302"/>
      <c r="FER7" s="302"/>
      <c r="FES7" s="302"/>
      <c r="FET7" s="302"/>
      <c r="FEU7" s="302"/>
      <c r="FEV7" s="302"/>
      <c r="FEW7" s="302"/>
      <c r="FEX7" s="302"/>
      <c r="FEY7" s="302"/>
      <c r="FEZ7" s="302"/>
      <c r="FFA7" s="302"/>
      <c r="FFB7" s="302"/>
      <c r="FFC7" s="302"/>
      <c r="FFD7" s="302"/>
      <c r="FFE7" s="302"/>
      <c r="FFF7" s="302"/>
      <c r="FFG7" s="302"/>
      <c r="FFH7" s="302"/>
      <c r="FFI7" s="302"/>
      <c r="FFJ7" s="302"/>
      <c r="FFK7" s="302"/>
      <c r="FFL7" s="302"/>
      <c r="FFM7" s="302"/>
      <c r="FFN7" s="302"/>
      <c r="FFO7" s="302"/>
      <c r="FFP7" s="302"/>
      <c r="FFQ7" s="302"/>
      <c r="FFR7" s="302"/>
      <c r="FFS7" s="302"/>
      <c r="FFT7" s="302"/>
      <c r="FFU7" s="302"/>
      <c r="FFV7" s="302"/>
      <c r="FFW7" s="302"/>
      <c r="FFX7" s="302"/>
      <c r="FFY7" s="302"/>
      <c r="FFZ7" s="302"/>
      <c r="FGA7" s="302"/>
      <c r="FGB7" s="302"/>
      <c r="FGC7" s="302"/>
      <c r="FGD7" s="302"/>
      <c r="FGE7" s="302"/>
      <c r="FGF7" s="302"/>
      <c r="FGG7" s="302"/>
      <c r="FGH7" s="302"/>
      <c r="FGI7" s="302"/>
      <c r="FGJ7" s="302"/>
      <c r="FGK7" s="302"/>
      <c r="FGL7" s="302"/>
      <c r="FGM7" s="302"/>
      <c r="FGN7" s="302"/>
      <c r="FGO7" s="302"/>
      <c r="FGP7" s="302"/>
      <c r="FGQ7" s="302"/>
      <c r="FGR7" s="302"/>
      <c r="FGS7" s="302"/>
      <c r="FGT7" s="302"/>
      <c r="FGU7" s="302"/>
      <c r="FGV7" s="302"/>
      <c r="FGW7" s="302"/>
      <c r="FGX7" s="302"/>
      <c r="FGY7" s="302"/>
      <c r="FGZ7" s="302"/>
      <c r="FHA7" s="302"/>
      <c r="FHB7" s="302"/>
      <c r="FHC7" s="302"/>
      <c r="FHD7" s="302"/>
      <c r="FHE7" s="302"/>
      <c r="FHF7" s="302"/>
      <c r="FHG7" s="302"/>
      <c r="FHH7" s="302"/>
      <c r="FHI7" s="302"/>
      <c r="FHJ7" s="302"/>
      <c r="FHK7" s="302"/>
      <c r="FHL7" s="302"/>
      <c r="FHM7" s="302"/>
      <c r="FHN7" s="302"/>
      <c r="FHO7" s="302"/>
      <c r="FHP7" s="302"/>
      <c r="FHQ7" s="302"/>
      <c r="FHR7" s="302"/>
      <c r="FHS7" s="302"/>
      <c r="FHT7" s="302"/>
      <c r="FHU7" s="302"/>
      <c r="FHV7" s="302"/>
      <c r="FHW7" s="302"/>
      <c r="FHX7" s="302"/>
      <c r="FHY7" s="302"/>
      <c r="FHZ7" s="302"/>
      <c r="FIA7" s="302"/>
      <c r="FIB7" s="302"/>
      <c r="FIC7" s="302"/>
      <c r="FID7" s="302"/>
      <c r="FIE7" s="302"/>
      <c r="FIF7" s="302"/>
      <c r="FIG7" s="302"/>
      <c r="FIH7" s="302"/>
      <c r="FII7" s="302"/>
      <c r="FIJ7" s="302"/>
      <c r="FIK7" s="302"/>
      <c r="FIL7" s="302"/>
      <c r="FIM7" s="302"/>
      <c r="FIN7" s="302"/>
      <c r="FIO7" s="302"/>
      <c r="FIP7" s="302"/>
      <c r="FIQ7" s="302"/>
      <c r="FIR7" s="302"/>
      <c r="FIS7" s="302"/>
      <c r="FIT7" s="302"/>
      <c r="FIU7" s="302"/>
      <c r="FIV7" s="302"/>
      <c r="FIW7" s="302"/>
      <c r="FIX7" s="302"/>
      <c r="FIY7" s="302"/>
      <c r="FIZ7" s="302"/>
      <c r="FJA7" s="302"/>
      <c r="FJB7" s="302"/>
      <c r="FJC7" s="302"/>
      <c r="FJD7" s="302"/>
      <c r="FJE7" s="302"/>
      <c r="FJF7" s="302"/>
      <c r="FJG7" s="302"/>
      <c r="FJH7" s="302"/>
      <c r="FJI7" s="302"/>
      <c r="FJJ7" s="302"/>
      <c r="FJK7" s="302"/>
      <c r="FJL7" s="302"/>
      <c r="FJM7" s="302"/>
      <c r="FJN7" s="302"/>
      <c r="FJO7" s="302"/>
      <c r="FJP7" s="302"/>
      <c r="FJQ7" s="302"/>
      <c r="FJR7" s="302"/>
      <c r="FJS7" s="302"/>
      <c r="FJT7" s="302"/>
      <c r="FJU7" s="302"/>
      <c r="FJV7" s="302"/>
      <c r="FJW7" s="302"/>
      <c r="FJX7" s="302"/>
      <c r="FJY7" s="302"/>
      <c r="FJZ7" s="302"/>
      <c r="FKA7" s="302"/>
      <c r="FKB7" s="302"/>
      <c r="FKC7" s="302"/>
      <c r="FKD7" s="302"/>
      <c r="FKE7" s="302"/>
      <c r="FKF7" s="302"/>
      <c r="FKG7" s="302"/>
      <c r="FKH7" s="302"/>
      <c r="FKI7" s="302"/>
      <c r="FKJ7" s="302"/>
      <c r="FKK7" s="302"/>
      <c r="FKL7" s="302"/>
      <c r="FKM7" s="302"/>
      <c r="FKN7" s="302"/>
      <c r="FKO7" s="302"/>
      <c r="FKP7" s="302"/>
      <c r="FKQ7" s="302"/>
      <c r="FKR7" s="302"/>
      <c r="FKS7" s="302"/>
      <c r="FKT7" s="302"/>
      <c r="FKU7" s="302"/>
      <c r="FKV7" s="302"/>
      <c r="FKW7" s="302"/>
      <c r="FKX7" s="302"/>
      <c r="FKY7" s="302"/>
      <c r="FKZ7" s="302"/>
      <c r="FLA7" s="302"/>
      <c r="FLB7" s="302"/>
      <c r="FLC7" s="302"/>
      <c r="FLD7" s="302"/>
      <c r="FLE7" s="302"/>
      <c r="FLF7" s="302"/>
      <c r="FLG7" s="302"/>
      <c r="FLH7" s="302"/>
      <c r="FLI7" s="302"/>
      <c r="FLJ7" s="302"/>
      <c r="FLK7" s="302"/>
      <c r="FLL7" s="302"/>
      <c r="FLM7" s="302"/>
      <c r="FLN7" s="302"/>
      <c r="FLO7" s="302"/>
      <c r="FLP7" s="302"/>
      <c r="FLQ7" s="302"/>
      <c r="FLR7" s="302"/>
      <c r="FLS7" s="302"/>
      <c r="FLT7" s="302"/>
      <c r="FLU7" s="302"/>
      <c r="FLV7" s="302"/>
      <c r="FLW7" s="302"/>
      <c r="FLX7" s="302"/>
      <c r="FLY7" s="302"/>
      <c r="FLZ7" s="302"/>
      <c r="FMA7" s="302"/>
      <c r="FMB7" s="302"/>
      <c r="FMC7" s="302"/>
      <c r="FMD7" s="302"/>
      <c r="FME7" s="302"/>
      <c r="FMF7" s="302"/>
      <c r="FMG7" s="302"/>
      <c r="FMH7" s="302"/>
      <c r="FMI7" s="302"/>
      <c r="FMJ7" s="302"/>
      <c r="FMK7" s="302"/>
      <c r="FML7" s="302"/>
      <c r="FMM7" s="302"/>
      <c r="FMN7" s="302"/>
      <c r="FMO7" s="302"/>
      <c r="FMP7" s="302"/>
      <c r="FMQ7" s="302"/>
      <c r="FMR7" s="302"/>
      <c r="FMS7" s="302"/>
      <c r="FMT7" s="302"/>
      <c r="FMU7" s="302"/>
      <c r="FMV7" s="302"/>
      <c r="FMW7" s="302"/>
      <c r="FMX7" s="302"/>
      <c r="FMY7" s="302"/>
      <c r="FMZ7" s="302"/>
      <c r="FNA7" s="302"/>
      <c r="FNB7" s="302"/>
      <c r="FNC7" s="302"/>
      <c r="FND7" s="302"/>
      <c r="FNE7" s="302"/>
      <c r="FNF7" s="302"/>
      <c r="FNG7" s="302"/>
      <c r="FNH7" s="302"/>
      <c r="FNI7" s="302"/>
      <c r="FNJ7" s="302"/>
      <c r="FNK7" s="302"/>
      <c r="FNL7" s="302"/>
      <c r="FNM7" s="302"/>
      <c r="FNN7" s="302"/>
      <c r="FNO7" s="302"/>
      <c r="FNP7" s="302"/>
      <c r="FNQ7" s="302"/>
      <c r="FNR7" s="302"/>
      <c r="FNS7" s="302"/>
      <c r="FNT7" s="302"/>
      <c r="FNU7" s="302"/>
      <c r="FNV7" s="302"/>
      <c r="FNW7" s="302"/>
      <c r="FNX7" s="302"/>
      <c r="FNY7" s="302"/>
      <c r="FNZ7" s="302"/>
      <c r="FOA7" s="302"/>
      <c r="FOB7" s="302"/>
      <c r="FOC7" s="302"/>
      <c r="FOD7" s="302"/>
      <c r="FOE7" s="302"/>
      <c r="FOF7" s="302"/>
      <c r="FOG7" s="302"/>
      <c r="FOH7" s="302"/>
      <c r="FOI7" s="302"/>
      <c r="FOJ7" s="302"/>
      <c r="FOK7" s="302"/>
      <c r="FOL7" s="302"/>
      <c r="FOM7" s="302"/>
      <c r="FON7" s="302"/>
      <c r="FOO7" s="302"/>
      <c r="FOP7" s="302"/>
      <c r="FOQ7" s="302"/>
      <c r="FOR7" s="302"/>
      <c r="FOS7" s="302"/>
      <c r="FOT7" s="302"/>
      <c r="FOU7" s="302"/>
      <c r="FOV7" s="302"/>
      <c r="FOW7" s="302"/>
      <c r="FOX7" s="302"/>
      <c r="FOY7" s="302"/>
      <c r="FOZ7" s="302"/>
      <c r="FPA7" s="302"/>
      <c r="FPB7" s="302"/>
      <c r="FPC7" s="302"/>
      <c r="FPD7" s="302"/>
      <c r="FPE7" s="302"/>
      <c r="FPF7" s="302"/>
      <c r="FPG7" s="302"/>
      <c r="FPH7" s="302"/>
      <c r="FPI7" s="302"/>
      <c r="FPJ7" s="302"/>
      <c r="FPK7" s="302"/>
      <c r="FPL7" s="302"/>
      <c r="FPM7" s="302"/>
      <c r="FPN7" s="302"/>
      <c r="FPO7" s="302"/>
      <c r="FPP7" s="302"/>
      <c r="FPQ7" s="302"/>
      <c r="FPR7" s="302"/>
      <c r="FPS7" s="302"/>
      <c r="FPT7" s="302"/>
      <c r="FPU7" s="302"/>
      <c r="FPV7" s="302"/>
      <c r="FPW7" s="302"/>
      <c r="FPX7" s="302"/>
      <c r="FPY7" s="302"/>
      <c r="FPZ7" s="302"/>
      <c r="FQA7" s="302"/>
      <c r="FQB7" s="302"/>
      <c r="FQC7" s="302"/>
      <c r="FQD7" s="302"/>
      <c r="FQE7" s="302"/>
      <c r="FQF7" s="302"/>
      <c r="FQG7" s="302"/>
      <c r="FQH7" s="302"/>
      <c r="FQI7" s="302"/>
      <c r="FQJ7" s="302"/>
      <c r="FQK7" s="302"/>
      <c r="FQL7" s="302"/>
      <c r="FQM7" s="302"/>
      <c r="FQN7" s="302"/>
      <c r="FQO7" s="302"/>
      <c r="FQP7" s="302"/>
      <c r="FQQ7" s="302"/>
      <c r="FQR7" s="302"/>
      <c r="FQS7" s="302"/>
      <c r="FQT7" s="302"/>
      <c r="FQU7" s="302"/>
      <c r="FQV7" s="302"/>
      <c r="FQW7" s="302"/>
      <c r="FQX7" s="302"/>
      <c r="FQY7" s="302"/>
      <c r="FQZ7" s="302"/>
      <c r="FRA7" s="302"/>
      <c r="FRB7" s="302"/>
      <c r="FRC7" s="302"/>
      <c r="FRD7" s="302"/>
      <c r="FRE7" s="302"/>
      <c r="FRF7" s="302"/>
      <c r="FRG7" s="302"/>
      <c r="FRH7" s="302"/>
      <c r="FRI7" s="302"/>
      <c r="FRJ7" s="302"/>
      <c r="FRK7" s="302"/>
      <c r="FRL7" s="302"/>
      <c r="FRM7" s="302"/>
      <c r="FRN7" s="302"/>
      <c r="FRO7" s="302"/>
      <c r="FRP7" s="302"/>
      <c r="FRQ7" s="302"/>
      <c r="FRR7" s="302"/>
      <c r="FRS7" s="302"/>
      <c r="FRT7" s="302"/>
      <c r="FRU7" s="302"/>
      <c r="FRV7" s="302"/>
      <c r="FRW7" s="302"/>
      <c r="FRX7" s="302"/>
      <c r="FRY7" s="302"/>
      <c r="FRZ7" s="302"/>
      <c r="FSA7" s="302"/>
      <c r="FSB7" s="302"/>
      <c r="FSC7" s="302"/>
      <c r="FSD7" s="302"/>
      <c r="FSE7" s="302"/>
      <c r="FSF7" s="302"/>
      <c r="FSG7" s="302"/>
      <c r="FSH7" s="302"/>
      <c r="FSI7" s="302"/>
      <c r="FSJ7" s="302"/>
      <c r="FSK7" s="302"/>
      <c r="FSL7" s="302"/>
      <c r="FSM7" s="302"/>
      <c r="FSN7" s="302"/>
      <c r="FSO7" s="302"/>
      <c r="FSP7" s="302"/>
      <c r="FSQ7" s="302"/>
      <c r="FSR7" s="302"/>
      <c r="FSS7" s="302"/>
      <c r="FST7" s="302"/>
      <c r="FSU7" s="302"/>
      <c r="FSV7" s="302"/>
      <c r="FSW7" s="302"/>
      <c r="FSX7" s="302"/>
      <c r="FSY7" s="302"/>
      <c r="FSZ7" s="302"/>
      <c r="FTA7" s="302"/>
      <c r="FTB7" s="302"/>
      <c r="FTC7" s="302"/>
      <c r="FTD7" s="302"/>
      <c r="FTE7" s="302"/>
      <c r="FTF7" s="302"/>
      <c r="FTG7" s="302"/>
      <c r="FTH7" s="302"/>
      <c r="FTI7" s="302"/>
      <c r="FTJ7" s="302"/>
      <c r="FTK7" s="302"/>
      <c r="FTL7" s="302"/>
      <c r="FTM7" s="302"/>
      <c r="FTN7" s="302"/>
      <c r="FTO7" s="302"/>
      <c r="FTP7" s="302"/>
      <c r="FTQ7" s="302"/>
      <c r="FTR7" s="302"/>
      <c r="FTS7" s="302"/>
      <c r="FTT7" s="302"/>
      <c r="FTU7" s="302"/>
      <c r="FTV7" s="302"/>
      <c r="FTW7" s="302"/>
      <c r="FTX7" s="302"/>
      <c r="FTY7" s="302"/>
      <c r="FTZ7" s="302"/>
      <c r="FUA7" s="302"/>
      <c r="FUB7" s="302"/>
      <c r="FUC7" s="302"/>
      <c r="FUD7" s="302"/>
      <c r="FUE7" s="302"/>
      <c r="FUF7" s="302"/>
      <c r="FUG7" s="302"/>
      <c r="FUH7" s="302"/>
      <c r="FUI7" s="302"/>
      <c r="FUJ7" s="302"/>
      <c r="FUK7" s="302"/>
      <c r="FUL7" s="302"/>
      <c r="FUM7" s="302"/>
      <c r="FUN7" s="302"/>
      <c r="FUO7" s="302"/>
      <c r="FUP7" s="302"/>
      <c r="FUQ7" s="302"/>
      <c r="FUR7" s="302"/>
      <c r="FUS7" s="302"/>
      <c r="FUT7" s="302"/>
      <c r="FUU7" s="302"/>
      <c r="FUV7" s="302"/>
      <c r="FUW7" s="302"/>
      <c r="FUX7" s="302"/>
      <c r="FUY7" s="302"/>
      <c r="FUZ7" s="302"/>
      <c r="FVA7" s="302"/>
      <c r="FVB7" s="302"/>
      <c r="FVC7" s="302"/>
      <c r="FVD7" s="302"/>
      <c r="FVE7" s="302"/>
      <c r="FVF7" s="302"/>
      <c r="FVG7" s="302"/>
      <c r="FVH7" s="302"/>
      <c r="FVI7" s="302"/>
      <c r="FVJ7" s="302"/>
      <c r="FVK7" s="302"/>
      <c r="FVL7" s="302"/>
      <c r="FVM7" s="302"/>
      <c r="FVN7" s="302"/>
      <c r="FVO7" s="302"/>
      <c r="FVP7" s="302"/>
      <c r="FVQ7" s="302"/>
      <c r="FVR7" s="302"/>
      <c r="FVS7" s="302"/>
      <c r="FVT7" s="302"/>
      <c r="FVU7" s="302"/>
      <c r="FVV7" s="302"/>
      <c r="FVW7" s="302"/>
      <c r="FVX7" s="302"/>
      <c r="FVY7" s="302"/>
      <c r="FVZ7" s="302"/>
      <c r="FWA7" s="302"/>
      <c r="FWB7" s="302"/>
      <c r="FWC7" s="302"/>
      <c r="FWD7" s="302"/>
      <c r="FWE7" s="302"/>
      <c r="FWF7" s="302"/>
      <c r="FWG7" s="302"/>
      <c r="FWH7" s="302"/>
      <c r="FWI7" s="302"/>
      <c r="FWJ7" s="302"/>
      <c r="FWK7" s="302"/>
      <c r="FWL7" s="302"/>
      <c r="FWM7" s="302"/>
      <c r="FWN7" s="302"/>
      <c r="FWO7" s="302"/>
      <c r="FWP7" s="302"/>
      <c r="FWQ7" s="302"/>
      <c r="FWR7" s="302"/>
      <c r="FWS7" s="302"/>
      <c r="FWT7" s="302"/>
      <c r="FWU7" s="302"/>
      <c r="FWV7" s="302"/>
      <c r="FWW7" s="302"/>
      <c r="FWX7" s="302"/>
      <c r="FWY7" s="302"/>
      <c r="FWZ7" s="302"/>
      <c r="FXA7" s="302"/>
      <c r="FXB7" s="302"/>
      <c r="FXC7" s="302"/>
      <c r="FXD7" s="302"/>
      <c r="FXE7" s="302"/>
      <c r="FXF7" s="302"/>
      <c r="FXG7" s="302"/>
      <c r="FXH7" s="302"/>
      <c r="FXI7" s="302"/>
      <c r="FXJ7" s="302"/>
      <c r="FXK7" s="302"/>
      <c r="FXL7" s="302"/>
      <c r="FXM7" s="302"/>
      <c r="FXN7" s="302"/>
      <c r="FXO7" s="302"/>
      <c r="FXP7" s="302"/>
      <c r="FXQ7" s="302"/>
      <c r="FXR7" s="302"/>
      <c r="FXS7" s="302"/>
      <c r="FXT7" s="302"/>
      <c r="FXU7" s="302"/>
      <c r="FXV7" s="302"/>
      <c r="FXW7" s="302"/>
      <c r="FXX7" s="302"/>
      <c r="FXY7" s="302"/>
      <c r="FXZ7" s="302"/>
      <c r="FYA7" s="302"/>
      <c r="FYB7" s="302"/>
      <c r="FYC7" s="302"/>
      <c r="FYD7" s="302"/>
      <c r="FYE7" s="302"/>
      <c r="FYF7" s="302"/>
      <c r="FYG7" s="302"/>
      <c r="FYH7" s="302"/>
      <c r="FYI7" s="302"/>
      <c r="FYJ7" s="302"/>
      <c r="FYK7" s="302"/>
      <c r="FYL7" s="302"/>
      <c r="FYM7" s="302"/>
      <c r="FYN7" s="302"/>
      <c r="FYO7" s="302"/>
      <c r="FYP7" s="302"/>
      <c r="FYQ7" s="302"/>
      <c r="FYR7" s="302"/>
      <c r="FYS7" s="302"/>
      <c r="FYT7" s="302"/>
      <c r="FYU7" s="302"/>
      <c r="FYV7" s="302"/>
      <c r="FYW7" s="302"/>
      <c r="FYX7" s="302"/>
      <c r="FYY7" s="302"/>
      <c r="FYZ7" s="302"/>
      <c r="FZA7" s="302"/>
      <c r="FZB7" s="302"/>
      <c r="FZC7" s="302"/>
      <c r="FZD7" s="302"/>
      <c r="FZE7" s="302"/>
      <c r="FZF7" s="302"/>
      <c r="FZG7" s="302"/>
      <c r="FZH7" s="302"/>
      <c r="FZI7" s="302"/>
      <c r="FZJ7" s="302"/>
      <c r="FZK7" s="302"/>
      <c r="FZL7" s="302"/>
      <c r="FZM7" s="302"/>
      <c r="FZN7" s="302"/>
      <c r="FZO7" s="302"/>
      <c r="FZP7" s="302"/>
      <c r="FZQ7" s="302"/>
      <c r="FZR7" s="302"/>
      <c r="FZS7" s="302"/>
      <c r="FZT7" s="302"/>
      <c r="FZU7" s="302"/>
      <c r="FZV7" s="302"/>
      <c r="FZW7" s="302"/>
      <c r="FZX7" s="302"/>
      <c r="FZY7" s="302"/>
      <c r="FZZ7" s="302"/>
      <c r="GAA7" s="302"/>
      <c r="GAB7" s="302"/>
      <c r="GAC7" s="302"/>
      <c r="GAD7" s="302"/>
      <c r="GAE7" s="302"/>
      <c r="GAF7" s="302"/>
      <c r="GAG7" s="302"/>
      <c r="GAH7" s="302"/>
      <c r="GAI7" s="302"/>
      <c r="GAJ7" s="302"/>
      <c r="GAK7" s="302"/>
      <c r="GAL7" s="302"/>
      <c r="GAM7" s="302"/>
      <c r="GAN7" s="302"/>
      <c r="GAO7" s="302"/>
      <c r="GAP7" s="302"/>
      <c r="GAQ7" s="302"/>
      <c r="GAR7" s="302"/>
      <c r="GAS7" s="302"/>
      <c r="GAT7" s="302"/>
      <c r="GAU7" s="302"/>
      <c r="GAV7" s="302"/>
      <c r="GAW7" s="302"/>
      <c r="GAX7" s="302"/>
      <c r="GAY7" s="302"/>
      <c r="GAZ7" s="302"/>
      <c r="GBA7" s="302"/>
      <c r="GBB7" s="302"/>
      <c r="GBC7" s="302"/>
      <c r="GBD7" s="302"/>
      <c r="GBE7" s="302"/>
      <c r="GBF7" s="302"/>
      <c r="GBG7" s="302"/>
      <c r="GBH7" s="302"/>
      <c r="GBI7" s="302"/>
      <c r="GBJ7" s="302"/>
      <c r="GBK7" s="302"/>
      <c r="GBL7" s="302"/>
      <c r="GBM7" s="302"/>
      <c r="GBN7" s="302"/>
      <c r="GBO7" s="302"/>
      <c r="GBP7" s="302"/>
      <c r="GBQ7" s="302"/>
      <c r="GBR7" s="302"/>
      <c r="GBS7" s="302"/>
      <c r="GBT7" s="302"/>
      <c r="GBU7" s="302"/>
      <c r="GBV7" s="302"/>
      <c r="GBW7" s="302"/>
      <c r="GBX7" s="302"/>
      <c r="GBY7" s="302"/>
      <c r="GBZ7" s="302"/>
      <c r="GCA7" s="302"/>
      <c r="GCB7" s="302"/>
      <c r="GCC7" s="302"/>
      <c r="GCD7" s="302"/>
      <c r="GCE7" s="302"/>
      <c r="GCF7" s="302"/>
      <c r="GCG7" s="302"/>
      <c r="GCH7" s="302"/>
      <c r="GCI7" s="302"/>
      <c r="GCJ7" s="302"/>
      <c r="GCK7" s="302"/>
      <c r="GCL7" s="302"/>
      <c r="GCM7" s="302"/>
      <c r="GCN7" s="302"/>
      <c r="GCO7" s="302"/>
      <c r="GCP7" s="302"/>
      <c r="GCQ7" s="302"/>
      <c r="GCR7" s="302"/>
      <c r="GCS7" s="302"/>
      <c r="GCT7" s="302"/>
      <c r="GCU7" s="302"/>
      <c r="GCV7" s="302"/>
      <c r="GCW7" s="302"/>
      <c r="GCX7" s="302"/>
      <c r="GCY7" s="302"/>
      <c r="GCZ7" s="302"/>
      <c r="GDA7" s="302"/>
      <c r="GDB7" s="302"/>
      <c r="GDC7" s="302"/>
      <c r="GDD7" s="302"/>
      <c r="GDE7" s="302"/>
      <c r="GDF7" s="302"/>
      <c r="GDG7" s="302"/>
      <c r="GDH7" s="302"/>
      <c r="GDI7" s="302"/>
      <c r="GDJ7" s="302"/>
      <c r="GDK7" s="302"/>
      <c r="GDL7" s="302"/>
      <c r="GDM7" s="302"/>
      <c r="GDN7" s="302"/>
      <c r="GDO7" s="302"/>
      <c r="GDP7" s="302"/>
      <c r="GDQ7" s="302"/>
      <c r="GDR7" s="302"/>
      <c r="GDS7" s="302"/>
      <c r="GDT7" s="302"/>
      <c r="GDU7" s="302"/>
      <c r="GDV7" s="302"/>
      <c r="GDW7" s="302"/>
      <c r="GDX7" s="302"/>
      <c r="GDY7" s="302"/>
      <c r="GDZ7" s="302"/>
      <c r="GEA7" s="302"/>
      <c r="GEB7" s="302"/>
      <c r="GEC7" s="302"/>
      <c r="GED7" s="302"/>
      <c r="GEE7" s="302"/>
      <c r="GEF7" s="302"/>
      <c r="GEG7" s="302"/>
      <c r="GEH7" s="302"/>
      <c r="GEI7" s="302"/>
      <c r="GEJ7" s="302"/>
      <c r="GEK7" s="302"/>
      <c r="GEL7" s="302"/>
      <c r="GEM7" s="302"/>
      <c r="GEN7" s="302"/>
      <c r="GEO7" s="302"/>
      <c r="GEP7" s="302"/>
      <c r="GEQ7" s="302"/>
      <c r="GER7" s="302"/>
      <c r="GES7" s="302"/>
      <c r="GET7" s="302"/>
      <c r="GEU7" s="302"/>
      <c r="GEV7" s="302"/>
      <c r="GEW7" s="302"/>
      <c r="GEX7" s="302"/>
      <c r="GEY7" s="302"/>
      <c r="GEZ7" s="302"/>
      <c r="GFA7" s="302"/>
      <c r="GFB7" s="302"/>
      <c r="GFC7" s="302"/>
      <c r="GFD7" s="302"/>
      <c r="GFE7" s="302"/>
      <c r="GFF7" s="302"/>
      <c r="GFG7" s="302"/>
      <c r="GFH7" s="302"/>
      <c r="GFI7" s="302"/>
      <c r="GFJ7" s="302"/>
      <c r="GFK7" s="302"/>
      <c r="GFL7" s="302"/>
      <c r="GFM7" s="302"/>
      <c r="GFN7" s="302"/>
      <c r="GFO7" s="302"/>
      <c r="GFP7" s="302"/>
      <c r="GFQ7" s="302"/>
      <c r="GFR7" s="302"/>
      <c r="GFS7" s="302"/>
      <c r="GFT7" s="302"/>
      <c r="GFU7" s="302"/>
      <c r="GFV7" s="302"/>
      <c r="GFW7" s="302"/>
      <c r="GFX7" s="302"/>
      <c r="GFY7" s="302"/>
      <c r="GFZ7" s="302"/>
      <c r="GGA7" s="302"/>
      <c r="GGB7" s="302"/>
      <c r="GGC7" s="302"/>
      <c r="GGD7" s="302"/>
      <c r="GGE7" s="302"/>
      <c r="GGF7" s="302"/>
      <c r="GGG7" s="302"/>
      <c r="GGH7" s="302"/>
      <c r="GGI7" s="302"/>
      <c r="GGJ7" s="302"/>
      <c r="GGK7" s="302"/>
      <c r="GGL7" s="302"/>
      <c r="GGM7" s="302"/>
      <c r="GGN7" s="302"/>
      <c r="GGO7" s="302"/>
      <c r="GGP7" s="302"/>
      <c r="GGQ7" s="302"/>
      <c r="GGR7" s="302"/>
      <c r="GGS7" s="302"/>
      <c r="GGT7" s="302"/>
      <c r="GGU7" s="302"/>
      <c r="GGV7" s="302"/>
      <c r="GGW7" s="302"/>
      <c r="GGX7" s="302"/>
      <c r="GGY7" s="302"/>
      <c r="GGZ7" s="302"/>
      <c r="GHA7" s="302"/>
      <c r="GHB7" s="302"/>
      <c r="GHC7" s="302"/>
      <c r="GHD7" s="302"/>
      <c r="GHE7" s="302"/>
      <c r="GHF7" s="302"/>
      <c r="GHG7" s="302"/>
      <c r="GHH7" s="302"/>
      <c r="GHI7" s="302"/>
      <c r="GHJ7" s="302"/>
      <c r="GHK7" s="302"/>
      <c r="GHL7" s="302"/>
      <c r="GHM7" s="302"/>
      <c r="GHN7" s="302"/>
      <c r="GHO7" s="302"/>
      <c r="GHP7" s="302"/>
      <c r="GHQ7" s="302"/>
      <c r="GHR7" s="302"/>
      <c r="GHS7" s="302"/>
      <c r="GHT7" s="302"/>
      <c r="GHU7" s="302"/>
      <c r="GHV7" s="302"/>
      <c r="GHW7" s="302"/>
      <c r="GHX7" s="302"/>
      <c r="GHY7" s="302"/>
      <c r="GHZ7" s="302"/>
      <c r="GIA7" s="302"/>
      <c r="GIB7" s="302"/>
      <c r="GIC7" s="302"/>
      <c r="GID7" s="302"/>
      <c r="GIE7" s="302"/>
      <c r="GIF7" s="302"/>
      <c r="GIG7" s="302"/>
      <c r="GIH7" s="302"/>
      <c r="GII7" s="302"/>
      <c r="GIJ7" s="302"/>
      <c r="GIK7" s="302"/>
      <c r="GIL7" s="302"/>
      <c r="GIM7" s="302"/>
      <c r="GIN7" s="302"/>
      <c r="GIO7" s="302"/>
      <c r="GIP7" s="302"/>
      <c r="GIQ7" s="302"/>
      <c r="GIR7" s="302"/>
      <c r="GIS7" s="302"/>
      <c r="GIT7" s="302"/>
      <c r="GIU7" s="302"/>
      <c r="GIV7" s="302"/>
      <c r="GIW7" s="302"/>
      <c r="GIX7" s="302"/>
      <c r="GIY7" s="302"/>
      <c r="GIZ7" s="302"/>
      <c r="GJA7" s="302"/>
      <c r="GJB7" s="302"/>
      <c r="GJC7" s="302"/>
      <c r="GJD7" s="302"/>
      <c r="GJE7" s="302"/>
      <c r="GJF7" s="302"/>
      <c r="GJG7" s="302"/>
      <c r="GJH7" s="302"/>
      <c r="GJI7" s="302"/>
      <c r="GJJ7" s="302"/>
      <c r="GJK7" s="302"/>
      <c r="GJL7" s="302"/>
      <c r="GJM7" s="302"/>
      <c r="GJN7" s="302"/>
      <c r="GJO7" s="302"/>
      <c r="GJP7" s="302"/>
      <c r="GJQ7" s="302"/>
      <c r="GJR7" s="302"/>
      <c r="GJS7" s="302"/>
      <c r="GJT7" s="302"/>
      <c r="GJU7" s="302"/>
      <c r="GJV7" s="302"/>
      <c r="GJW7" s="302"/>
      <c r="GJX7" s="302"/>
      <c r="GJY7" s="302"/>
      <c r="GJZ7" s="302"/>
      <c r="GKA7" s="302"/>
      <c r="GKB7" s="302"/>
      <c r="GKC7" s="302"/>
      <c r="GKD7" s="302"/>
      <c r="GKE7" s="302"/>
      <c r="GKF7" s="302"/>
      <c r="GKG7" s="302"/>
      <c r="GKH7" s="302"/>
      <c r="GKI7" s="302"/>
      <c r="GKJ7" s="302"/>
      <c r="GKK7" s="302"/>
      <c r="GKL7" s="302"/>
      <c r="GKM7" s="302"/>
      <c r="GKN7" s="302"/>
      <c r="GKO7" s="302"/>
      <c r="GKP7" s="302"/>
      <c r="GKQ7" s="302"/>
      <c r="GKR7" s="302"/>
      <c r="GKS7" s="302"/>
      <c r="GKT7" s="302"/>
      <c r="GKU7" s="302"/>
      <c r="GKV7" s="302"/>
      <c r="GKW7" s="302"/>
      <c r="GKX7" s="302"/>
      <c r="GKY7" s="302"/>
      <c r="GKZ7" s="302"/>
      <c r="GLA7" s="302"/>
      <c r="GLB7" s="302"/>
      <c r="GLC7" s="302"/>
      <c r="GLD7" s="302"/>
      <c r="GLE7" s="302"/>
      <c r="GLF7" s="302"/>
      <c r="GLG7" s="302"/>
      <c r="GLH7" s="302"/>
      <c r="GLI7" s="302"/>
      <c r="GLJ7" s="302"/>
      <c r="GLK7" s="302"/>
      <c r="GLL7" s="302"/>
      <c r="GLM7" s="302"/>
      <c r="GLN7" s="302"/>
      <c r="GLO7" s="302"/>
      <c r="GLP7" s="302"/>
      <c r="GLQ7" s="302"/>
      <c r="GLR7" s="302"/>
      <c r="GLS7" s="302"/>
      <c r="GLT7" s="302"/>
      <c r="GLU7" s="302"/>
      <c r="GLV7" s="302"/>
      <c r="GLW7" s="302"/>
      <c r="GLX7" s="302"/>
      <c r="GLY7" s="302"/>
      <c r="GLZ7" s="302"/>
      <c r="GMA7" s="302"/>
      <c r="GMB7" s="302"/>
      <c r="GMC7" s="302"/>
      <c r="GMD7" s="302"/>
      <c r="GME7" s="302"/>
      <c r="GMF7" s="302"/>
      <c r="GMG7" s="302"/>
      <c r="GMH7" s="302"/>
      <c r="GMI7" s="302"/>
      <c r="GMJ7" s="302"/>
      <c r="GMK7" s="302"/>
      <c r="GML7" s="302"/>
      <c r="GMM7" s="302"/>
      <c r="GMN7" s="302"/>
      <c r="GMO7" s="302"/>
      <c r="GMP7" s="302"/>
      <c r="GMQ7" s="302"/>
      <c r="GMR7" s="302"/>
      <c r="GMS7" s="302"/>
      <c r="GMT7" s="302"/>
      <c r="GMU7" s="302"/>
      <c r="GMV7" s="302"/>
      <c r="GMW7" s="302"/>
      <c r="GMX7" s="302"/>
      <c r="GMY7" s="302"/>
      <c r="GMZ7" s="302"/>
      <c r="GNA7" s="302"/>
      <c r="GNB7" s="302"/>
      <c r="GNC7" s="302"/>
      <c r="GND7" s="302"/>
      <c r="GNE7" s="302"/>
      <c r="GNF7" s="302"/>
      <c r="GNG7" s="302"/>
      <c r="GNH7" s="302"/>
      <c r="GNI7" s="302"/>
      <c r="GNJ7" s="302"/>
      <c r="GNK7" s="302"/>
      <c r="GNL7" s="302"/>
      <c r="GNM7" s="302"/>
      <c r="GNN7" s="302"/>
      <c r="GNO7" s="302"/>
      <c r="GNP7" s="302"/>
      <c r="GNQ7" s="302"/>
      <c r="GNR7" s="302"/>
      <c r="GNS7" s="302"/>
      <c r="GNT7" s="302"/>
      <c r="GNU7" s="302"/>
      <c r="GNV7" s="302"/>
      <c r="GNW7" s="302"/>
      <c r="GNX7" s="302"/>
      <c r="GNY7" s="302"/>
      <c r="GNZ7" s="302"/>
      <c r="GOA7" s="302"/>
      <c r="GOB7" s="302"/>
      <c r="GOC7" s="302"/>
      <c r="GOD7" s="302"/>
      <c r="GOE7" s="302"/>
      <c r="GOF7" s="302"/>
      <c r="GOG7" s="302"/>
      <c r="GOH7" s="302"/>
      <c r="GOI7" s="302"/>
      <c r="GOJ7" s="302"/>
      <c r="GOK7" s="302"/>
      <c r="GOL7" s="302"/>
      <c r="GOM7" s="302"/>
      <c r="GON7" s="302"/>
      <c r="GOO7" s="302"/>
      <c r="GOP7" s="302"/>
      <c r="GOQ7" s="302"/>
      <c r="GOR7" s="302"/>
      <c r="GOS7" s="302"/>
      <c r="GOT7" s="302"/>
      <c r="GOU7" s="302"/>
      <c r="GOV7" s="302"/>
      <c r="GOW7" s="302"/>
      <c r="GOX7" s="302"/>
      <c r="GOY7" s="302"/>
      <c r="GOZ7" s="302"/>
      <c r="GPA7" s="302"/>
      <c r="GPB7" s="302"/>
      <c r="GPC7" s="302"/>
      <c r="GPD7" s="302"/>
      <c r="GPE7" s="302"/>
      <c r="GPF7" s="302"/>
      <c r="GPG7" s="302"/>
      <c r="GPH7" s="302"/>
      <c r="GPI7" s="302"/>
      <c r="GPJ7" s="302"/>
      <c r="GPK7" s="302"/>
      <c r="GPL7" s="302"/>
      <c r="GPM7" s="302"/>
      <c r="GPN7" s="302"/>
      <c r="GPO7" s="302"/>
      <c r="GPP7" s="302"/>
      <c r="GPQ7" s="302"/>
      <c r="GPR7" s="302"/>
      <c r="GPS7" s="302"/>
      <c r="GPT7" s="302"/>
      <c r="GPU7" s="302"/>
      <c r="GPV7" s="302"/>
      <c r="GPW7" s="302"/>
      <c r="GPX7" s="302"/>
      <c r="GPY7" s="302"/>
      <c r="GPZ7" s="302"/>
      <c r="GQA7" s="302"/>
      <c r="GQB7" s="302"/>
      <c r="GQC7" s="302"/>
      <c r="GQD7" s="302"/>
      <c r="GQE7" s="302"/>
      <c r="GQF7" s="302"/>
      <c r="GQG7" s="302"/>
      <c r="GQH7" s="302"/>
      <c r="GQI7" s="302"/>
      <c r="GQJ7" s="302"/>
      <c r="GQK7" s="302"/>
      <c r="GQL7" s="302"/>
      <c r="GQM7" s="302"/>
      <c r="GQN7" s="302"/>
      <c r="GQO7" s="302"/>
      <c r="GQP7" s="302"/>
      <c r="GQQ7" s="302"/>
      <c r="GQR7" s="302"/>
      <c r="GQS7" s="302"/>
      <c r="GQT7" s="302"/>
      <c r="GQU7" s="302"/>
      <c r="GQV7" s="302"/>
      <c r="GQW7" s="302"/>
      <c r="GQX7" s="302"/>
      <c r="GQY7" s="302"/>
      <c r="GQZ7" s="302"/>
      <c r="GRA7" s="302"/>
      <c r="GRB7" s="302"/>
      <c r="GRC7" s="302"/>
      <c r="GRD7" s="302"/>
      <c r="GRE7" s="302"/>
      <c r="GRF7" s="302"/>
      <c r="GRG7" s="302"/>
      <c r="GRH7" s="302"/>
      <c r="GRI7" s="302"/>
      <c r="GRJ7" s="302"/>
      <c r="GRK7" s="302"/>
      <c r="GRL7" s="302"/>
      <c r="GRM7" s="302"/>
      <c r="GRN7" s="302"/>
      <c r="GRO7" s="302"/>
      <c r="GRP7" s="302"/>
      <c r="GRQ7" s="302"/>
      <c r="GRR7" s="302"/>
      <c r="GRS7" s="302"/>
      <c r="GRT7" s="302"/>
      <c r="GRU7" s="302"/>
      <c r="GRV7" s="302"/>
      <c r="GRW7" s="302"/>
      <c r="GRX7" s="302"/>
      <c r="GRY7" s="302"/>
      <c r="GRZ7" s="302"/>
      <c r="GSA7" s="302"/>
      <c r="GSB7" s="302"/>
      <c r="GSC7" s="302"/>
      <c r="GSD7" s="302"/>
      <c r="GSE7" s="302"/>
      <c r="GSF7" s="302"/>
      <c r="GSG7" s="302"/>
      <c r="GSH7" s="302"/>
      <c r="GSI7" s="302"/>
      <c r="GSJ7" s="302"/>
      <c r="GSK7" s="302"/>
      <c r="GSL7" s="302"/>
      <c r="GSM7" s="302"/>
      <c r="GSN7" s="302"/>
      <c r="GSO7" s="302"/>
      <c r="GSP7" s="302"/>
      <c r="GSQ7" s="302"/>
      <c r="GSR7" s="302"/>
      <c r="GSS7" s="302"/>
      <c r="GST7" s="302"/>
      <c r="GSU7" s="302"/>
      <c r="GSV7" s="302"/>
      <c r="GSW7" s="302"/>
      <c r="GSX7" s="302"/>
      <c r="GSY7" s="302"/>
      <c r="GSZ7" s="302"/>
      <c r="GTA7" s="302"/>
      <c r="GTB7" s="302"/>
      <c r="GTC7" s="302"/>
      <c r="GTD7" s="302"/>
      <c r="GTE7" s="302"/>
      <c r="GTF7" s="302"/>
      <c r="GTG7" s="302"/>
      <c r="GTH7" s="302"/>
      <c r="GTI7" s="302"/>
      <c r="GTJ7" s="302"/>
      <c r="GTK7" s="302"/>
      <c r="GTL7" s="302"/>
      <c r="GTM7" s="302"/>
      <c r="GTN7" s="302"/>
      <c r="GTO7" s="302"/>
      <c r="GTP7" s="302"/>
      <c r="GTQ7" s="302"/>
      <c r="GTR7" s="302"/>
      <c r="GTS7" s="302"/>
      <c r="GTT7" s="302"/>
      <c r="GTU7" s="302"/>
      <c r="GTV7" s="302"/>
      <c r="GTW7" s="302"/>
      <c r="GTX7" s="302"/>
      <c r="GTY7" s="302"/>
      <c r="GTZ7" s="302"/>
      <c r="GUA7" s="302"/>
      <c r="GUB7" s="302"/>
      <c r="GUC7" s="302"/>
      <c r="GUD7" s="302"/>
      <c r="GUE7" s="302"/>
      <c r="GUF7" s="302"/>
      <c r="GUG7" s="302"/>
      <c r="GUH7" s="302"/>
      <c r="GUI7" s="302"/>
      <c r="GUJ7" s="302"/>
      <c r="GUK7" s="302"/>
      <c r="GUL7" s="302"/>
      <c r="GUM7" s="302"/>
      <c r="GUN7" s="302"/>
      <c r="GUO7" s="302"/>
      <c r="GUP7" s="302"/>
      <c r="GUQ7" s="302"/>
      <c r="GUR7" s="302"/>
      <c r="GUS7" s="302"/>
      <c r="GUT7" s="302"/>
      <c r="GUU7" s="302"/>
      <c r="GUV7" s="302"/>
      <c r="GUW7" s="302"/>
      <c r="GUX7" s="302"/>
      <c r="GUY7" s="302"/>
      <c r="GUZ7" s="302"/>
      <c r="GVA7" s="302"/>
      <c r="GVB7" s="302"/>
      <c r="GVC7" s="302"/>
      <c r="GVD7" s="302"/>
      <c r="GVE7" s="302"/>
      <c r="GVF7" s="302"/>
      <c r="GVG7" s="302"/>
      <c r="GVH7" s="302"/>
      <c r="GVI7" s="302"/>
      <c r="GVJ7" s="302"/>
      <c r="GVK7" s="302"/>
      <c r="GVL7" s="302"/>
      <c r="GVM7" s="302"/>
      <c r="GVN7" s="302"/>
      <c r="GVO7" s="302"/>
      <c r="GVP7" s="302"/>
      <c r="GVQ7" s="302"/>
      <c r="GVR7" s="302"/>
      <c r="GVS7" s="302"/>
      <c r="GVT7" s="302"/>
      <c r="GVU7" s="302"/>
      <c r="GVV7" s="302"/>
      <c r="GVW7" s="302"/>
      <c r="GVX7" s="302"/>
      <c r="GVY7" s="302"/>
      <c r="GVZ7" s="302"/>
      <c r="GWA7" s="302"/>
      <c r="GWB7" s="302"/>
      <c r="GWC7" s="302"/>
      <c r="GWD7" s="302"/>
      <c r="GWE7" s="302"/>
      <c r="GWF7" s="302"/>
      <c r="GWG7" s="302"/>
      <c r="GWH7" s="302"/>
      <c r="GWI7" s="302"/>
      <c r="GWJ7" s="302"/>
      <c r="GWK7" s="302"/>
      <c r="GWL7" s="302"/>
      <c r="GWM7" s="302"/>
      <c r="GWN7" s="302"/>
      <c r="GWO7" s="302"/>
      <c r="GWP7" s="302"/>
      <c r="GWQ7" s="302"/>
      <c r="GWR7" s="302"/>
      <c r="GWS7" s="302"/>
      <c r="GWT7" s="302"/>
      <c r="GWU7" s="302"/>
      <c r="GWV7" s="302"/>
      <c r="GWW7" s="302"/>
      <c r="GWX7" s="302"/>
      <c r="GWY7" s="302"/>
      <c r="GWZ7" s="302"/>
      <c r="GXA7" s="302"/>
      <c r="GXB7" s="302"/>
      <c r="GXC7" s="302"/>
      <c r="GXD7" s="302"/>
      <c r="GXE7" s="302"/>
      <c r="GXF7" s="302"/>
      <c r="GXG7" s="302"/>
      <c r="GXH7" s="302"/>
      <c r="GXI7" s="302"/>
      <c r="GXJ7" s="302"/>
      <c r="GXK7" s="302"/>
      <c r="GXL7" s="302"/>
      <c r="GXM7" s="302"/>
      <c r="GXN7" s="302"/>
      <c r="GXO7" s="302"/>
      <c r="GXP7" s="302"/>
      <c r="GXQ7" s="302"/>
      <c r="GXR7" s="302"/>
      <c r="GXS7" s="302"/>
      <c r="GXT7" s="302"/>
      <c r="GXU7" s="302"/>
      <c r="GXV7" s="302"/>
      <c r="GXW7" s="302"/>
      <c r="GXX7" s="302"/>
      <c r="GXY7" s="302"/>
      <c r="GXZ7" s="302"/>
      <c r="GYA7" s="302"/>
      <c r="GYB7" s="302"/>
      <c r="GYC7" s="302"/>
      <c r="GYD7" s="302"/>
      <c r="GYE7" s="302"/>
      <c r="GYF7" s="302"/>
      <c r="GYG7" s="302"/>
      <c r="GYH7" s="302"/>
      <c r="GYI7" s="302"/>
      <c r="GYJ7" s="302"/>
      <c r="GYK7" s="302"/>
      <c r="GYL7" s="302"/>
      <c r="GYM7" s="302"/>
      <c r="GYN7" s="302"/>
      <c r="GYO7" s="302"/>
      <c r="GYP7" s="302"/>
      <c r="GYQ7" s="302"/>
      <c r="GYR7" s="302"/>
      <c r="GYS7" s="302"/>
      <c r="GYT7" s="302"/>
      <c r="GYU7" s="302"/>
      <c r="GYV7" s="302"/>
      <c r="GYW7" s="302"/>
      <c r="GYX7" s="302"/>
      <c r="GYY7" s="302"/>
      <c r="GYZ7" s="302"/>
      <c r="GZA7" s="302"/>
      <c r="GZB7" s="302"/>
      <c r="GZC7" s="302"/>
      <c r="GZD7" s="302"/>
      <c r="GZE7" s="302"/>
      <c r="GZF7" s="302"/>
      <c r="GZG7" s="302"/>
      <c r="GZH7" s="302"/>
      <c r="GZI7" s="302"/>
      <c r="GZJ7" s="302"/>
      <c r="GZK7" s="302"/>
      <c r="GZL7" s="302"/>
      <c r="GZM7" s="302"/>
      <c r="GZN7" s="302"/>
      <c r="GZO7" s="302"/>
      <c r="GZP7" s="302"/>
      <c r="GZQ7" s="302"/>
      <c r="GZR7" s="302"/>
      <c r="GZS7" s="302"/>
      <c r="GZT7" s="302"/>
      <c r="GZU7" s="302"/>
      <c r="GZV7" s="302"/>
      <c r="GZW7" s="302"/>
      <c r="GZX7" s="302"/>
      <c r="GZY7" s="302"/>
      <c r="GZZ7" s="302"/>
      <c r="HAA7" s="302"/>
      <c r="HAB7" s="302"/>
      <c r="HAC7" s="302"/>
      <c r="HAD7" s="302"/>
      <c r="HAE7" s="302"/>
      <c r="HAF7" s="302"/>
      <c r="HAG7" s="302"/>
      <c r="HAH7" s="302"/>
      <c r="HAI7" s="302"/>
      <c r="HAJ7" s="302"/>
      <c r="HAK7" s="302"/>
      <c r="HAL7" s="302"/>
      <c r="HAM7" s="302"/>
      <c r="HAN7" s="302"/>
      <c r="HAO7" s="302"/>
      <c r="HAP7" s="302"/>
      <c r="HAQ7" s="302"/>
      <c r="HAR7" s="302"/>
      <c r="HAS7" s="302"/>
      <c r="HAT7" s="302"/>
      <c r="HAU7" s="302"/>
      <c r="HAV7" s="302"/>
      <c r="HAW7" s="302"/>
      <c r="HAX7" s="302"/>
      <c r="HAY7" s="302"/>
      <c r="HAZ7" s="302"/>
      <c r="HBA7" s="302"/>
      <c r="HBB7" s="302"/>
      <c r="HBC7" s="302"/>
      <c r="HBD7" s="302"/>
      <c r="HBE7" s="302"/>
      <c r="HBF7" s="302"/>
      <c r="HBG7" s="302"/>
      <c r="HBH7" s="302"/>
      <c r="HBI7" s="302"/>
      <c r="HBJ7" s="302"/>
      <c r="HBK7" s="302"/>
      <c r="HBL7" s="302"/>
      <c r="HBM7" s="302"/>
      <c r="HBN7" s="302"/>
      <c r="HBO7" s="302"/>
      <c r="HBP7" s="302"/>
      <c r="HBQ7" s="302"/>
      <c r="HBR7" s="302"/>
      <c r="HBS7" s="302"/>
      <c r="HBT7" s="302"/>
      <c r="HBU7" s="302"/>
      <c r="HBV7" s="302"/>
      <c r="HBW7" s="302"/>
      <c r="HBX7" s="302"/>
      <c r="HBY7" s="302"/>
      <c r="HBZ7" s="302"/>
      <c r="HCA7" s="302"/>
      <c r="HCB7" s="302"/>
      <c r="HCC7" s="302"/>
      <c r="HCD7" s="302"/>
      <c r="HCE7" s="302"/>
      <c r="HCF7" s="302"/>
      <c r="HCG7" s="302"/>
      <c r="HCH7" s="302"/>
      <c r="HCI7" s="302"/>
      <c r="HCJ7" s="302"/>
      <c r="HCK7" s="302"/>
      <c r="HCL7" s="302"/>
      <c r="HCM7" s="302"/>
      <c r="HCN7" s="302"/>
      <c r="HCO7" s="302"/>
      <c r="HCP7" s="302"/>
      <c r="HCQ7" s="302"/>
      <c r="HCR7" s="302"/>
      <c r="HCS7" s="302"/>
      <c r="HCT7" s="302"/>
      <c r="HCU7" s="302"/>
      <c r="HCV7" s="302"/>
      <c r="HCW7" s="302"/>
      <c r="HCX7" s="302"/>
      <c r="HCY7" s="302"/>
      <c r="HCZ7" s="302"/>
      <c r="HDA7" s="302"/>
      <c r="HDB7" s="302"/>
      <c r="HDC7" s="302"/>
      <c r="HDD7" s="302"/>
      <c r="HDE7" s="302"/>
      <c r="HDF7" s="302"/>
      <c r="HDG7" s="302"/>
      <c r="HDH7" s="302"/>
      <c r="HDI7" s="302"/>
      <c r="HDJ7" s="302"/>
      <c r="HDK7" s="302"/>
      <c r="HDL7" s="302"/>
      <c r="HDM7" s="302"/>
      <c r="HDN7" s="302"/>
      <c r="HDO7" s="302"/>
      <c r="HDP7" s="302"/>
      <c r="HDQ7" s="302"/>
      <c r="HDR7" s="302"/>
      <c r="HDS7" s="302"/>
      <c r="HDT7" s="302"/>
      <c r="HDU7" s="302"/>
      <c r="HDV7" s="302"/>
      <c r="HDW7" s="302"/>
      <c r="HDX7" s="302"/>
      <c r="HDY7" s="302"/>
      <c r="HDZ7" s="302"/>
      <c r="HEA7" s="302"/>
      <c r="HEB7" s="302"/>
      <c r="HEC7" s="302"/>
      <c r="HED7" s="302"/>
      <c r="HEE7" s="302"/>
      <c r="HEF7" s="302"/>
      <c r="HEG7" s="302"/>
      <c r="HEH7" s="302"/>
      <c r="HEI7" s="302"/>
      <c r="HEJ7" s="302"/>
      <c r="HEK7" s="302"/>
      <c r="HEL7" s="302"/>
      <c r="HEM7" s="302"/>
      <c r="HEN7" s="302"/>
      <c r="HEO7" s="302"/>
      <c r="HEP7" s="302"/>
      <c r="HEQ7" s="302"/>
      <c r="HER7" s="302"/>
      <c r="HES7" s="302"/>
      <c r="HET7" s="302"/>
      <c r="HEU7" s="302"/>
      <c r="HEV7" s="302"/>
      <c r="HEW7" s="302"/>
      <c r="HEX7" s="302"/>
      <c r="HEY7" s="302"/>
      <c r="HEZ7" s="302"/>
      <c r="HFA7" s="302"/>
      <c r="HFB7" s="302"/>
      <c r="HFC7" s="302"/>
      <c r="HFD7" s="302"/>
      <c r="HFE7" s="302"/>
      <c r="HFF7" s="302"/>
      <c r="HFG7" s="302"/>
      <c r="HFH7" s="302"/>
      <c r="HFI7" s="302"/>
      <c r="HFJ7" s="302"/>
      <c r="HFK7" s="302"/>
      <c r="HFL7" s="302"/>
      <c r="HFM7" s="302"/>
      <c r="HFN7" s="302"/>
      <c r="HFO7" s="302"/>
      <c r="HFP7" s="302"/>
      <c r="HFQ7" s="302"/>
      <c r="HFR7" s="302"/>
      <c r="HFS7" s="302"/>
      <c r="HFT7" s="302"/>
      <c r="HFU7" s="302"/>
      <c r="HFV7" s="302"/>
      <c r="HFW7" s="302"/>
      <c r="HFX7" s="302"/>
      <c r="HFY7" s="302"/>
      <c r="HFZ7" s="302"/>
      <c r="HGA7" s="302"/>
      <c r="HGB7" s="302"/>
      <c r="HGC7" s="302"/>
      <c r="HGD7" s="302"/>
      <c r="HGE7" s="302"/>
      <c r="HGF7" s="302"/>
      <c r="HGG7" s="302"/>
      <c r="HGH7" s="302"/>
      <c r="HGI7" s="302"/>
      <c r="HGJ7" s="302"/>
      <c r="HGK7" s="302"/>
      <c r="HGL7" s="302"/>
      <c r="HGM7" s="302"/>
      <c r="HGN7" s="302"/>
      <c r="HGO7" s="302"/>
      <c r="HGP7" s="302"/>
      <c r="HGQ7" s="302"/>
      <c r="HGR7" s="302"/>
      <c r="HGS7" s="302"/>
      <c r="HGT7" s="302"/>
      <c r="HGU7" s="302"/>
      <c r="HGV7" s="302"/>
      <c r="HGW7" s="302"/>
      <c r="HGX7" s="302"/>
      <c r="HGY7" s="302"/>
      <c r="HGZ7" s="302"/>
      <c r="HHA7" s="302"/>
      <c r="HHB7" s="302"/>
      <c r="HHC7" s="302"/>
      <c r="HHD7" s="302"/>
      <c r="HHE7" s="302"/>
      <c r="HHF7" s="302"/>
      <c r="HHG7" s="302"/>
      <c r="HHH7" s="302"/>
      <c r="HHI7" s="302"/>
      <c r="HHJ7" s="302"/>
      <c r="HHK7" s="302"/>
      <c r="HHL7" s="302"/>
      <c r="HHM7" s="302"/>
      <c r="HHN7" s="302"/>
      <c r="HHO7" s="302"/>
      <c r="HHP7" s="302"/>
      <c r="HHQ7" s="302"/>
      <c r="HHR7" s="302"/>
      <c r="HHS7" s="302"/>
      <c r="HHT7" s="302"/>
      <c r="HHU7" s="302"/>
      <c r="HHV7" s="302"/>
      <c r="HHW7" s="302"/>
      <c r="HHX7" s="302"/>
      <c r="HHY7" s="302"/>
      <c r="HHZ7" s="302"/>
      <c r="HIA7" s="302"/>
      <c r="HIB7" s="302"/>
      <c r="HIC7" s="302"/>
      <c r="HID7" s="302"/>
      <c r="HIE7" s="302"/>
      <c r="HIF7" s="302"/>
      <c r="HIG7" s="302"/>
      <c r="HIH7" s="302"/>
      <c r="HII7" s="302"/>
      <c r="HIJ7" s="302"/>
      <c r="HIK7" s="302"/>
      <c r="HIL7" s="302"/>
      <c r="HIM7" s="302"/>
      <c r="HIN7" s="302"/>
      <c r="HIO7" s="302"/>
      <c r="HIP7" s="302"/>
      <c r="HIQ7" s="302"/>
      <c r="HIR7" s="302"/>
      <c r="HIS7" s="302"/>
      <c r="HIT7" s="302"/>
      <c r="HIU7" s="302"/>
      <c r="HIV7" s="302"/>
      <c r="HIW7" s="302"/>
      <c r="HIX7" s="302"/>
      <c r="HIY7" s="302"/>
      <c r="HIZ7" s="302"/>
      <c r="HJA7" s="302"/>
      <c r="HJB7" s="302"/>
      <c r="HJC7" s="302"/>
      <c r="HJD7" s="302"/>
      <c r="HJE7" s="302"/>
      <c r="HJF7" s="302"/>
      <c r="HJG7" s="302"/>
      <c r="HJH7" s="302"/>
      <c r="HJI7" s="302"/>
      <c r="HJJ7" s="302"/>
      <c r="HJK7" s="302"/>
      <c r="HJL7" s="302"/>
      <c r="HJM7" s="302"/>
      <c r="HJN7" s="302"/>
      <c r="HJO7" s="302"/>
      <c r="HJP7" s="302"/>
      <c r="HJQ7" s="302"/>
      <c r="HJR7" s="302"/>
      <c r="HJS7" s="302"/>
      <c r="HJT7" s="302"/>
      <c r="HJU7" s="302"/>
      <c r="HJV7" s="302"/>
      <c r="HJW7" s="302"/>
      <c r="HJX7" s="302"/>
      <c r="HJY7" s="302"/>
      <c r="HJZ7" s="302"/>
      <c r="HKA7" s="302"/>
      <c r="HKB7" s="302"/>
      <c r="HKC7" s="302"/>
      <c r="HKD7" s="302"/>
      <c r="HKE7" s="302"/>
      <c r="HKF7" s="302"/>
      <c r="HKG7" s="302"/>
      <c r="HKH7" s="302"/>
      <c r="HKI7" s="302"/>
      <c r="HKJ7" s="302"/>
      <c r="HKK7" s="302"/>
      <c r="HKL7" s="302"/>
      <c r="HKM7" s="302"/>
      <c r="HKN7" s="302"/>
      <c r="HKO7" s="302"/>
      <c r="HKP7" s="302"/>
      <c r="HKQ7" s="302"/>
      <c r="HKR7" s="302"/>
      <c r="HKS7" s="302"/>
      <c r="HKT7" s="302"/>
      <c r="HKU7" s="302"/>
      <c r="HKV7" s="302"/>
      <c r="HKW7" s="302"/>
      <c r="HKX7" s="302"/>
      <c r="HKY7" s="302"/>
      <c r="HKZ7" s="302"/>
      <c r="HLA7" s="302"/>
      <c r="HLB7" s="302"/>
      <c r="HLC7" s="302"/>
      <c r="HLD7" s="302"/>
      <c r="HLE7" s="302"/>
      <c r="HLF7" s="302"/>
      <c r="HLG7" s="302"/>
      <c r="HLH7" s="302"/>
      <c r="HLI7" s="302"/>
      <c r="HLJ7" s="302"/>
      <c r="HLK7" s="302"/>
      <c r="HLL7" s="302"/>
      <c r="HLM7" s="302"/>
      <c r="HLN7" s="302"/>
      <c r="HLO7" s="302"/>
      <c r="HLP7" s="302"/>
      <c r="HLQ7" s="302"/>
      <c r="HLR7" s="302"/>
      <c r="HLS7" s="302"/>
      <c r="HLT7" s="302"/>
      <c r="HLU7" s="302"/>
      <c r="HLV7" s="302"/>
      <c r="HLW7" s="302"/>
      <c r="HLX7" s="302"/>
      <c r="HLY7" s="302"/>
      <c r="HLZ7" s="302"/>
      <c r="HMA7" s="302"/>
      <c r="HMB7" s="302"/>
      <c r="HMC7" s="302"/>
      <c r="HMD7" s="302"/>
      <c r="HME7" s="302"/>
      <c r="HMF7" s="302"/>
      <c r="HMG7" s="302"/>
      <c r="HMH7" s="302"/>
      <c r="HMI7" s="302"/>
      <c r="HMJ7" s="302"/>
      <c r="HMK7" s="302"/>
      <c r="HML7" s="302"/>
      <c r="HMM7" s="302"/>
      <c r="HMN7" s="302"/>
      <c r="HMO7" s="302"/>
      <c r="HMP7" s="302"/>
      <c r="HMQ7" s="302"/>
      <c r="HMR7" s="302"/>
      <c r="HMS7" s="302"/>
      <c r="HMT7" s="302"/>
      <c r="HMU7" s="302"/>
      <c r="HMV7" s="302"/>
      <c r="HMW7" s="302"/>
      <c r="HMX7" s="302"/>
      <c r="HMY7" s="302"/>
      <c r="HMZ7" s="302"/>
      <c r="HNA7" s="302"/>
      <c r="HNB7" s="302"/>
      <c r="HNC7" s="302"/>
      <c r="HND7" s="302"/>
      <c r="HNE7" s="302"/>
      <c r="HNF7" s="302"/>
      <c r="HNG7" s="302"/>
      <c r="HNH7" s="302"/>
      <c r="HNI7" s="302"/>
      <c r="HNJ7" s="302"/>
      <c r="HNK7" s="302"/>
      <c r="HNL7" s="302"/>
      <c r="HNM7" s="302"/>
      <c r="HNN7" s="302"/>
      <c r="HNO7" s="302"/>
      <c r="HNP7" s="302"/>
      <c r="HNQ7" s="302"/>
      <c r="HNR7" s="302"/>
      <c r="HNS7" s="302"/>
      <c r="HNT7" s="302"/>
      <c r="HNU7" s="302"/>
      <c r="HNV7" s="302"/>
      <c r="HNW7" s="302"/>
      <c r="HNX7" s="302"/>
      <c r="HNY7" s="302"/>
      <c r="HNZ7" s="302"/>
      <c r="HOA7" s="302"/>
      <c r="HOB7" s="302"/>
      <c r="HOC7" s="302"/>
      <c r="HOD7" s="302"/>
      <c r="HOE7" s="302"/>
      <c r="HOF7" s="302"/>
      <c r="HOG7" s="302"/>
      <c r="HOH7" s="302"/>
      <c r="HOI7" s="302"/>
      <c r="HOJ7" s="302"/>
      <c r="HOK7" s="302"/>
      <c r="HOL7" s="302"/>
      <c r="HOM7" s="302"/>
      <c r="HON7" s="302"/>
      <c r="HOO7" s="302"/>
      <c r="HOP7" s="302"/>
      <c r="HOQ7" s="302"/>
      <c r="HOR7" s="302"/>
      <c r="HOS7" s="302"/>
      <c r="HOT7" s="302"/>
      <c r="HOU7" s="302"/>
      <c r="HOV7" s="302"/>
      <c r="HOW7" s="302"/>
      <c r="HOX7" s="302"/>
      <c r="HOY7" s="302"/>
      <c r="HOZ7" s="302"/>
      <c r="HPA7" s="302"/>
      <c r="HPB7" s="302"/>
      <c r="HPC7" s="302"/>
      <c r="HPD7" s="302"/>
      <c r="HPE7" s="302"/>
      <c r="HPF7" s="302"/>
      <c r="HPG7" s="302"/>
      <c r="HPH7" s="302"/>
      <c r="HPI7" s="302"/>
      <c r="HPJ7" s="302"/>
      <c r="HPK7" s="302"/>
      <c r="HPL7" s="302"/>
      <c r="HPM7" s="302"/>
      <c r="HPN7" s="302"/>
      <c r="HPO7" s="302"/>
      <c r="HPP7" s="302"/>
      <c r="HPQ7" s="302"/>
      <c r="HPR7" s="302"/>
      <c r="HPS7" s="302"/>
      <c r="HPT7" s="302"/>
      <c r="HPU7" s="302"/>
      <c r="HPV7" s="302"/>
      <c r="HPW7" s="302"/>
      <c r="HPX7" s="302"/>
      <c r="HPY7" s="302"/>
      <c r="HPZ7" s="302"/>
      <c r="HQA7" s="302"/>
      <c r="HQB7" s="302"/>
      <c r="HQC7" s="302"/>
      <c r="HQD7" s="302"/>
      <c r="HQE7" s="302"/>
      <c r="HQF7" s="302"/>
      <c r="HQG7" s="302"/>
      <c r="HQH7" s="302"/>
      <c r="HQI7" s="302"/>
      <c r="HQJ7" s="302"/>
      <c r="HQK7" s="302"/>
      <c r="HQL7" s="302"/>
      <c r="HQM7" s="302"/>
      <c r="HQN7" s="302"/>
      <c r="HQO7" s="302"/>
      <c r="HQP7" s="302"/>
      <c r="HQQ7" s="302"/>
      <c r="HQR7" s="302"/>
      <c r="HQS7" s="302"/>
      <c r="HQT7" s="302"/>
      <c r="HQU7" s="302"/>
      <c r="HQV7" s="302"/>
      <c r="HQW7" s="302"/>
      <c r="HQX7" s="302"/>
      <c r="HQY7" s="302"/>
      <c r="HQZ7" s="302"/>
      <c r="HRA7" s="302"/>
      <c r="HRB7" s="302"/>
      <c r="HRC7" s="302"/>
      <c r="HRD7" s="302"/>
      <c r="HRE7" s="302"/>
      <c r="HRF7" s="302"/>
      <c r="HRG7" s="302"/>
      <c r="HRH7" s="302"/>
      <c r="HRI7" s="302"/>
      <c r="HRJ7" s="302"/>
      <c r="HRK7" s="302"/>
      <c r="HRL7" s="302"/>
      <c r="HRM7" s="302"/>
      <c r="HRN7" s="302"/>
      <c r="HRO7" s="302"/>
      <c r="HRP7" s="302"/>
      <c r="HRQ7" s="302"/>
      <c r="HRR7" s="302"/>
      <c r="HRS7" s="302"/>
      <c r="HRT7" s="302"/>
      <c r="HRU7" s="302"/>
      <c r="HRV7" s="302"/>
      <c r="HRW7" s="302"/>
      <c r="HRX7" s="302"/>
      <c r="HRY7" s="302"/>
      <c r="HRZ7" s="302"/>
      <c r="HSA7" s="302"/>
      <c r="HSB7" s="302"/>
      <c r="HSC7" s="302"/>
      <c r="HSD7" s="302"/>
      <c r="HSE7" s="302"/>
      <c r="HSF7" s="302"/>
      <c r="HSG7" s="302"/>
      <c r="HSH7" s="302"/>
      <c r="HSI7" s="302"/>
      <c r="HSJ7" s="302"/>
      <c r="HSK7" s="302"/>
      <c r="HSL7" s="302"/>
      <c r="HSM7" s="302"/>
      <c r="HSN7" s="302"/>
      <c r="HSO7" s="302"/>
      <c r="HSP7" s="302"/>
      <c r="HSQ7" s="302"/>
      <c r="HSR7" s="302"/>
      <c r="HSS7" s="302"/>
      <c r="HST7" s="302"/>
      <c r="HSU7" s="302"/>
      <c r="HSV7" s="302"/>
      <c r="HSW7" s="302"/>
      <c r="HSX7" s="302"/>
      <c r="HSY7" s="302"/>
      <c r="HSZ7" s="302"/>
      <c r="HTA7" s="302"/>
      <c r="HTB7" s="302"/>
      <c r="HTC7" s="302"/>
      <c r="HTD7" s="302"/>
      <c r="HTE7" s="302"/>
      <c r="HTF7" s="302"/>
      <c r="HTG7" s="302"/>
      <c r="HTH7" s="302"/>
      <c r="HTI7" s="302"/>
      <c r="HTJ7" s="302"/>
      <c r="HTK7" s="302"/>
      <c r="HTL7" s="302"/>
      <c r="HTM7" s="302"/>
      <c r="HTN7" s="302"/>
      <c r="HTO7" s="302"/>
      <c r="HTP7" s="302"/>
      <c r="HTQ7" s="302"/>
      <c r="HTR7" s="302"/>
      <c r="HTS7" s="302"/>
      <c r="HTT7" s="302"/>
      <c r="HTU7" s="302"/>
      <c r="HTV7" s="302"/>
      <c r="HTW7" s="302"/>
      <c r="HTX7" s="302"/>
      <c r="HTY7" s="302"/>
      <c r="HTZ7" s="302"/>
      <c r="HUA7" s="302"/>
      <c r="HUB7" s="302"/>
      <c r="HUC7" s="302"/>
      <c r="HUD7" s="302"/>
      <c r="HUE7" s="302"/>
      <c r="HUF7" s="302"/>
      <c r="HUG7" s="302"/>
      <c r="HUH7" s="302"/>
      <c r="HUI7" s="302"/>
      <c r="HUJ7" s="302"/>
      <c r="HUK7" s="302"/>
      <c r="HUL7" s="302"/>
      <c r="HUM7" s="302"/>
      <c r="HUN7" s="302"/>
      <c r="HUO7" s="302"/>
      <c r="HUP7" s="302"/>
      <c r="HUQ7" s="302"/>
      <c r="HUR7" s="302"/>
      <c r="HUS7" s="302"/>
      <c r="HUT7" s="302"/>
      <c r="HUU7" s="302"/>
      <c r="HUV7" s="302"/>
      <c r="HUW7" s="302"/>
      <c r="HUX7" s="302"/>
      <c r="HUY7" s="302"/>
      <c r="HUZ7" s="302"/>
      <c r="HVA7" s="302"/>
      <c r="HVB7" s="302"/>
      <c r="HVC7" s="302"/>
      <c r="HVD7" s="302"/>
      <c r="HVE7" s="302"/>
      <c r="HVF7" s="302"/>
      <c r="HVG7" s="302"/>
      <c r="HVH7" s="302"/>
      <c r="HVI7" s="302"/>
      <c r="HVJ7" s="302"/>
      <c r="HVK7" s="302"/>
      <c r="HVL7" s="302"/>
      <c r="HVM7" s="302"/>
      <c r="HVN7" s="302"/>
      <c r="HVO7" s="302"/>
      <c r="HVP7" s="302"/>
      <c r="HVQ7" s="302"/>
      <c r="HVR7" s="302"/>
      <c r="HVS7" s="302"/>
      <c r="HVT7" s="302"/>
      <c r="HVU7" s="302"/>
      <c r="HVV7" s="302"/>
      <c r="HVW7" s="302"/>
      <c r="HVX7" s="302"/>
      <c r="HVY7" s="302"/>
      <c r="HVZ7" s="302"/>
      <c r="HWA7" s="302"/>
      <c r="HWB7" s="302"/>
      <c r="HWC7" s="302"/>
      <c r="HWD7" s="302"/>
      <c r="HWE7" s="302"/>
      <c r="HWF7" s="302"/>
      <c r="HWG7" s="302"/>
      <c r="HWH7" s="302"/>
      <c r="HWI7" s="302"/>
      <c r="HWJ7" s="302"/>
      <c r="HWK7" s="302"/>
      <c r="HWL7" s="302"/>
      <c r="HWM7" s="302"/>
      <c r="HWN7" s="302"/>
      <c r="HWO7" s="302"/>
      <c r="HWP7" s="302"/>
      <c r="HWQ7" s="302"/>
      <c r="HWR7" s="302"/>
      <c r="HWS7" s="302"/>
      <c r="HWT7" s="302"/>
      <c r="HWU7" s="302"/>
      <c r="HWV7" s="302"/>
      <c r="HWW7" s="302"/>
      <c r="HWX7" s="302"/>
      <c r="HWY7" s="302"/>
      <c r="HWZ7" s="302"/>
      <c r="HXA7" s="302"/>
      <c r="HXB7" s="302"/>
      <c r="HXC7" s="302"/>
      <c r="HXD7" s="302"/>
      <c r="HXE7" s="302"/>
      <c r="HXF7" s="302"/>
      <c r="HXG7" s="302"/>
      <c r="HXH7" s="302"/>
      <c r="HXI7" s="302"/>
      <c r="HXJ7" s="302"/>
      <c r="HXK7" s="302"/>
      <c r="HXL7" s="302"/>
      <c r="HXM7" s="302"/>
      <c r="HXN7" s="302"/>
      <c r="HXO7" s="302"/>
      <c r="HXP7" s="302"/>
      <c r="HXQ7" s="302"/>
      <c r="HXR7" s="302"/>
      <c r="HXS7" s="302"/>
      <c r="HXT7" s="302"/>
      <c r="HXU7" s="302"/>
      <c r="HXV7" s="302"/>
      <c r="HXW7" s="302"/>
      <c r="HXX7" s="302"/>
      <c r="HXY7" s="302"/>
      <c r="HXZ7" s="302"/>
      <c r="HYA7" s="302"/>
      <c r="HYB7" s="302"/>
      <c r="HYC7" s="302"/>
      <c r="HYD7" s="302"/>
      <c r="HYE7" s="302"/>
      <c r="HYF7" s="302"/>
      <c r="HYG7" s="302"/>
      <c r="HYH7" s="302"/>
      <c r="HYI7" s="302"/>
      <c r="HYJ7" s="302"/>
      <c r="HYK7" s="302"/>
      <c r="HYL7" s="302"/>
      <c r="HYM7" s="302"/>
      <c r="HYN7" s="302"/>
      <c r="HYO7" s="302"/>
      <c r="HYP7" s="302"/>
      <c r="HYQ7" s="302"/>
      <c r="HYR7" s="302"/>
      <c r="HYS7" s="302"/>
      <c r="HYT7" s="302"/>
      <c r="HYU7" s="302"/>
      <c r="HYV7" s="302"/>
      <c r="HYW7" s="302"/>
      <c r="HYX7" s="302"/>
      <c r="HYY7" s="302"/>
      <c r="HYZ7" s="302"/>
      <c r="HZA7" s="302"/>
      <c r="HZB7" s="302"/>
      <c r="HZC7" s="302"/>
      <c r="HZD7" s="302"/>
      <c r="HZE7" s="302"/>
      <c r="HZF7" s="302"/>
      <c r="HZG7" s="302"/>
      <c r="HZH7" s="302"/>
      <c r="HZI7" s="302"/>
      <c r="HZJ7" s="302"/>
      <c r="HZK7" s="302"/>
      <c r="HZL7" s="302"/>
      <c r="HZM7" s="302"/>
      <c r="HZN7" s="302"/>
      <c r="HZO7" s="302"/>
      <c r="HZP7" s="302"/>
      <c r="HZQ7" s="302"/>
      <c r="HZR7" s="302"/>
      <c r="HZS7" s="302"/>
      <c r="HZT7" s="302"/>
      <c r="HZU7" s="302"/>
      <c r="HZV7" s="302"/>
      <c r="HZW7" s="302"/>
      <c r="HZX7" s="302"/>
      <c r="HZY7" s="302"/>
      <c r="HZZ7" s="302"/>
      <c r="IAA7" s="302"/>
      <c r="IAB7" s="302"/>
      <c r="IAC7" s="302"/>
      <c r="IAD7" s="302"/>
      <c r="IAE7" s="302"/>
      <c r="IAF7" s="302"/>
      <c r="IAG7" s="302"/>
      <c r="IAH7" s="302"/>
      <c r="IAI7" s="302"/>
      <c r="IAJ7" s="302"/>
      <c r="IAK7" s="302"/>
      <c r="IAL7" s="302"/>
      <c r="IAM7" s="302"/>
      <c r="IAN7" s="302"/>
      <c r="IAO7" s="302"/>
      <c r="IAP7" s="302"/>
      <c r="IAQ7" s="302"/>
      <c r="IAR7" s="302"/>
      <c r="IAS7" s="302"/>
      <c r="IAT7" s="302"/>
      <c r="IAU7" s="302"/>
      <c r="IAV7" s="302"/>
      <c r="IAW7" s="302"/>
      <c r="IAX7" s="302"/>
      <c r="IAY7" s="302"/>
      <c r="IAZ7" s="302"/>
      <c r="IBA7" s="302"/>
      <c r="IBB7" s="302"/>
      <c r="IBC7" s="302"/>
      <c r="IBD7" s="302"/>
      <c r="IBE7" s="302"/>
      <c r="IBF7" s="302"/>
      <c r="IBG7" s="302"/>
      <c r="IBH7" s="302"/>
      <c r="IBI7" s="302"/>
      <c r="IBJ7" s="302"/>
      <c r="IBK7" s="302"/>
      <c r="IBL7" s="302"/>
      <c r="IBM7" s="302"/>
      <c r="IBN7" s="302"/>
      <c r="IBO7" s="302"/>
      <c r="IBP7" s="302"/>
      <c r="IBQ7" s="302"/>
      <c r="IBR7" s="302"/>
      <c r="IBS7" s="302"/>
      <c r="IBT7" s="302"/>
      <c r="IBU7" s="302"/>
      <c r="IBV7" s="302"/>
      <c r="IBW7" s="302"/>
      <c r="IBX7" s="302"/>
      <c r="IBY7" s="302"/>
      <c r="IBZ7" s="302"/>
      <c r="ICA7" s="302"/>
      <c r="ICB7" s="302"/>
      <c r="ICC7" s="302"/>
      <c r="ICD7" s="302"/>
      <c r="ICE7" s="302"/>
      <c r="ICF7" s="302"/>
      <c r="ICG7" s="302"/>
      <c r="ICH7" s="302"/>
      <c r="ICI7" s="302"/>
      <c r="ICJ7" s="302"/>
      <c r="ICK7" s="302"/>
      <c r="ICL7" s="302"/>
      <c r="ICM7" s="302"/>
      <c r="ICN7" s="302"/>
      <c r="ICO7" s="302"/>
      <c r="ICP7" s="302"/>
      <c r="ICQ7" s="302"/>
      <c r="ICR7" s="302"/>
      <c r="ICS7" s="302"/>
      <c r="ICT7" s="302"/>
      <c r="ICU7" s="302"/>
      <c r="ICV7" s="302"/>
      <c r="ICW7" s="302"/>
      <c r="ICX7" s="302"/>
      <c r="ICY7" s="302"/>
      <c r="ICZ7" s="302"/>
      <c r="IDA7" s="302"/>
      <c r="IDB7" s="302"/>
      <c r="IDC7" s="302"/>
      <c r="IDD7" s="302"/>
      <c r="IDE7" s="302"/>
      <c r="IDF7" s="302"/>
      <c r="IDG7" s="302"/>
      <c r="IDH7" s="302"/>
      <c r="IDI7" s="302"/>
      <c r="IDJ7" s="302"/>
      <c r="IDK7" s="302"/>
      <c r="IDL7" s="302"/>
      <c r="IDM7" s="302"/>
      <c r="IDN7" s="302"/>
      <c r="IDO7" s="302"/>
      <c r="IDP7" s="302"/>
      <c r="IDQ7" s="302"/>
      <c r="IDR7" s="302"/>
      <c r="IDS7" s="302"/>
      <c r="IDT7" s="302"/>
      <c r="IDU7" s="302"/>
      <c r="IDV7" s="302"/>
      <c r="IDW7" s="302"/>
      <c r="IDX7" s="302"/>
      <c r="IDY7" s="302"/>
      <c r="IDZ7" s="302"/>
      <c r="IEA7" s="302"/>
      <c r="IEB7" s="302"/>
      <c r="IEC7" s="302"/>
      <c r="IED7" s="302"/>
      <c r="IEE7" s="302"/>
      <c r="IEF7" s="302"/>
      <c r="IEG7" s="302"/>
      <c r="IEH7" s="302"/>
      <c r="IEI7" s="302"/>
      <c r="IEJ7" s="302"/>
      <c r="IEK7" s="302"/>
      <c r="IEL7" s="302"/>
      <c r="IEM7" s="302"/>
      <c r="IEN7" s="302"/>
      <c r="IEO7" s="302"/>
      <c r="IEP7" s="302"/>
      <c r="IEQ7" s="302"/>
      <c r="IER7" s="302"/>
      <c r="IES7" s="302"/>
      <c r="IET7" s="302"/>
      <c r="IEU7" s="302"/>
      <c r="IEV7" s="302"/>
      <c r="IEW7" s="302"/>
      <c r="IEX7" s="302"/>
      <c r="IEY7" s="302"/>
      <c r="IEZ7" s="302"/>
      <c r="IFA7" s="302"/>
      <c r="IFB7" s="302"/>
      <c r="IFC7" s="302"/>
      <c r="IFD7" s="302"/>
      <c r="IFE7" s="302"/>
      <c r="IFF7" s="302"/>
      <c r="IFG7" s="302"/>
      <c r="IFH7" s="302"/>
      <c r="IFI7" s="302"/>
      <c r="IFJ7" s="302"/>
      <c r="IFK7" s="302"/>
      <c r="IFL7" s="302"/>
      <c r="IFM7" s="302"/>
      <c r="IFN7" s="302"/>
      <c r="IFO7" s="302"/>
      <c r="IFP7" s="302"/>
      <c r="IFQ7" s="302"/>
      <c r="IFR7" s="302"/>
      <c r="IFS7" s="302"/>
      <c r="IFT7" s="302"/>
      <c r="IFU7" s="302"/>
      <c r="IFV7" s="302"/>
      <c r="IFW7" s="302"/>
      <c r="IFX7" s="302"/>
      <c r="IFY7" s="302"/>
      <c r="IFZ7" s="302"/>
      <c r="IGA7" s="302"/>
      <c r="IGB7" s="302"/>
      <c r="IGC7" s="302"/>
      <c r="IGD7" s="302"/>
      <c r="IGE7" s="302"/>
      <c r="IGF7" s="302"/>
      <c r="IGG7" s="302"/>
      <c r="IGH7" s="302"/>
      <c r="IGI7" s="302"/>
      <c r="IGJ7" s="302"/>
      <c r="IGK7" s="302"/>
      <c r="IGL7" s="302"/>
      <c r="IGM7" s="302"/>
      <c r="IGN7" s="302"/>
      <c r="IGO7" s="302"/>
      <c r="IGP7" s="302"/>
      <c r="IGQ7" s="302"/>
      <c r="IGR7" s="302"/>
      <c r="IGS7" s="302"/>
      <c r="IGT7" s="302"/>
      <c r="IGU7" s="302"/>
      <c r="IGV7" s="302"/>
      <c r="IGW7" s="302"/>
      <c r="IGX7" s="302"/>
      <c r="IGY7" s="302"/>
      <c r="IGZ7" s="302"/>
      <c r="IHA7" s="302"/>
      <c r="IHB7" s="302"/>
      <c r="IHC7" s="302"/>
      <c r="IHD7" s="302"/>
      <c r="IHE7" s="302"/>
      <c r="IHF7" s="302"/>
      <c r="IHG7" s="302"/>
      <c r="IHH7" s="302"/>
      <c r="IHI7" s="302"/>
      <c r="IHJ7" s="302"/>
      <c r="IHK7" s="302"/>
      <c r="IHL7" s="302"/>
      <c r="IHM7" s="302"/>
      <c r="IHN7" s="302"/>
      <c r="IHO7" s="302"/>
      <c r="IHP7" s="302"/>
      <c r="IHQ7" s="302"/>
      <c r="IHR7" s="302"/>
      <c r="IHS7" s="302"/>
      <c r="IHT7" s="302"/>
      <c r="IHU7" s="302"/>
      <c r="IHV7" s="302"/>
      <c r="IHW7" s="302"/>
      <c r="IHX7" s="302"/>
      <c r="IHY7" s="302"/>
      <c r="IHZ7" s="302"/>
      <c r="IIA7" s="302"/>
      <c r="IIB7" s="302"/>
      <c r="IIC7" s="302"/>
      <c r="IID7" s="302"/>
      <c r="IIE7" s="302"/>
      <c r="IIF7" s="302"/>
      <c r="IIG7" s="302"/>
      <c r="IIH7" s="302"/>
      <c r="III7" s="302"/>
      <c r="IIJ7" s="302"/>
      <c r="IIK7" s="302"/>
      <c r="IIL7" s="302"/>
      <c r="IIM7" s="302"/>
      <c r="IIN7" s="302"/>
      <c r="IIO7" s="302"/>
      <c r="IIP7" s="302"/>
      <c r="IIQ7" s="302"/>
      <c r="IIR7" s="302"/>
      <c r="IIS7" s="302"/>
      <c r="IIT7" s="302"/>
      <c r="IIU7" s="302"/>
      <c r="IIV7" s="302"/>
      <c r="IIW7" s="302"/>
      <c r="IIX7" s="302"/>
      <c r="IIY7" s="302"/>
      <c r="IIZ7" s="302"/>
      <c r="IJA7" s="302"/>
      <c r="IJB7" s="302"/>
      <c r="IJC7" s="302"/>
      <c r="IJD7" s="302"/>
      <c r="IJE7" s="302"/>
      <c r="IJF7" s="302"/>
      <c r="IJG7" s="302"/>
      <c r="IJH7" s="302"/>
      <c r="IJI7" s="302"/>
      <c r="IJJ7" s="302"/>
      <c r="IJK7" s="302"/>
      <c r="IJL7" s="302"/>
      <c r="IJM7" s="302"/>
      <c r="IJN7" s="302"/>
      <c r="IJO7" s="302"/>
      <c r="IJP7" s="302"/>
      <c r="IJQ7" s="302"/>
      <c r="IJR7" s="302"/>
      <c r="IJS7" s="302"/>
      <c r="IJT7" s="302"/>
      <c r="IJU7" s="302"/>
      <c r="IJV7" s="302"/>
      <c r="IJW7" s="302"/>
      <c r="IJX7" s="302"/>
      <c r="IJY7" s="302"/>
      <c r="IJZ7" s="302"/>
      <c r="IKA7" s="302"/>
      <c r="IKB7" s="302"/>
      <c r="IKC7" s="302"/>
      <c r="IKD7" s="302"/>
      <c r="IKE7" s="302"/>
      <c r="IKF7" s="302"/>
      <c r="IKG7" s="302"/>
      <c r="IKH7" s="302"/>
      <c r="IKI7" s="302"/>
      <c r="IKJ7" s="302"/>
      <c r="IKK7" s="302"/>
      <c r="IKL7" s="302"/>
      <c r="IKM7" s="302"/>
      <c r="IKN7" s="302"/>
      <c r="IKO7" s="302"/>
      <c r="IKP7" s="302"/>
      <c r="IKQ7" s="302"/>
      <c r="IKR7" s="302"/>
      <c r="IKS7" s="302"/>
      <c r="IKT7" s="302"/>
      <c r="IKU7" s="302"/>
      <c r="IKV7" s="302"/>
      <c r="IKW7" s="302"/>
      <c r="IKX7" s="302"/>
      <c r="IKY7" s="302"/>
      <c r="IKZ7" s="302"/>
      <c r="ILA7" s="302"/>
      <c r="ILB7" s="302"/>
      <c r="ILC7" s="302"/>
      <c r="ILD7" s="302"/>
      <c r="ILE7" s="302"/>
      <c r="ILF7" s="302"/>
      <c r="ILG7" s="302"/>
      <c r="ILH7" s="302"/>
      <c r="ILI7" s="302"/>
      <c r="ILJ7" s="302"/>
      <c r="ILK7" s="302"/>
      <c r="ILL7" s="302"/>
      <c r="ILM7" s="302"/>
      <c r="ILN7" s="302"/>
      <c r="ILO7" s="302"/>
      <c r="ILP7" s="302"/>
      <c r="ILQ7" s="302"/>
      <c r="ILR7" s="302"/>
      <c r="ILS7" s="302"/>
      <c r="ILT7" s="302"/>
      <c r="ILU7" s="302"/>
      <c r="ILV7" s="302"/>
      <c r="ILW7" s="302"/>
      <c r="ILX7" s="302"/>
      <c r="ILY7" s="302"/>
      <c r="ILZ7" s="302"/>
      <c r="IMA7" s="302"/>
      <c r="IMB7" s="302"/>
      <c r="IMC7" s="302"/>
      <c r="IMD7" s="302"/>
      <c r="IME7" s="302"/>
      <c r="IMF7" s="302"/>
      <c r="IMG7" s="302"/>
      <c r="IMH7" s="302"/>
      <c r="IMI7" s="302"/>
      <c r="IMJ7" s="302"/>
      <c r="IMK7" s="302"/>
      <c r="IML7" s="302"/>
      <c r="IMM7" s="302"/>
      <c r="IMN7" s="302"/>
      <c r="IMO7" s="302"/>
      <c r="IMP7" s="302"/>
      <c r="IMQ7" s="302"/>
      <c r="IMR7" s="302"/>
      <c r="IMS7" s="302"/>
      <c r="IMT7" s="302"/>
      <c r="IMU7" s="302"/>
      <c r="IMV7" s="302"/>
      <c r="IMW7" s="302"/>
      <c r="IMX7" s="302"/>
      <c r="IMY7" s="302"/>
      <c r="IMZ7" s="302"/>
      <c r="INA7" s="302"/>
      <c r="INB7" s="302"/>
      <c r="INC7" s="302"/>
      <c r="IND7" s="302"/>
      <c r="INE7" s="302"/>
      <c r="INF7" s="302"/>
      <c r="ING7" s="302"/>
      <c r="INH7" s="302"/>
      <c r="INI7" s="302"/>
      <c r="INJ7" s="302"/>
      <c r="INK7" s="302"/>
      <c r="INL7" s="302"/>
      <c r="INM7" s="302"/>
      <c r="INN7" s="302"/>
      <c r="INO7" s="302"/>
      <c r="INP7" s="302"/>
      <c r="INQ7" s="302"/>
      <c r="INR7" s="302"/>
      <c r="INS7" s="302"/>
      <c r="INT7" s="302"/>
      <c r="INU7" s="302"/>
      <c r="INV7" s="302"/>
      <c r="INW7" s="302"/>
      <c r="INX7" s="302"/>
      <c r="INY7" s="302"/>
      <c r="INZ7" s="302"/>
      <c r="IOA7" s="302"/>
      <c r="IOB7" s="302"/>
      <c r="IOC7" s="302"/>
      <c r="IOD7" s="302"/>
      <c r="IOE7" s="302"/>
      <c r="IOF7" s="302"/>
      <c r="IOG7" s="302"/>
      <c r="IOH7" s="302"/>
      <c r="IOI7" s="302"/>
      <c r="IOJ7" s="302"/>
      <c r="IOK7" s="302"/>
      <c r="IOL7" s="302"/>
      <c r="IOM7" s="302"/>
      <c r="ION7" s="302"/>
      <c r="IOO7" s="302"/>
      <c r="IOP7" s="302"/>
      <c r="IOQ7" s="302"/>
      <c r="IOR7" s="302"/>
      <c r="IOS7" s="302"/>
      <c r="IOT7" s="302"/>
      <c r="IOU7" s="302"/>
      <c r="IOV7" s="302"/>
      <c r="IOW7" s="302"/>
      <c r="IOX7" s="302"/>
      <c r="IOY7" s="302"/>
      <c r="IOZ7" s="302"/>
      <c r="IPA7" s="302"/>
      <c r="IPB7" s="302"/>
      <c r="IPC7" s="302"/>
      <c r="IPD7" s="302"/>
      <c r="IPE7" s="302"/>
      <c r="IPF7" s="302"/>
      <c r="IPG7" s="302"/>
      <c r="IPH7" s="302"/>
      <c r="IPI7" s="302"/>
      <c r="IPJ7" s="302"/>
      <c r="IPK7" s="302"/>
      <c r="IPL7" s="302"/>
      <c r="IPM7" s="302"/>
      <c r="IPN7" s="302"/>
      <c r="IPO7" s="302"/>
      <c r="IPP7" s="302"/>
      <c r="IPQ7" s="302"/>
      <c r="IPR7" s="302"/>
      <c r="IPS7" s="302"/>
      <c r="IPT7" s="302"/>
      <c r="IPU7" s="302"/>
      <c r="IPV7" s="302"/>
      <c r="IPW7" s="302"/>
      <c r="IPX7" s="302"/>
      <c r="IPY7" s="302"/>
      <c r="IPZ7" s="302"/>
      <c r="IQA7" s="302"/>
      <c r="IQB7" s="302"/>
      <c r="IQC7" s="302"/>
      <c r="IQD7" s="302"/>
      <c r="IQE7" s="302"/>
      <c r="IQF7" s="302"/>
      <c r="IQG7" s="302"/>
      <c r="IQH7" s="302"/>
      <c r="IQI7" s="302"/>
      <c r="IQJ7" s="302"/>
      <c r="IQK7" s="302"/>
      <c r="IQL7" s="302"/>
      <c r="IQM7" s="302"/>
      <c r="IQN7" s="302"/>
      <c r="IQO7" s="302"/>
      <c r="IQP7" s="302"/>
      <c r="IQQ7" s="302"/>
      <c r="IQR7" s="302"/>
      <c r="IQS7" s="302"/>
      <c r="IQT7" s="302"/>
      <c r="IQU7" s="302"/>
      <c r="IQV7" s="302"/>
      <c r="IQW7" s="302"/>
      <c r="IQX7" s="302"/>
      <c r="IQY7" s="302"/>
      <c r="IQZ7" s="302"/>
      <c r="IRA7" s="302"/>
      <c r="IRB7" s="302"/>
      <c r="IRC7" s="302"/>
      <c r="IRD7" s="302"/>
      <c r="IRE7" s="302"/>
      <c r="IRF7" s="302"/>
      <c r="IRG7" s="302"/>
      <c r="IRH7" s="302"/>
      <c r="IRI7" s="302"/>
      <c r="IRJ7" s="302"/>
      <c r="IRK7" s="302"/>
      <c r="IRL7" s="302"/>
      <c r="IRM7" s="302"/>
      <c r="IRN7" s="302"/>
      <c r="IRO7" s="302"/>
      <c r="IRP7" s="302"/>
      <c r="IRQ7" s="302"/>
      <c r="IRR7" s="302"/>
      <c r="IRS7" s="302"/>
      <c r="IRT7" s="302"/>
      <c r="IRU7" s="302"/>
      <c r="IRV7" s="302"/>
      <c r="IRW7" s="302"/>
      <c r="IRX7" s="302"/>
      <c r="IRY7" s="302"/>
      <c r="IRZ7" s="302"/>
      <c r="ISA7" s="302"/>
      <c r="ISB7" s="302"/>
      <c r="ISC7" s="302"/>
      <c r="ISD7" s="302"/>
      <c r="ISE7" s="302"/>
      <c r="ISF7" s="302"/>
      <c r="ISG7" s="302"/>
      <c r="ISH7" s="302"/>
      <c r="ISI7" s="302"/>
      <c r="ISJ7" s="302"/>
      <c r="ISK7" s="302"/>
      <c r="ISL7" s="302"/>
      <c r="ISM7" s="302"/>
      <c r="ISN7" s="302"/>
      <c r="ISO7" s="302"/>
      <c r="ISP7" s="302"/>
      <c r="ISQ7" s="302"/>
      <c r="ISR7" s="302"/>
      <c r="ISS7" s="302"/>
      <c r="IST7" s="302"/>
      <c r="ISU7" s="302"/>
      <c r="ISV7" s="302"/>
      <c r="ISW7" s="302"/>
      <c r="ISX7" s="302"/>
      <c r="ISY7" s="302"/>
      <c r="ISZ7" s="302"/>
      <c r="ITA7" s="302"/>
      <c r="ITB7" s="302"/>
      <c r="ITC7" s="302"/>
      <c r="ITD7" s="302"/>
      <c r="ITE7" s="302"/>
      <c r="ITF7" s="302"/>
      <c r="ITG7" s="302"/>
      <c r="ITH7" s="302"/>
      <c r="ITI7" s="302"/>
      <c r="ITJ7" s="302"/>
      <c r="ITK7" s="302"/>
      <c r="ITL7" s="302"/>
      <c r="ITM7" s="302"/>
      <c r="ITN7" s="302"/>
      <c r="ITO7" s="302"/>
      <c r="ITP7" s="302"/>
      <c r="ITQ7" s="302"/>
      <c r="ITR7" s="302"/>
      <c r="ITS7" s="302"/>
      <c r="ITT7" s="302"/>
      <c r="ITU7" s="302"/>
      <c r="ITV7" s="302"/>
      <c r="ITW7" s="302"/>
      <c r="ITX7" s="302"/>
      <c r="ITY7" s="302"/>
      <c r="ITZ7" s="302"/>
      <c r="IUA7" s="302"/>
      <c r="IUB7" s="302"/>
      <c r="IUC7" s="302"/>
      <c r="IUD7" s="302"/>
      <c r="IUE7" s="302"/>
      <c r="IUF7" s="302"/>
      <c r="IUG7" s="302"/>
      <c r="IUH7" s="302"/>
      <c r="IUI7" s="302"/>
      <c r="IUJ7" s="302"/>
      <c r="IUK7" s="302"/>
      <c r="IUL7" s="302"/>
      <c r="IUM7" s="302"/>
      <c r="IUN7" s="302"/>
      <c r="IUO7" s="302"/>
      <c r="IUP7" s="302"/>
      <c r="IUQ7" s="302"/>
      <c r="IUR7" s="302"/>
      <c r="IUS7" s="302"/>
      <c r="IUT7" s="302"/>
      <c r="IUU7" s="302"/>
      <c r="IUV7" s="302"/>
      <c r="IUW7" s="302"/>
      <c r="IUX7" s="302"/>
      <c r="IUY7" s="302"/>
      <c r="IUZ7" s="302"/>
      <c r="IVA7" s="302"/>
      <c r="IVB7" s="302"/>
      <c r="IVC7" s="302"/>
      <c r="IVD7" s="302"/>
      <c r="IVE7" s="302"/>
      <c r="IVF7" s="302"/>
      <c r="IVG7" s="302"/>
      <c r="IVH7" s="302"/>
      <c r="IVI7" s="302"/>
      <c r="IVJ7" s="302"/>
      <c r="IVK7" s="302"/>
      <c r="IVL7" s="302"/>
      <c r="IVM7" s="302"/>
      <c r="IVN7" s="302"/>
      <c r="IVO7" s="302"/>
      <c r="IVP7" s="302"/>
      <c r="IVQ7" s="302"/>
      <c r="IVR7" s="302"/>
      <c r="IVS7" s="302"/>
      <c r="IVT7" s="302"/>
      <c r="IVU7" s="302"/>
      <c r="IVV7" s="302"/>
      <c r="IVW7" s="302"/>
      <c r="IVX7" s="302"/>
      <c r="IVY7" s="302"/>
      <c r="IVZ7" s="302"/>
      <c r="IWA7" s="302"/>
      <c r="IWB7" s="302"/>
      <c r="IWC7" s="302"/>
      <c r="IWD7" s="302"/>
      <c r="IWE7" s="302"/>
      <c r="IWF7" s="302"/>
      <c r="IWG7" s="302"/>
      <c r="IWH7" s="302"/>
      <c r="IWI7" s="302"/>
      <c r="IWJ7" s="302"/>
      <c r="IWK7" s="302"/>
      <c r="IWL7" s="302"/>
      <c r="IWM7" s="302"/>
      <c r="IWN7" s="302"/>
      <c r="IWO7" s="302"/>
      <c r="IWP7" s="302"/>
      <c r="IWQ7" s="302"/>
      <c r="IWR7" s="302"/>
      <c r="IWS7" s="302"/>
      <c r="IWT7" s="302"/>
      <c r="IWU7" s="302"/>
      <c r="IWV7" s="302"/>
      <c r="IWW7" s="302"/>
      <c r="IWX7" s="302"/>
      <c r="IWY7" s="302"/>
      <c r="IWZ7" s="302"/>
      <c r="IXA7" s="302"/>
      <c r="IXB7" s="302"/>
      <c r="IXC7" s="302"/>
      <c r="IXD7" s="302"/>
      <c r="IXE7" s="302"/>
      <c r="IXF7" s="302"/>
      <c r="IXG7" s="302"/>
      <c r="IXH7" s="302"/>
      <c r="IXI7" s="302"/>
      <c r="IXJ7" s="302"/>
      <c r="IXK7" s="302"/>
      <c r="IXL7" s="302"/>
      <c r="IXM7" s="302"/>
      <c r="IXN7" s="302"/>
      <c r="IXO7" s="302"/>
      <c r="IXP7" s="302"/>
      <c r="IXQ7" s="302"/>
      <c r="IXR7" s="302"/>
      <c r="IXS7" s="302"/>
      <c r="IXT7" s="302"/>
      <c r="IXU7" s="302"/>
      <c r="IXV7" s="302"/>
      <c r="IXW7" s="302"/>
      <c r="IXX7" s="302"/>
      <c r="IXY7" s="302"/>
      <c r="IXZ7" s="302"/>
      <c r="IYA7" s="302"/>
      <c r="IYB7" s="302"/>
      <c r="IYC7" s="302"/>
      <c r="IYD7" s="302"/>
      <c r="IYE7" s="302"/>
      <c r="IYF7" s="302"/>
      <c r="IYG7" s="302"/>
      <c r="IYH7" s="302"/>
      <c r="IYI7" s="302"/>
      <c r="IYJ7" s="302"/>
      <c r="IYK7" s="302"/>
      <c r="IYL7" s="302"/>
      <c r="IYM7" s="302"/>
      <c r="IYN7" s="302"/>
      <c r="IYO7" s="302"/>
      <c r="IYP7" s="302"/>
      <c r="IYQ7" s="302"/>
      <c r="IYR7" s="302"/>
      <c r="IYS7" s="302"/>
      <c r="IYT7" s="302"/>
      <c r="IYU7" s="302"/>
      <c r="IYV7" s="302"/>
      <c r="IYW7" s="302"/>
      <c r="IYX7" s="302"/>
      <c r="IYY7" s="302"/>
      <c r="IYZ7" s="302"/>
      <c r="IZA7" s="302"/>
      <c r="IZB7" s="302"/>
      <c r="IZC7" s="302"/>
      <c r="IZD7" s="302"/>
      <c r="IZE7" s="302"/>
      <c r="IZF7" s="302"/>
      <c r="IZG7" s="302"/>
      <c r="IZH7" s="302"/>
      <c r="IZI7" s="302"/>
      <c r="IZJ7" s="302"/>
      <c r="IZK7" s="302"/>
      <c r="IZL7" s="302"/>
      <c r="IZM7" s="302"/>
      <c r="IZN7" s="302"/>
      <c r="IZO7" s="302"/>
      <c r="IZP7" s="302"/>
      <c r="IZQ7" s="302"/>
      <c r="IZR7" s="302"/>
      <c r="IZS7" s="302"/>
      <c r="IZT7" s="302"/>
      <c r="IZU7" s="302"/>
      <c r="IZV7" s="302"/>
      <c r="IZW7" s="302"/>
      <c r="IZX7" s="302"/>
      <c r="IZY7" s="302"/>
      <c r="IZZ7" s="302"/>
      <c r="JAA7" s="302"/>
      <c r="JAB7" s="302"/>
      <c r="JAC7" s="302"/>
      <c r="JAD7" s="302"/>
      <c r="JAE7" s="302"/>
      <c r="JAF7" s="302"/>
      <c r="JAG7" s="302"/>
      <c r="JAH7" s="302"/>
      <c r="JAI7" s="302"/>
      <c r="JAJ7" s="302"/>
      <c r="JAK7" s="302"/>
      <c r="JAL7" s="302"/>
      <c r="JAM7" s="302"/>
      <c r="JAN7" s="302"/>
      <c r="JAO7" s="302"/>
      <c r="JAP7" s="302"/>
      <c r="JAQ7" s="302"/>
      <c r="JAR7" s="302"/>
      <c r="JAS7" s="302"/>
      <c r="JAT7" s="302"/>
      <c r="JAU7" s="302"/>
      <c r="JAV7" s="302"/>
      <c r="JAW7" s="302"/>
      <c r="JAX7" s="302"/>
      <c r="JAY7" s="302"/>
      <c r="JAZ7" s="302"/>
      <c r="JBA7" s="302"/>
      <c r="JBB7" s="302"/>
      <c r="JBC7" s="302"/>
      <c r="JBD7" s="302"/>
      <c r="JBE7" s="302"/>
      <c r="JBF7" s="302"/>
      <c r="JBG7" s="302"/>
      <c r="JBH7" s="302"/>
      <c r="JBI7" s="302"/>
      <c r="JBJ7" s="302"/>
      <c r="JBK7" s="302"/>
      <c r="JBL7" s="302"/>
      <c r="JBM7" s="302"/>
      <c r="JBN7" s="302"/>
      <c r="JBO7" s="302"/>
      <c r="JBP7" s="302"/>
      <c r="JBQ7" s="302"/>
      <c r="JBR7" s="302"/>
      <c r="JBS7" s="302"/>
      <c r="JBT7" s="302"/>
      <c r="JBU7" s="302"/>
      <c r="JBV7" s="302"/>
      <c r="JBW7" s="302"/>
      <c r="JBX7" s="302"/>
      <c r="JBY7" s="302"/>
      <c r="JBZ7" s="302"/>
      <c r="JCA7" s="302"/>
      <c r="JCB7" s="302"/>
      <c r="JCC7" s="302"/>
      <c r="JCD7" s="302"/>
      <c r="JCE7" s="302"/>
      <c r="JCF7" s="302"/>
      <c r="JCG7" s="302"/>
      <c r="JCH7" s="302"/>
      <c r="JCI7" s="302"/>
      <c r="JCJ7" s="302"/>
      <c r="JCK7" s="302"/>
      <c r="JCL7" s="302"/>
      <c r="JCM7" s="302"/>
      <c r="JCN7" s="302"/>
      <c r="JCO7" s="302"/>
      <c r="JCP7" s="302"/>
      <c r="JCQ7" s="302"/>
      <c r="JCR7" s="302"/>
      <c r="JCS7" s="302"/>
      <c r="JCT7" s="302"/>
      <c r="JCU7" s="302"/>
      <c r="JCV7" s="302"/>
      <c r="JCW7" s="302"/>
      <c r="JCX7" s="302"/>
      <c r="JCY7" s="302"/>
      <c r="JCZ7" s="302"/>
      <c r="JDA7" s="302"/>
      <c r="JDB7" s="302"/>
      <c r="JDC7" s="302"/>
      <c r="JDD7" s="302"/>
      <c r="JDE7" s="302"/>
      <c r="JDF7" s="302"/>
      <c r="JDG7" s="302"/>
      <c r="JDH7" s="302"/>
      <c r="JDI7" s="302"/>
      <c r="JDJ7" s="302"/>
      <c r="JDK7" s="302"/>
      <c r="JDL7" s="302"/>
      <c r="JDM7" s="302"/>
      <c r="JDN7" s="302"/>
      <c r="JDO7" s="302"/>
      <c r="JDP7" s="302"/>
      <c r="JDQ7" s="302"/>
      <c r="JDR7" s="302"/>
      <c r="JDS7" s="302"/>
      <c r="JDT7" s="302"/>
      <c r="JDU7" s="302"/>
      <c r="JDV7" s="302"/>
      <c r="JDW7" s="302"/>
      <c r="JDX7" s="302"/>
      <c r="JDY7" s="302"/>
      <c r="JDZ7" s="302"/>
      <c r="JEA7" s="302"/>
      <c r="JEB7" s="302"/>
      <c r="JEC7" s="302"/>
      <c r="JED7" s="302"/>
      <c r="JEE7" s="302"/>
      <c r="JEF7" s="302"/>
      <c r="JEG7" s="302"/>
      <c r="JEH7" s="302"/>
      <c r="JEI7" s="302"/>
      <c r="JEJ7" s="302"/>
      <c r="JEK7" s="302"/>
      <c r="JEL7" s="302"/>
      <c r="JEM7" s="302"/>
      <c r="JEN7" s="302"/>
      <c r="JEO7" s="302"/>
      <c r="JEP7" s="302"/>
      <c r="JEQ7" s="302"/>
      <c r="JER7" s="302"/>
      <c r="JES7" s="302"/>
      <c r="JET7" s="302"/>
      <c r="JEU7" s="302"/>
      <c r="JEV7" s="302"/>
      <c r="JEW7" s="302"/>
      <c r="JEX7" s="302"/>
      <c r="JEY7" s="302"/>
      <c r="JEZ7" s="302"/>
      <c r="JFA7" s="302"/>
      <c r="JFB7" s="302"/>
      <c r="JFC7" s="302"/>
      <c r="JFD7" s="302"/>
      <c r="JFE7" s="302"/>
      <c r="JFF7" s="302"/>
      <c r="JFG7" s="302"/>
      <c r="JFH7" s="302"/>
      <c r="JFI7" s="302"/>
      <c r="JFJ7" s="302"/>
      <c r="JFK7" s="302"/>
      <c r="JFL7" s="302"/>
      <c r="JFM7" s="302"/>
      <c r="JFN7" s="302"/>
      <c r="JFO7" s="302"/>
      <c r="JFP7" s="302"/>
      <c r="JFQ7" s="302"/>
      <c r="JFR7" s="302"/>
      <c r="JFS7" s="302"/>
      <c r="JFT7" s="302"/>
      <c r="JFU7" s="302"/>
      <c r="JFV7" s="302"/>
      <c r="JFW7" s="302"/>
      <c r="JFX7" s="302"/>
      <c r="JFY7" s="302"/>
      <c r="JFZ7" s="302"/>
      <c r="JGA7" s="302"/>
      <c r="JGB7" s="302"/>
      <c r="JGC7" s="302"/>
      <c r="JGD7" s="302"/>
      <c r="JGE7" s="302"/>
      <c r="JGF7" s="302"/>
      <c r="JGG7" s="302"/>
      <c r="JGH7" s="302"/>
      <c r="JGI7" s="302"/>
      <c r="JGJ7" s="302"/>
      <c r="JGK7" s="302"/>
      <c r="JGL7" s="302"/>
      <c r="JGM7" s="302"/>
      <c r="JGN7" s="302"/>
      <c r="JGO7" s="302"/>
      <c r="JGP7" s="302"/>
      <c r="JGQ7" s="302"/>
      <c r="JGR7" s="302"/>
      <c r="JGS7" s="302"/>
      <c r="JGT7" s="302"/>
      <c r="JGU7" s="302"/>
      <c r="JGV7" s="302"/>
      <c r="JGW7" s="302"/>
      <c r="JGX7" s="302"/>
      <c r="JGY7" s="302"/>
      <c r="JGZ7" s="302"/>
      <c r="JHA7" s="302"/>
      <c r="JHB7" s="302"/>
      <c r="JHC7" s="302"/>
      <c r="JHD7" s="302"/>
      <c r="JHE7" s="302"/>
      <c r="JHF7" s="302"/>
      <c r="JHG7" s="302"/>
      <c r="JHH7" s="302"/>
      <c r="JHI7" s="302"/>
      <c r="JHJ7" s="302"/>
      <c r="JHK7" s="302"/>
      <c r="JHL7" s="302"/>
      <c r="JHM7" s="302"/>
      <c r="JHN7" s="302"/>
      <c r="JHO7" s="302"/>
      <c r="JHP7" s="302"/>
      <c r="JHQ7" s="302"/>
      <c r="JHR7" s="302"/>
      <c r="JHS7" s="302"/>
      <c r="JHT7" s="302"/>
      <c r="JHU7" s="302"/>
      <c r="JHV7" s="302"/>
      <c r="JHW7" s="302"/>
      <c r="JHX7" s="302"/>
      <c r="JHY7" s="302"/>
      <c r="JHZ7" s="302"/>
      <c r="JIA7" s="302"/>
      <c r="JIB7" s="302"/>
      <c r="JIC7" s="302"/>
      <c r="JID7" s="302"/>
      <c r="JIE7" s="302"/>
      <c r="JIF7" s="302"/>
      <c r="JIG7" s="302"/>
      <c r="JIH7" s="302"/>
      <c r="JII7" s="302"/>
      <c r="JIJ7" s="302"/>
      <c r="JIK7" s="302"/>
      <c r="JIL7" s="302"/>
      <c r="JIM7" s="302"/>
      <c r="JIN7" s="302"/>
      <c r="JIO7" s="302"/>
      <c r="JIP7" s="302"/>
      <c r="JIQ7" s="302"/>
      <c r="JIR7" s="302"/>
      <c r="JIS7" s="302"/>
      <c r="JIT7" s="302"/>
      <c r="JIU7" s="302"/>
      <c r="JIV7" s="302"/>
      <c r="JIW7" s="302"/>
      <c r="JIX7" s="302"/>
      <c r="JIY7" s="302"/>
      <c r="JIZ7" s="302"/>
      <c r="JJA7" s="302"/>
      <c r="JJB7" s="302"/>
      <c r="JJC7" s="302"/>
      <c r="JJD7" s="302"/>
      <c r="JJE7" s="302"/>
      <c r="JJF7" s="302"/>
      <c r="JJG7" s="302"/>
      <c r="JJH7" s="302"/>
      <c r="JJI7" s="302"/>
      <c r="JJJ7" s="302"/>
      <c r="JJK7" s="302"/>
      <c r="JJL7" s="302"/>
      <c r="JJM7" s="302"/>
      <c r="JJN7" s="302"/>
      <c r="JJO7" s="302"/>
      <c r="JJP7" s="302"/>
      <c r="JJQ7" s="302"/>
      <c r="JJR7" s="302"/>
      <c r="JJS7" s="302"/>
      <c r="JJT7" s="302"/>
      <c r="JJU7" s="302"/>
      <c r="JJV7" s="302"/>
      <c r="JJW7" s="302"/>
      <c r="JJX7" s="302"/>
      <c r="JJY7" s="302"/>
      <c r="JJZ7" s="302"/>
      <c r="JKA7" s="302"/>
      <c r="JKB7" s="302"/>
      <c r="JKC7" s="302"/>
      <c r="JKD7" s="302"/>
      <c r="JKE7" s="302"/>
      <c r="JKF7" s="302"/>
      <c r="JKG7" s="302"/>
      <c r="JKH7" s="302"/>
      <c r="JKI7" s="302"/>
      <c r="JKJ7" s="302"/>
      <c r="JKK7" s="302"/>
      <c r="JKL7" s="302"/>
      <c r="JKM7" s="302"/>
      <c r="JKN7" s="302"/>
      <c r="JKO7" s="302"/>
      <c r="JKP7" s="302"/>
      <c r="JKQ7" s="302"/>
      <c r="JKR7" s="302"/>
      <c r="JKS7" s="302"/>
      <c r="JKT7" s="302"/>
      <c r="JKU7" s="302"/>
      <c r="JKV7" s="302"/>
      <c r="JKW7" s="302"/>
      <c r="JKX7" s="302"/>
      <c r="JKY7" s="302"/>
      <c r="JKZ7" s="302"/>
      <c r="JLA7" s="302"/>
      <c r="JLB7" s="302"/>
      <c r="JLC7" s="302"/>
      <c r="JLD7" s="302"/>
      <c r="JLE7" s="302"/>
      <c r="JLF7" s="302"/>
      <c r="JLG7" s="302"/>
      <c r="JLH7" s="302"/>
      <c r="JLI7" s="302"/>
      <c r="JLJ7" s="302"/>
      <c r="JLK7" s="302"/>
      <c r="JLL7" s="302"/>
      <c r="JLM7" s="302"/>
      <c r="JLN7" s="302"/>
      <c r="JLO7" s="302"/>
      <c r="JLP7" s="302"/>
      <c r="JLQ7" s="302"/>
      <c r="JLR7" s="302"/>
      <c r="JLS7" s="302"/>
      <c r="JLT7" s="302"/>
      <c r="JLU7" s="302"/>
      <c r="JLV7" s="302"/>
      <c r="JLW7" s="302"/>
      <c r="JLX7" s="302"/>
      <c r="JLY7" s="302"/>
      <c r="JLZ7" s="302"/>
      <c r="JMA7" s="302"/>
      <c r="JMB7" s="302"/>
      <c r="JMC7" s="302"/>
      <c r="JMD7" s="302"/>
      <c r="JME7" s="302"/>
      <c r="JMF7" s="302"/>
      <c r="JMG7" s="302"/>
      <c r="JMH7" s="302"/>
      <c r="JMI7" s="302"/>
      <c r="JMJ7" s="302"/>
      <c r="JMK7" s="302"/>
      <c r="JML7" s="302"/>
      <c r="JMM7" s="302"/>
      <c r="JMN7" s="302"/>
      <c r="JMO7" s="302"/>
      <c r="JMP7" s="302"/>
      <c r="JMQ7" s="302"/>
      <c r="JMR7" s="302"/>
      <c r="JMS7" s="302"/>
      <c r="JMT7" s="302"/>
      <c r="JMU7" s="302"/>
      <c r="JMV7" s="302"/>
      <c r="JMW7" s="302"/>
      <c r="JMX7" s="302"/>
      <c r="JMY7" s="302"/>
      <c r="JMZ7" s="302"/>
      <c r="JNA7" s="302"/>
      <c r="JNB7" s="302"/>
      <c r="JNC7" s="302"/>
      <c r="JND7" s="302"/>
      <c r="JNE7" s="302"/>
      <c r="JNF7" s="302"/>
      <c r="JNG7" s="302"/>
      <c r="JNH7" s="302"/>
      <c r="JNI7" s="302"/>
      <c r="JNJ7" s="302"/>
      <c r="JNK7" s="302"/>
      <c r="JNL7" s="302"/>
      <c r="JNM7" s="302"/>
      <c r="JNN7" s="302"/>
      <c r="JNO7" s="302"/>
      <c r="JNP7" s="302"/>
      <c r="JNQ7" s="302"/>
      <c r="JNR7" s="302"/>
      <c r="JNS7" s="302"/>
      <c r="JNT7" s="302"/>
      <c r="JNU7" s="302"/>
      <c r="JNV7" s="302"/>
      <c r="JNW7" s="302"/>
      <c r="JNX7" s="302"/>
      <c r="JNY7" s="302"/>
      <c r="JNZ7" s="302"/>
      <c r="JOA7" s="302"/>
      <c r="JOB7" s="302"/>
      <c r="JOC7" s="302"/>
      <c r="JOD7" s="302"/>
      <c r="JOE7" s="302"/>
      <c r="JOF7" s="302"/>
      <c r="JOG7" s="302"/>
      <c r="JOH7" s="302"/>
      <c r="JOI7" s="302"/>
      <c r="JOJ7" s="302"/>
      <c r="JOK7" s="302"/>
      <c r="JOL7" s="302"/>
      <c r="JOM7" s="302"/>
      <c r="JON7" s="302"/>
      <c r="JOO7" s="302"/>
      <c r="JOP7" s="302"/>
      <c r="JOQ7" s="302"/>
      <c r="JOR7" s="302"/>
      <c r="JOS7" s="302"/>
      <c r="JOT7" s="302"/>
      <c r="JOU7" s="302"/>
      <c r="JOV7" s="302"/>
      <c r="JOW7" s="302"/>
      <c r="JOX7" s="302"/>
      <c r="JOY7" s="302"/>
      <c r="JOZ7" s="302"/>
      <c r="JPA7" s="302"/>
      <c r="JPB7" s="302"/>
      <c r="JPC7" s="302"/>
      <c r="JPD7" s="302"/>
      <c r="JPE7" s="302"/>
      <c r="JPF7" s="302"/>
      <c r="JPG7" s="302"/>
      <c r="JPH7" s="302"/>
      <c r="JPI7" s="302"/>
      <c r="JPJ7" s="302"/>
      <c r="JPK7" s="302"/>
      <c r="JPL7" s="302"/>
      <c r="JPM7" s="302"/>
      <c r="JPN7" s="302"/>
      <c r="JPO7" s="302"/>
      <c r="JPP7" s="302"/>
      <c r="JPQ7" s="302"/>
      <c r="JPR7" s="302"/>
      <c r="JPS7" s="302"/>
      <c r="JPT7" s="302"/>
      <c r="JPU7" s="302"/>
      <c r="JPV7" s="302"/>
      <c r="JPW7" s="302"/>
      <c r="JPX7" s="302"/>
      <c r="JPY7" s="302"/>
      <c r="JPZ7" s="302"/>
      <c r="JQA7" s="302"/>
      <c r="JQB7" s="302"/>
      <c r="JQC7" s="302"/>
      <c r="JQD7" s="302"/>
      <c r="JQE7" s="302"/>
      <c r="JQF7" s="302"/>
      <c r="JQG7" s="302"/>
      <c r="JQH7" s="302"/>
      <c r="JQI7" s="302"/>
      <c r="JQJ7" s="302"/>
      <c r="JQK7" s="302"/>
      <c r="JQL7" s="302"/>
      <c r="JQM7" s="302"/>
      <c r="JQN7" s="302"/>
      <c r="JQO7" s="302"/>
      <c r="JQP7" s="302"/>
      <c r="JQQ7" s="302"/>
      <c r="JQR7" s="302"/>
      <c r="JQS7" s="302"/>
      <c r="JQT7" s="302"/>
      <c r="JQU7" s="302"/>
      <c r="JQV7" s="302"/>
      <c r="JQW7" s="302"/>
      <c r="JQX7" s="302"/>
      <c r="JQY7" s="302"/>
      <c r="JQZ7" s="302"/>
      <c r="JRA7" s="302"/>
      <c r="JRB7" s="302"/>
      <c r="JRC7" s="302"/>
      <c r="JRD7" s="302"/>
      <c r="JRE7" s="302"/>
      <c r="JRF7" s="302"/>
      <c r="JRG7" s="302"/>
      <c r="JRH7" s="302"/>
      <c r="JRI7" s="302"/>
      <c r="JRJ7" s="302"/>
      <c r="JRK7" s="302"/>
      <c r="JRL7" s="302"/>
      <c r="JRM7" s="302"/>
      <c r="JRN7" s="302"/>
      <c r="JRO7" s="302"/>
      <c r="JRP7" s="302"/>
      <c r="JRQ7" s="302"/>
      <c r="JRR7" s="302"/>
      <c r="JRS7" s="302"/>
      <c r="JRT7" s="302"/>
      <c r="JRU7" s="302"/>
      <c r="JRV7" s="302"/>
      <c r="JRW7" s="302"/>
      <c r="JRX7" s="302"/>
      <c r="JRY7" s="302"/>
      <c r="JRZ7" s="302"/>
      <c r="JSA7" s="302"/>
      <c r="JSB7" s="302"/>
      <c r="JSC7" s="302"/>
      <c r="JSD7" s="302"/>
      <c r="JSE7" s="302"/>
      <c r="JSF7" s="302"/>
      <c r="JSG7" s="302"/>
      <c r="JSH7" s="302"/>
      <c r="JSI7" s="302"/>
      <c r="JSJ7" s="302"/>
      <c r="JSK7" s="302"/>
      <c r="JSL7" s="302"/>
      <c r="JSM7" s="302"/>
      <c r="JSN7" s="302"/>
      <c r="JSO7" s="302"/>
      <c r="JSP7" s="302"/>
      <c r="JSQ7" s="302"/>
      <c r="JSR7" s="302"/>
      <c r="JSS7" s="302"/>
      <c r="JST7" s="302"/>
      <c r="JSU7" s="302"/>
      <c r="JSV7" s="302"/>
      <c r="JSW7" s="302"/>
      <c r="JSX7" s="302"/>
      <c r="JSY7" s="302"/>
      <c r="JSZ7" s="302"/>
      <c r="JTA7" s="302"/>
      <c r="JTB7" s="302"/>
      <c r="JTC7" s="302"/>
      <c r="JTD7" s="302"/>
      <c r="JTE7" s="302"/>
      <c r="JTF7" s="302"/>
      <c r="JTG7" s="302"/>
      <c r="JTH7" s="302"/>
      <c r="JTI7" s="302"/>
      <c r="JTJ7" s="302"/>
      <c r="JTK7" s="302"/>
      <c r="JTL7" s="302"/>
      <c r="JTM7" s="302"/>
      <c r="JTN7" s="302"/>
      <c r="JTO7" s="302"/>
      <c r="JTP7" s="302"/>
      <c r="JTQ7" s="302"/>
      <c r="JTR7" s="302"/>
      <c r="JTS7" s="302"/>
      <c r="JTT7" s="302"/>
      <c r="JTU7" s="302"/>
      <c r="JTV7" s="302"/>
      <c r="JTW7" s="302"/>
      <c r="JTX7" s="302"/>
      <c r="JTY7" s="302"/>
      <c r="JTZ7" s="302"/>
      <c r="JUA7" s="302"/>
      <c r="JUB7" s="302"/>
      <c r="JUC7" s="302"/>
      <c r="JUD7" s="302"/>
      <c r="JUE7" s="302"/>
      <c r="JUF7" s="302"/>
      <c r="JUG7" s="302"/>
      <c r="JUH7" s="302"/>
      <c r="JUI7" s="302"/>
      <c r="JUJ7" s="302"/>
      <c r="JUK7" s="302"/>
      <c r="JUL7" s="302"/>
      <c r="JUM7" s="302"/>
      <c r="JUN7" s="302"/>
      <c r="JUO7" s="302"/>
      <c r="JUP7" s="302"/>
      <c r="JUQ7" s="302"/>
      <c r="JUR7" s="302"/>
      <c r="JUS7" s="302"/>
      <c r="JUT7" s="302"/>
      <c r="JUU7" s="302"/>
      <c r="JUV7" s="302"/>
      <c r="JUW7" s="302"/>
      <c r="JUX7" s="302"/>
      <c r="JUY7" s="302"/>
      <c r="JUZ7" s="302"/>
      <c r="JVA7" s="302"/>
      <c r="JVB7" s="302"/>
      <c r="JVC7" s="302"/>
      <c r="JVD7" s="302"/>
      <c r="JVE7" s="302"/>
      <c r="JVF7" s="302"/>
      <c r="JVG7" s="302"/>
      <c r="JVH7" s="302"/>
      <c r="JVI7" s="302"/>
      <c r="JVJ7" s="302"/>
      <c r="JVK7" s="302"/>
      <c r="JVL7" s="302"/>
      <c r="JVM7" s="302"/>
      <c r="JVN7" s="302"/>
      <c r="JVO7" s="302"/>
      <c r="JVP7" s="302"/>
      <c r="JVQ7" s="302"/>
      <c r="JVR7" s="302"/>
      <c r="JVS7" s="302"/>
      <c r="JVT7" s="302"/>
      <c r="JVU7" s="302"/>
      <c r="JVV7" s="302"/>
      <c r="JVW7" s="302"/>
      <c r="JVX7" s="302"/>
      <c r="JVY7" s="302"/>
      <c r="JVZ7" s="302"/>
      <c r="JWA7" s="302"/>
      <c r="JWB7" s="302"/>
      <c r="JWC7" s="302"/>
      <c r="JWD7" s="302"/>
      <c r="JWE7" s="302"/>
      <c r="JWF7" s="302"/>
      <c r="JWG7" s="302"/>
      <c r="JWH7" s="302"/>
      <c r="JWI7" s="302"/>
      <c r="JWJ7" s="302"/>
      <c r="JWK7" s="302"/>
      <c r="JWL7" s="302"/>
      <c r="JWM7" s="302"/>
      <c r="JWN7" s="302"/>
      <c r="JWO7" s="302"/>
      <c r="JWP7" s="302"/>
      <c r="JWQ7" s="302"/>
      <c r="JWR7" s="302"/>
      <c r="JWS7" s="302"/>
      <c r="JWT7" s="302"/>
      <c r="JWU7" s="302"/>
      <c r="JWV7" s="302"/>
      <c r="JWW7" s="302"/>
      <c r="JWX7" s="302"/>
      <c r="JWY7" s="302"/>
      <c r="JWZ7" s="302"/>
      <c r="JXA7" s="302"/>
      <c r="JXB7" s="302"/>
      <c r="JXC7" s="302"/>
      <c r="JXD7" s="302"/>
      <c r="JXE7" s="302"/>
      <c r="JXF7" s="302"/>
      <c r="JXG7" s="302"/>
      <c r="JXH7" s="302"/>
      <c r="JXI7" s="302"/>
      <c r="JXJ7" s="302"/>
      <c r="JXK7" s="302"/>
      <c r="JXL7" s="302"/>
      <c r="JXM7" s="302"/>
      <c r="JXN7" s="302"/>
      <c r="JXO7" s="302"/>
      <c r="JXP7" s="302"/>
      <c r="JXQ7" s="302"/>
      <c r="JXR7" s="302"/>
      <c r="JXS7" s="302"/>
      <c r="JXT7" s="302"/>
      <c r="JXU7" s="302"/>
      <c r="JXV7" s="302"/>
      <c r="JXW7" s="302"/>
      <c r="JXX7" s="302"/>
      <c r="JXY7" s="302"/>
      <c r="JXZ7" s="302"/>
      <c r="JYA7" s="302"/>
      <c r="JYB7" s="302"/>
      <c r="JYC7" s="302"/>
      <c r="JYD7" s="302"/>
      <c r="JYE7" s="302"/>
      <c r="JYF7" s="302"/>
      <c r="JYG7" s="302"/>
      <c r="JYH7" s="302"/>
      <c r="JYI7" s="302"/>
      <c r="JYJ7" s="302"/>
      <c r="JYK7" s="302"/>
      <c r="JYL7" s="302"/>
      <c r="JYM7" s="302"/>
      <c r="JYN7" s="302"/>
      <c r="JYO7" s="302"/>
      <c r="JYP7" s="302"/>
      <c r="JYQ7" s="302"/>
      <c r="JYR7" s="302"/>
      <c r="JYS7" s="302"/>
      <c r="JYT7" s="302"/>
      <c r="JYU7" s="302"/>
      <c r="JYV7" s="302"/>
      <c r="JYW7" s="302"/>
      <c r="JYX7" s="302"/>
      <c r="JYY7" s="302"/>
      <c r="JYZ7" s="302"/>
      <c r="JZA7" s="302"/>
      <c r="JZB7" s="302"/>
      <c r="JZC7" s="302"/>
      <c r="JZD7" s="302"/>
      <c r="JZE7" s="302"/>
      <c r="JZF7" s="302"/>
      <c r="JZG7" s="302"/>
      <c r="JZH7" s="302"/>
      <c r="JZI7" s="302"/>
      <c r="JZJ7" s="302"/>
      <c r="JZK7" s="302"/>
      <c r="JZL7" s="302"/>
      <c r="JZM7" s="302"/>
      <c r="JZN7" s="302"/>
      <c r="JZO7" s="302"/>
      <c r="JZP7" s="302"/>
      <c r="JZQ7" s="302"/>
      <c r="JZR7" s="302"/>
      <c r="JZS7" s="302"/>
      <c r="JZT7" s="302"/>
      <c r="JZU7" s="302"/>
      <c r="JZV7" s="302"/>
      <c r="JZW7" s="302"/>
      <c r="JZX7" s="302"/>
      <c r="JZY7" s="302"/>
      <c r="JZZ7" s="302"/>
      <c r="KAA7" s="302"/>
      <c r="KAB7" s="302"/>
      <c r="KAC7" s="302"/>
      <c r="KAD7" s="302"/>
      <c r="KAE7" s="302"/>
      <c r="KAF7" s="302"/>
      <c r="KAG7" s="302"/>
      <c r="KAH7" s="302"/>
      <c r="KAI7" s="302"/>
      <c r="KAJ7" s="302"/>
      <c r="KAK7" s="302"/>
      <c r="KAL7" s="302"/>
      <c r="KAM7" s="302"/>
      <c r="KAN7" s="302"/>
      <c r="KAO7" s="302"/>
      <c r="KAP7" s="302"/>
      <c r="KAQ7" s="302"/>
      <c r="KAR7" s="302"/>
      <c r="KAS7" s="302"/>
      <c r="KAT7" s="302"/>
      <c r="KAU7" s="302"/>
      <c r="KAV7" s="302"/>
      <c r="KAW7" s="302"/>
      <c r="KAX7" s="302"/>
      <c r="KAY7" s="302"/>
      <c r="KAZ7" s="302"/>
      <c r="KBA7" s="302"/>
      <c r="KBB7" s="302"/>
      <c r="KBC7" s="302"/>
      <c r="KBD7" s="302"/>
      <c r="KBE7" s="302"/>
      <c r="KBF7" s="302"/>
      <c r="KBG7" s="302"/>
      <c r="KBH7" s="302"/>
      <c r="KBI7" s="302"/>
      <c r="KBJ7" s="302"/>
      <c r="KBK7" s="302"/>
      <c r="KBL7" s="302"/>
      <c r="KBM7" s="302"/>
      <c r="KBN7" s="302"/>
      <c r="KBO7" s="302"/>
      <c r="KBP7" s="302"/>
      <c r="KBQ7" s="302"/>
      <c r="KBR7" s="302"/>
      <c r="KBS7" s="302"/>
      <c r="KBT7" s="302"/>
      <c r="KBU7" s="302"/>
      <c r="KBV7" s="302"/>
      <c r="KBW7" s="302"/>
      <c r="KBX7" s="302"/>
      <c r="KBY7" s="302"/>
      <c r="KBZ7" s="302"/>
      <c r="KCA7" s="302"/>
      <c r="KCB7" s="302"/>
      <c r="KCC7" s="302"/>
      <c r="KCD7" s="302"/>
      <c r="KCE7" s="302"/>
      <c r="KCF7" s="302"/>
      <c r="KCG7" s="302"/>
      <c r="KCH7" s="302"/>
      <c r="KCI7" s="302"/>
      <c r="KCJ7" s="302"/>
      <c r="KCK7" s="302"/>
      <c r="KCL7" s="302"/>
      <c r="KCM7" s="302"/>
      <c r="KCN7" s="302"/>
      <c r="KCO7" s="302"/>
      <c r="KCP7" s="302"/>
      <c r="KCQ7" s="302"/>
      <c r="KCR7" s="302"/>
      <c r="KCS7" s="302"/>
      <c r="KCT7" s="302"/>
      <c r="KCU7" s="302"/>
      <c r="KCV7" s="302"/>
      <c r="KCW7" s="302"/>
      <c r="KCX7" s="302"/>
      <c r="KCY7" s="302"/>
      <c r="KCZ7" s="302"/>
      <c r="KDA7" s="302"/>
      <c r="KDB7" s="302"/>
      <c r="KDC7" s="302"/>
      <c r="KDD7" s="302"/>
      <c r="KDE7" s="302"/>
      <c r="KDF7" s="302"/>
      <c r="KDG7" s="302"/>
      <c r="KDH7" s="302"/>
      <c r="KDI7" s="302"/>
      <c r="KDJ7" s="302"/>
      <c r="KDK7" s="302"/>
      <c r="KDL7" s="302"/>
      <c r="KDM7" s="302"/>
      <c r="KDN7" s="302"/>
      <c r="KDO7" s="302"/>
      <c r="KDP7" s="302"/>
      <c r="KDQ7" s="302"/>
      <c r="KDR7" s="302"/>
      <c r="KDS7" s="302"/>
      <c r="KDT7" s="302"/>
      <c r="KDU7" s="302"/>
      <c r="KDV7" s="302"/>
      <c r="KDW7" s="302"/>
      <c r="KDX7" s="302"/>
      <c r="KDY7" s="302"/>
      <c r="KDZ7" s="302"/>
      <c r="KEA7" s="302"/>
      <c r="KEB7" s="302"/>
      <c r="KEC7" s="302"/>
      <c r="KED7" s="302"/>
      <c r="KEE7" s="302"/>
      <c r="KEF7" s="302"/>
      <c r="KEG7" s="302"/>
      <c r="KEH7" s="302"/>
      <c r="KEI7" s="302"/>
      <c r="KEJ7" s="302"/>
      <c r="KEK7" s="302"/>
      <c r="KEL7" s="302"/>
      <c r="KEM7" s="302"/>
      <c r="KEN7" s="302"/>
      <c r="KEO7" s="302"/>
      <c r="KEP7" s="302"/>
      <c r="KEQ7" s="302"/>
      <c r="KER7" s="302"/>
      <c r="KES7" s="302"/>
      <c r="KET7" s="302"/>
      <c r="KEU7" s="302"/>
      <c r="KEV7" s="302"/>
      <c r="KEW7" s="302"/>
      <c r="KEX7" s="302"/>
      <c r="KEY7" s="302"/>
      <c r="KEZ7" s="302"/>
      <c r="KFA7" s="302"/>
      <c r="KFB7" s="302"/>
      <c r="KFC7" s="302"/>
      <c r="KFD7" s="302"/>
      <c r="KFE7" s="302"/>
      <c r="KFF7" s="302"/>
      <c r="KFG7" s="302"/>
      <c r="KFH7" s="302"/>
      <c r="KFI7" s="302"/>
      <c r="KFJ7" s="302"/>
      <c r="KFK7" s="302"/>
      <c r="KFL7" s="302"/>
      <c r="KFM7" s="302"/>
      <c r="KFN7" s="302"/>
      <c r="KFO7" s="302"/>
      <c r="KFP7" s="302"/>
      <c r="KFQ7" s="302"/>
      <c r="KFR7" s="302"/>
      <c r="KFS7" s="302"/>
      <c r="KFT7" s="302"/>
      <c r="KFU7" s="302"/>
      <c r="KFV7" s="302"/>
      <c r="KFW7" s="302"/>
      <c r="KFX7" s="302"/>
      <c r="KFY7" s="302"/>
      <c r="KFZ7" s="302"/>
      <c r="KGA7" s="302"/>
      <c r="KGB7" s="302"/>
      <c r="KGC7" s="302"/>
      <c r="KGD7" s="302"/>
      <c r="KGE7" s="302"/>
      <c r="KGF7" s="302"/>
      <c r="KGG7" s="302"/>
      <c r="KGH7" s="302"/>
      <c r="KGI7" s="302"/>
      <c r="KGJ7" s="302"/>
      <c r="KGK7" s="302"/>
      <c r="KGL7" s="302"/>
      <c r="KGM7" s="302"/>
      <c r="KGN7" s="302"/>
      <c r="KGO7" s="302"/>
      <c r="KGP7" s="302"/>
      <c r="KGQ7" s="302"/>
      <c r="KGR7" s="302"/>
      <c r="KGS7" s="302"/>
      <c r="KGT7" s="302"/>
      <c r="KGU7" s="302"/>
      <c r="KGV7" s="302"/>
      <c r="KGW7" s="302"/>
      <c r="KGX7" s="302"/>
      <c r="KGY7" s="302"/>
      <c r="KGZ7" s="302"/>
      <c r="KHA7" s="302"/>
      <c r="KHB7" s="302"/>
      <c r="KHC7" s="302"/>
      <c r="KHD7" s="302"/>
      <c r="KHE7" s="302"/>
      <c r="KHF7" s="302"/>
      <c r="KHG7" s="302"/>
      <c r="KHH7" s="302"/>
      <c r="KHI7" s="302"/>
      <c r="KHJ7" s="302"/>
      <c r="KHK7" s="302"/>
      <c r="KHL7" s="302"/>
      <c r="KHM7" s="302"/>
      <c r="KHN7" s="302"/>
      <c r="KHO7" s="302"/>
      <c r="KHP7" s="302"/>
      <c r="KHQ7" s="302"/>
      <c r="KHR7" s="302"/>
      <c r="KHS7" s="302"/>
      <c r="KHT7" s="302"/>
      <c r="KHU7" s="302"/>
      <c r="KHV7" s="302"/>
      <c r="KHW7" s="302"/>
      <c r="KHX7" s="302"/>
      <c r="KHY7" s="302"/>
      <c r="KHZ7" s="302"/>
      <c r="KIA7" s="302"/>
      <c r="KIB7" s="302"/>
      <c r="KIC7" s="302"/>
      <c r="KID7" s="302"/>
      <c r="KIE7" s="302"/>
      <c r="KIF7" s="302"/>
      <c r="KIG7" s="302"/>
      <c r="KIH7" s="302"/>
      <c r="KII7" s="302"/>
      <c r="KIJ7" s="302"/>
      <c r="KIK7" s="302"/>
      <c r="KIL7" s="302"/>
      <c r="KIM7" s="302"/>
      <c r="KIN7" s="302"/>
      <c r="KIO7" s="302"/>
      <c r="KIP7" s="302"/>
      <c r="KIQ7" s="302"/>
      <c r="KIR7" s="302"/>
      <c r="KIS7" s="302"/>
      <c r="KIT7" s="302"/>
      <c r="KIU7" s="302"/>
      <c r="KIV7" s="302"/>
      <c r="KIW7" s="302"/>
      <c r="KIX7" s="302"/>
      <c r="KIY7" s="302"/>
      <c r="KIZ7" s="302"/>
      <c r="KJA7" s="302"/>
      <c r="KJB7" s="302"/>
      <c r="KJC7" s="302"/>
      <c r="KJD7" s="302"/>
      <c r="KJE7" s="302"/>
      <c r="KJF7" s="302"/>
      <c r="KJG7" s="302"/>
      <c r="KJH7" s="302"/>
      <c r="KJI7" s="302"/>
      <c r="KJJ7" s="302"/>
      <c r="KJK7" s="302"/>
      <c r="KJL7" s="302"/>
      <c r="KJM7" s="302"/>
      <c r="KJN7" s="302"/>
      <c r="KJO7" s="302"/>
      <c r="KJP7" s="302"/>
      <c r="KJQ7" s="302"/>
      <c r="KJR7" s="302"/>
      <c r="KJS7" s="302"/>
      <c r="KJT7" s="302"/>
      <c r="KJU7" s="302"/>
      <c r="KJV7" s="302"/>
      <c r="KJW7" s="302"/>
      <c r="KJX7" s="302"/>
      <c r="KJY7" s="302"/>
      <c r="KJZ7" s="302"/>
      <c r="KKA7" s="302"/>
      <c r="KKB7" s="302"/>
      <c r="KKC7" s="302"/>
      <c r="KKD7" s="302"/>
      <c r="KKE7" s="302"/>
      <c r="KKF7" s="302"/>
      <c r="KKG7" s="302"/>
      <c r="KKH7" s="302"/>
      <c r="KKI7" s="302"/>
      <c r="KKJ7" s="302"/>
      <c r="KKK7" s="302"/>
      <c r="KKL7" s="302"/>
      <c r="KKM7" s="302"/>
      <c r="KKN7" s="302"/>
      <c r="KKO7" s="302"/>
      <c r="KKP7" s="302"/>
      <c r="KKQ7" s="302"/>
      <c r="KKR7" s="302"/>
      <c r="KKS7" s="302"/>
      <c r="KKT7" s="302"/>
      <c r="KKU7" s="302"/>
      <c r="KKV7" s="302"/>
      <c r="KKW7" s="302"/>
      <c r="KKX7" s="302"/>
      <c r="KKY7" s="302"/>
      <c r="KKZ7" s="302"/>
      <c r="KLA7" s="302"/>
      <c r="KLB7" s="302"/>
      <c r="KLC7" s="302"/>
      <c r="KLD7" s="302"/>
      <c r="KLE7" s="302"/>
      <c r="KLF7" s="302"/>
      <c r="KLG7" s="302"/>
      <c r="KLH7" s="302"/>
      <c r="KLI7" s="302"/>
      <c r="KLJ7" s="302"/>
      <c r="KLK7" s="302"/>
      <c r="KLL7" s="302"/>
      <c r="KLM7" s="302"/>
      <c r="KLN7" s="302"/>
      <c r="KLO7" s="302"/>
      <c r="KLP7" s="302"/>
      <c r="KLQ7" s="302"/>
      <c r="KLR7" s="302"/>
      <c r="KLS7" s="302"/>
      <c r="KLT7" s="302"/>
      <c r="KLU7" s="302"/>
      <c r="KLV7" s="302"/>
      <c r="KLW7" s="302"/>
      <c r="KLX7" s="302"/>
      <c r="KLY7" s="302"/>
      <c r="KLZ7" s="302"/>
      <c r="KMA7" s="302"/>
      <c r="KMB7" s="302"/>
      <c r="KMC7" s="302"/>
      <c r="KMD7" s="302"/>
      <c r="KME7" s="302"/>
      <c r="KMF7" s="302"/>
      <c r="KMG7" s="302"/>
      <c r="KMH7" s="302"/>
      <c r="KMI7" s="302"/>
      <c r="KMJ7" s="302"/>
      <c r="KMK7" s="302"/>
      <c r="KML7" s="302"/>
      <c r="KMM7" s="302"/>
      <c r="KMN7" s="302"/>
      <c r="KMO7" s="302"/>
      <c r="KMP7" s="302"/>
      <c r="KMQ7" s="302"/>
      <c r="KMR7" s="302"/>
      <c r="KMS7" s="302"/>
      <c r="KMT7" s="302"/>
      <c r="KMU7" s="302"/>
      <c r="KMV7" s="302"/>
      <c r="KMW7" s="302"/>
      <c r="KMX7" s="302"/>
      <c r="KMY7" s="302"/>
      <c r="KMZ7" s="302"/>
      <c r="KNA7" s="302"/>
      <c r="KNB7" s="302"/>
      <c r="KNC7" s="302"/>
      <c r="KND7" s="302"/>
      <c r="KNE7" s="302"/>
      <c r="KNF7" s="302"/>
      <c r="KNG7" s="302"/>
      <c r="KNH7" s="302"/>
      <c r="KNI7" s="302"/>
      <c r="KNJ7" s="302"/>
      <c r="KNK7" s="302"/>
      <c r="KNL7" s="302"/>
      <c r="KNM7" s="302"/>
      <c r="KNN7" s="302"/>
      <c r="KNO7" s="302"/>
      <c r="KNP7" s="302"/>
      <c r="KNQ7" s="302"/>
      <c r="KNR7" s="302"/>
      <c r="KNS7" s="302"/>
      <c r="KNT7" s="302"/>
      <c r="KNU7" s="302"/>
      <c r="KNV7" s="302"/>
      <c r="KNW7" s="302"/>
      <c r="KNX7" s="302"/>
      <c r="KNY7" s="302"/>
      <c r="KNZ7" s="302"/>
      <c r="KOA7" s="302"/>
      <c r="KOB7" s="302"/>
      <c r="KOC7" s="302"/>
      <c r="KOD7" s="302"/>
      <c r="KOE7" s="302"/>
      <c r="KOF7" s="302"/>
      <c r="KOG7" s="302"/>
      <c r="KOH7" s="302"/>
      <c r="KOI7" s="302"/>
      <c r="KOJ7" s="302"/>
      <c r="KOK7" s="302"/>
      <c r="KOL7" s="302"/>
      <c r="KOM7" s="302"/>
      <c r="KON7" s="302"/>
      <c r="KOO7" s="302"/>
      <c r="KOP7" s="302"/>
      <c r="KOQ7" s="302"/>
      <c r="KOR7" s="302"/>
      <c r="KOS7" s="302"/>
      <c r="KOT7" s="302"/>
      <c r="KOU7" s="302"/>
      <c r="KOV7" s="302"/>
      <c r="KOW7" s="302"/>
      <c r="KOX7" s="302"/>
      <c r="KOY7" s="302"/>
      <c r="KOZ7" s="302"/>
      <c r="KPA7" s="302"/>
      <c r="KPB7" s="302"/>
      <c r="KPC7" s="302"/>
      <c r="KPD7" s="302"/>
      <c r="KPE7" s="302"/>
      <c r="KPF7" s="302"/>
      <c r="KPG7" s="302"/>
      <c r="KPH7" s="302"/>
      <c r="KPI7" s="302"/>
      <c r="KPJ7" s="302"/>
      <c r="KPK7" s="302"/>
      <c r="KPL7" s="302"/>
      <c r="KPM7" s="302"/>
      <c r="KPN7" s="302"/>
      <c r="KPO7" s="302"/>
      <c r="KPP7" s="302"/>
      <c r="KPQ7" s="302"/>
      <c r="KPR7" s="302"/>
      <c r="KPS7" s="302"/>
      <c r="KPT7" s="302"/>
      <c r="KPU7" s="302"/>
      <c r="KPV7" s="302"/>
      <c r="KPW7" s="302"/>
      <c r="KPX7" s="302"/>
      <c r="KPY7" s="302"/>
      <c r="KPZ7" s="302"/>
      <c r="KQA7" s="302"/>
      <c r="KQB7" s="302"/>
      <c r="KQC7" s="302"/>
      <c r="KQD7" s="302"/>
      <c r="KQE7" s="302"/>
      <c r="KQF7" s="302"/>
      <c r="KQG7" s="302"/>
      <c r="KQH7" s="302"/>
      <c r="KQI7" s="302"/>
      <c r="KQJ7" s="302"/>
      <c r="KQK7" s="302"/>
      <c r="KQL7" s="302"/>
      <c r="KQM7" s="302"/>
      <c r="KQN7" s="302"/>
      <c r="KQO7" s="302"/>
      <c r="KQP7" s="302"/>
      <c r="KQQ7" s="302"/>
      <c r="KQR7" s="302"/>
      <c r="KQS7" s="302"/>
      <c r="KQT7" s="302"/>
      <c r="KQU7" s="302"/>
      <c r="KQV7" s="302"/>
      <c r="KQW7" s="302"/>
      <c r="KQX7" s="302"/>
      <c r="KQY7" s="302"/>
      <c r="KQZ7" s="302"/>
      <c r="KRA7" s="302"/>
      <c r="KRB7" s="302"/>
      <c r="KRC7" s="302"/>
      <c r="KRD7" s="302"/>
      <c r="KRE7" s="302"/>
      <c r="KRF7" s="302"/>
      <c r="KRG7" s="302"/>
      <c r="KRH7" s="302"/>
      <c r="KRI7" s="302"/>
      <c r="KRJ7" s="302"/>
      <c r="KRK7" s="302"/>
      <c r="KRL7" s="302"/>
      <c r="KRM7" s="302"/>
      <c r="KRN7" s="302"/>
      <c r="KRO7" s="302"/>
      <c r="KRP7" s="302"/>
      <c r="KRQ7" s="302"/>
      <c r="KRR7" s="302"/>
      <c r="KRS7" s="302"/>
      <c r="KRT7" s="302"/>
      <c r="KRU7" s="302"/>
      <c r="KRV7" s="302"/>
      <c r="KRW7" s="302"/>
      <c r="KRX7" s="302"/>
      <c r="KRY7" s="302"/>
      <c r="KRZ7" s="302"/>
      <c r="KSA7" s="302"/>
      <c r="KSB7" s="302"/>
      <c r="KSC7" s="302"/>
      <c r="KSD7" s="302"/>
      <c r="KSE7" s="302"/>
      <c r="KSF7" s="302"/>
      <c r="KSG7" s="302"/>
      <c r="KSH7" s="302"/>
      <c r="KSI7" s="302"/>
      <c r="KSJ7" s="302"/>
      <c r="KSK7" s="302"/>
      <c r="KSL7" s="302"/>
      <c r="KSM7" s="302"/>
      <c r="KSN7" s="302"/>
      <c r="KSO7" s="302"/>
      <c r="KSP7" s="302"/>
      <c r="KSQ7" s="302"/>
      <c r="KSR7" s="302"/>
      <c r="KSS7" s="302"/>
      <c r="KST7" s="302"/>
      <c r="KSU7" s="302"/>
      <c r="KSV7" s="302"/>
      <c r="KSW7" s="302"/>
      <c r="KSX7" s="302"/>
      <c r="KSY7" s="302"/>
      <c r="KSZ7" s="302"/>
      <c r="KTA7" s="302"/>
      <c r="KTB7" s="302"/>
      <c r="KTC7" s="302"/>
      <c r="KTD7" s="302"/>
      <c r="KTE7" s="302"/>
      <c r="KTF7" s="302"/>
      <c r="KTG7" s="302"/>
      <c r="KTH7" s="302"/>
      <c r="KTI7" s="302"/>
      <c r="KTJ7" s="302"/>
      <c r="KTK7" s="302"/>
      <c r="KTL7" s="302"/>
      <c r="KTM7" s="302"/>
      <c r="KTN7" s="302"/>
      <c r="KTO7" s="302"/>
      <c r="KTP7" s="302"/>
      <c r="KTQ7" s="302"/>
      <c r="KTR7" s="302"/>
      <c r="KTS7" s="302"/>
      <c r="KTT7" s="302"/>
      <c r="KTU7" s="302"/>
      <c r="KTV7" s="302"/>
      <c r="KTW7" s="302"/>
      <c r="KTX7" s="302"/>
      <c r="KTY7" s="302"/>
      <c r="KTZ7" s="302"/>
      <c r="KUA7" s="302"/>
      <c r="KUB7" s="302"/>
      <c r="KUC7" s="302"/>
      <c r="KUD7" s="302"/>
      <c r="KUE7" s="302"/>
      <c r="KUF7" s="302"/>
      <c r="KUG7" s="302"/>
      <c r="KUH7" s="302"/>
      <c r="KUI7" s="302"/>
      <c r="KUJ7" s="302"/>
      <c r="KUK7" s="302"/>
      <c r="KUL7" s="302"/>
      <c r="KUM7" s="302"/>
      <c r="KUN7" s="302"/>
      <c r="KUO7" s="302"/>
      <c r="KUP7" s="302"/>
      <c r="KUQ7" s="302"/>
      <c r="KUR7" s="302"/>
      <c r="KUS7" s="302"/>
      <c r="KUT7" s="302"/>
      <c r="KUU7" s="302"/>
      <c r="KUV7" s="302"/>
      <c r="KUW7" s="302"/>
      <c r="KUX7" s="302"/>
      <c r="KUY7" s="302"/>
      <c r="KUZ7" s="302"/>
      <c r="KVA7" s="302"/>
      <c r="KVB7" s="302"/>
      <c r="KVC7" s="302"/>
      <c r="KVD7" s="302"/>
      <c r="KVE7" s="302"/>
      <c r="KVF7" s="302"/>
      <c r="KVG7" s="302"/>
      <c r="KVH7" s="302"/>
      <c r="KVI7" s="302"/>
      <c r="KVJ7" s="302"/>
      <c r="KVK7" s="302"/>
      <c r="KVL7" s="302"/>
      <c r="KVM7" s="302"/>
      <c r="KVN7" s="302"/>
      <c r="KVO7" s="302"/>
      <c r="KVP7" s="302"/>
      <c r="KVQ7" s="302"/>
      <c r="KVR7" s="302"/>
      <c r="KVS7" s="302"/>
      <c r="KVT7" s="302"/>
      <c r="KVU7" s="302"/>
      <c r="KVV7" s="302"/>
      <c r="KVW7" s="302"/>
      <c r="KVX7" s="302"/>
      <c r="KVY7" s="302"/>
      <c r="KVZ7" s="302"/>
      <c r="KWA7" s="302"/>
      <c r="KWB7" s="302"/>
      <c r="KWC7" s="302"/>
      <c r="KWD7" s="302"/>
      <c r="KWE7" s="302"/>
      <c r="KWF7" s="302"/>
      <c r="KWG7" s="302"/>
      <c r="KWH7" s="302"/>
      <c r="KWI7" s="302"/>
      <c r="KWJ7" s="302"/>
      <c r="KWK7" s="302"/>
      <c r="KWL7" s="302"/>
      <c r="KWM7" s="302"/>
      <c r="KWN7" s="302"/>
      <c r="KWO7" s="302"/>
      <c r="KWP7" s="302"/>
      <c r="KWQ7" s="302"/>
      <c r="KWR7" s="302"/>
      <c r="KWS7" s="302"/>
      <c r="KWT7" s="302"/>
      <c r="KWU7" s="302"/>
      <c r="KWV7" s="302"/>
      <c r="KWW7" s="302"/>
      <c r="KWX7" s="302"/>
      <c r="KWY7" s="302"/>
      <c r="KWZ7" s="302"/>
      <c r="KXA7" s="302"/>
      <c r="KXB7" s="302"/>
      <c r="KXC7" s="302"/>
      <c r="KXD7" s="302"/>
      <c r="KXE7" s="302"/>
      <c r="KXF7" s="302"/>
      <c r="KXG7" s="302"/>
      <c r="KXH7" s="302"/>
      <c r="KXI7" s="302"/>
      <c r="KXJ7" s="302"/>
      <c r="KXK7" s="302"/>
      <c r="KXL7" s="302"/>
      <c r="KXM7" s="302"/>
      <c r="KXN7" s="302"/>
      <c r="KXO7" s="302"/>
      <c r="KXP7" s="302"/>
      <c r="KXQ7" s="302"/>
      <c r="KXR7" s="302"/>
      <c r="KXS7" s="302"/>
      <c r="KXT7" s="302"/>
      <c r="KXU7" s="302"/>
      <c r="KXV7" s="302"/>
      <c r="KXW7" s="302"/>
      <c r="KXX7" s="302"/>
      <c r="KXY7" s="302"/>
      <c r="KXZ7" s="302"/>
      <c r="KYA7" s="302"/>
      <c r="KYB7" s="302"/>
      <c r="KYC7" s="302"/>
      <c r="KYD7" s="302"/>
      <c r="KYE7" s="302"/>
      <c r="KYF7" s="302"/>
      <c r="KYG7" s="302"/>
      <c r="KYH7" s="302"/>
      <c r="KYI7" s="302"/>
      <c r="KYJ7" s="302"/>
      <c r="KYK7" s="302"/>
      <c r="KYL7" s="302"/>
      <c r="KYM7" s="302"/>
      <c r="KYN7" s="302"/>
      <c r="KYO7" s="302"/>
      <c r="KYP7" s="302"/>
      <c r="KYQ7" s="302"/>
      <c r="KYR7" s="302"/>
      <c r="KYS7" s="302"/>
      <c r="KYT7" s="302"/>
      <c r="KYU7" s="302"/>
      <c r="KYV7" s="302"/>
      <c r="KYW7" s="302"/>
      <c r="KYX7" s="302"/>
      <c r="KYY7" s="302"/>
      <c r="KYZ7" s="302"/>
      <c r="KZA7" s="302"/>
      <c r="KZB7" s="302"/>
      <c r="KZC7" s="302"/>
      <c r="KZD7" s="302"/>
      <c r="KZE7" s="302"/>
      <c r="KZF7" s="302"/>
      <c r="KZG7" s="302"/>
      <c r="KZH7" s="302"/>
      <c r="KZI7" s="302"/>
      <c r="KZJ7" s="302"/>
      <c r="KZK7" s="302"/>
      <c r="KZL7" s="302"/>
      <c r="KZM7" s="302"/>
      <c r="KZN7" s="302"/>
      <c r="KZO7" s="302"/>
      <c r="KZP7" s="302"/>
      <c r="KZQ7" s="302"/>
      <c r="KZR7" s="302"/>
      <c r="KZS7" s="302"/>
      <c r="KZT7" s="302"/>
      <c r="KZU7" s="302"/>
      <c r="KZV7" s="302"/>
      <c r="KZW7" s="302"/>
      <c r="KZX7" s="302"/>
      <c r="KZY7" s="302"/>
      <c r="KZZ7" s="302"/>
      <c r="LAA7" s="302"/>
      <c r="LAB7" s="302"/>
      <c r="LAC7" s="302"/>
      <c r="LAD7" s="302"/>
      <c r="LAE7" s="302"/>
      <c r="LAF7" s="302"/>
      <c r="LAG7" s="302"/>
      <c r="LAH7" s="302"/>
      <c r="LAI7" s="302"/>
      <c r="LAJ7" s="302"/>
      <c r="LAK7" s="302"/>
      <c r="LAL7" s="302"/>
      <c r="LAM7" s="302"/>
      <c r="LAN7" s="302"/>
      <c r="LAO7" s="302"/>
      <c r="LAP7" s="302"/>
      <c r="LAQ7" s="302"/>
      <c r="LAR7" s="302"/>
      <c r="LAS7" s="302"/>
      <c r="LAT7" s="302"/>
      <c r="LAU7" s="302"/>
      <c r="LAV7" s="302"/>
      <c r="LAW7" s="302"/>
      <c r="LAX7" s="302"/>
      <c r="LAY7" s="302"/>
      <c r="LAZ7" s="302"/>
      <c r="LBA7" s="302"/>
      <c r="LBB7" s="302"/>
      <c r="LBC7" s="302"/>
      <c r="LBD7" s="302"/>
      <c r="LBE7" s="302"/>
      <c r="LBF7" s="302"/>
      <c r="LBG7" s="302"/>
      <c r="LBH7" s="302"/>
      <c r="LBI7" s="302"/>
      <c r="LBJ7" s="302"/>
      <c r="LBK7" s="302"/>
      <c r="LBL7" s="302"/>
      <c r="LBM7" s="302"/>
      <c r="LBN7" s="302"/>
      <c r="LBO7" s="302"/>
      <c r="LBP7" s="302"/>
      <c r="LBQ7" s="302"/>
      <c r="LBR7" s="302"/>
      <c r="LBS7" s="302"/>
      <c r="LBT7" s="302"/>
      <c r="LBU7" s="302"/>
      <c r="LBV7" s="302"/>
      <c r="LBW7" s="302"/>
      <c r="LBX7" s="302"/>
      <c r="LBY7" s="302"/>
      <c r="LBZ7" s="302"/>
      <c r="LCA7" s="302"/>
      <c r="LCB7" s="302"/>
      <c r="LCC7" s="302"/>
      <c r="LCD7" s="302"/>
      <c r="LCE7" s="302"/>
      <c r="LCF7" s="302"/>
      <c r="LCG7" s="302"/>
      <c r="LCH7" s="302"/>
      <c r="LCI7" s="302"/>
      <c r="LCJ7" s="302"/>
      <c r="LCK7" s="302"/>
      <c r="LCL7" s="302"/>
      <c r="LCM7" s="302"/>
      <c r="LCN7" s="302"/>
      <c r="LCO7" s="302"/>
      <c r="LCP7" s="302"/>
      <c r="LCQ7" s="302"/>
      <c r="LCR7" s="302"/>
      <c r="LCS7" s="302"/>
      <c r="LCT7" s="302"/>
      <c r="LCU7" s="302"/>
      <c r="LCV7" s="302"/>
      <c r="LCW7" s="302"/>
      <c r="LCX7" s="302"/>
      <c r="LCY7" s="302"/>
      <c r="LCZ7" s="302"/>
      <c r="LDA7" s="302"/>
      <c r="LDB7" s="302"/>
      <c r="LDC7" s="302"/>
      <c r="LDD7" s="302"/>
      <c r="LDE7" s="302"/>
      <c r="LDF7" s="302"/>
      <c r="LDG7" s="302"/>
      <c r="LDH7" s="302"/>
      <c r="LDI7" s="302"/>
      <c r="LDJ7" s="302"/>
      <c r="LDK7" s="302"/>
      <c r="LDL7" s="302"/>
      <c r="LDM7" s="302"/>
      <c r="LDN7" s="302"/>
      <c r="LDO7" s="302"/>
      <c r="LDP7" s="302"/>
      <c r="LDQ7" s="302"/>
      <c r="LDR7" s="302"/>
      <c r="LDS7" s="302"/>
      <c r="LDT7" s="302"/>
      <c r="LDU7" s="302"/>
      <c r="LDV7" s="302"/>
      <c r="LDW7" s="302"/>
      <c r="LDX7" s="302"/>
      <c r="LDY7" s="302"/>
      <c r="LDZ7" s="302"/>
      <c r="LEA7" s="302"/>
      <c r="LEB7" s="302"/>
      <c r="LEC7" s="302"/>
      <c r="LED7" s="302"/>
      <c r="LEE7" s="302"/>
      <c r="LEF7" s="302"/>
      <c r="LEG7" s="302"/>
      <c r="LEH7" s="302"/>
      <c r="LEI7" s="302"/>
      <c r="LEJ7" s="302"/>
      <c r="LEK7" s="302"/>
      <c r="LEL7" s="302"/>
      <c r="LEM7" s="302"/>
      <c r="LEN7" s="302"/>
      <c r="LEO7" s="302"/>
      <c r="LEP7" s="302"/>
      <c r="LEQ7" s="302"/>
      <c r="LER7" s="302"/>
      <c r="LES7" s="302"/>
      <c r="LET7" s="302"/>
      <c r="LEU7" s="302"/>
      <c r="LEV7" s="302"/>
      <c r="LEW7" s="302"/>
      <c r="LEX7" s="302"/>
      <c r="LEY7" s="302"/>
      <c r="LEZ7" s="302"/>
      <c r="LFA7" s="302"/>
      <c r="LFB7" s="302"/>
      <c r="LFC7" s="302"/>
      <c r="LFD7" s="302"/>
      <c r="LFE7" s="302"/>
      <c r="LFF7" s="302"/>
      <c r="LFG7" s="302"/>
      <c r="LFH7" s="302"/>
      <c r="LFI7" s="302"/>
      <c r="LFJ7" s="302"/>
      <c r="LFK7" s="302"/>
      <c r="LFL7" s="302"/>
      <c r="LFM7" s="302"/>
      <c r="LFN7" s="302"/>
      <c r="LFO7" s="302"/>
      <c r="LFP7" s="302"/>
      <c r="LFQ7" s="302"/>
      <c r="LFR7" s="302"/>
      <c r="LFS7" s="302"/>
      <c r="LFT7" s="302"/>
      <c r="LFU7" s="302"/>
      <c r="LFV7" s="302"/>
      <c r="LFW7" s="302"/>
      <c r="LFX7" s="302"/>
      <c r="LFY7" s="302"/>
      <c r="LFZ7" s="302"/>
      <c r="LGA7" s="302"/>
      <c r="LGB7" s="302"/>
      <c r="LGC7" s="302"/>
      <c r="LGD7" s="302"/>
      <c r="LGE7" s="302"/>
      <c r="LGF7" s="302"/>
      <c r="LGG7" s="302"/>
      <c r="LGH7" s="302"/>
      <c r="LGI7" s="302"/>
      <c r="LGJ7" s="302"/>
      <c r="LGK7" s="302"/>
      <c r="LGL7" s="302"/>
      <c r="LGM7" s="302"/>
      <c r="LGN7" s="302"/>
      <c r="LGO7" s="302"/>
      <c r="LGP7" s="302"/>
      <c r="LGQ7" s="302"/>
      <c r="LGR7" s="302"/>
      <c r="LGS7" s="302"/>
      <c r="LGT7" s="302"/>
      <c r="LGU7" s="302"/>
      <c r="LGV7" s="302"/>
      <c r="LGW7" s="302"/>
      <c r="LGX7" s="302"/>
      <c r="LGY7" s="302"/>
      <c r="LGZ7" s="302"/>
      <c r="LHA7" s="302"/>
      <c r="LHB7" s="302"/>
      <c r="LHC7" s="302"/>
      <c r="LHD7" s="302"/>
      <c r="LHE7" s="302"/>
      <c r="LHF7" s="302"/>
      <c r="LHG7" s="302"/>
      <c r="LHH7" s="302"/>
      <c r="LHI7" s="302"/>
      <c r="LHJ7" s="302"/>
      <c r="LHK7" s="302"/>
      <c r="LHL7" s="302"/>
      <c r="LHM7" s="302"/>
      <c r="LHN7" s="302"/>
      <c r="LHO7" s="302"/>
      <c r="LHP7" s="302"/>
      <c r="LHQ7" s="302"/>
      <c r="LHR7" s="302"/>
      <c r="LHS7" s="302"/>
      <c r="LHT7" s="302"/>
      <c r="LHU7" s="302"/>
      <c r="LHV7" s="302"/>
      <c r="LHW7" s="302"/>
      <c r="LHX7" s="302"/>
      <c r="LHY7" s="302"/>
      <c r="LHZ7" s="302"/>
      <c r="LIA7" s="302"/>
      <c r="LIB7" s="302"/>
      <c r="LIC7" s="302"/>
      <c r="LID7" s="302"/>
      <c r="LIE7" s="302"/>
      <c r="LIF7" s="302"/>
      <c r="LIG7" s="302"/>
      <c r="LIH7" s="302"/>
      <c r="LII7" s="302"/>
      <c r="LIJ7" s="302"/>
      <c r="LIK7" s="302"/>
      <c r="LIL7" s="302"/>
      <c r="LIM7" s="302"/>
      <c r="LIN7" s="302"/>
      <c r="LIO7" s="302"/>
      <c r="LIP7" s="302"/>
      <c r="LIQ7" s="302"/>
      <c r="LIR7" s="302"/>
      <c r="LIS7" s="302"/>
      <c r="LIT7" s="302"/>
      <c r="LIU7" s="302"/>
      <c r="LIV7" s="302"/>
      <c r="LIW7" s="302"/>
      <c r="LIX7" s="302"/>
      <c r="LIY7" s="302"/>
      <c r="LIZ7" s="302"/>
      <c r="LJA7" s="302"/>
      <c r="LJB7" s="302"/>
      <c r="LJC7" s="302"/>
      <c r="LJD7" s="302"/>
      <c r="LJE7" s="302"/>
      <c r="LJF7" s="302"/>
      <c r="LJG7" s="302"/>
      <c r="LJH7" s="302"/>
      <c r="LJI7" s="302"/>
      <c r="LJJ7" s="302"/>
      <c r="LJK7" s="302"/>
      <c r="LJL7" s="302"/>
      <c r="LJM7" s="302"/>
      <c r="LJN7" s="302"/>
      <c r="LJO7" s="302"/>
      <c r="LJP7" s="302"/>
      <c r="LJQ7" s="302"/>
      <c r="LJR7" s="302"/>
      <c r="LJS7" s="302"/>
      <c r="LJT7" s="302"/>
      <c r="LJU7" s="302"/>
      <c r="LJV7" s="302"/>
      <c r="LJW7" s="302"/>
      <c r="LJX7" s="302"/>
      <c r="LJY7" s="302"/>
      <c r="LJZ7" s="302"/>
      <c r="LKA7" s="302"/>
      <c r="LKB7" s="302"/>
      <c r="LKC7" s="302"/>
      <c r="LKD7" s="302"/>
      <c r="LKE7" s="302"/>
      <c r="LKF7" s="302"/>
      <c r="LKG7" s="302"/>
      <c r="LKH7" s="302"/>
      <c r="LKI7" s="302"/>
      <c r="LKJ7" s="302"/>
      <c r="LKK7" s="302"/>
      <c r="LKL7" s="302"/>
      <c r="LKM7" s="302"/>
      <c r="LKN7" s="302"/>
      <c r="LKO7" s="302"/>
      <c r="LKP7" s="302"/>
      <c r="LKQ7" s="302"/>
      <c r="LKR7" s="302"/>
      <c r="LKS7" s="302"/>
      <c r="LKT7" s="302"/>
      <c r="LKU7" s="302"/>
      <c r="LKV7" s="302"/>
      <c r="LKW7" s="302"/>
      <c r="LKX7" s="302"/>
      <c r="LKY7" s="302"/>
      <c r="LKZ7" s="302"/>
      <c r="LLA7" s="302"/>
      <c r="LLB7" s="302"/>
      <c r="LLC7" s="302"/>
      <c r="LLD7" s="302"/>
      <c r="LLE7" s="302"/>
      <c r="LLF7" s="302"/>
      <c r="LLG7" s="302"/>
      <c r="LLH7" s="302"/>
      <c r="LLI7" s="302"/>
      <c r="LLJ7" s="302"/>
      <c r="LLK7" s="302"/>
      <c r="LLL7" s="302"/>
      <c r="LLM7" s="302"/>
      <c r="LLN7" s="302"/>
      <c r="LLO7" s="302"/>
      <c r="LLP7" s="302"/>
      <c r="LLQ7" s="302"/>
      <c r="LLR7" s="302"/>
      <c r="LLS7" s="302"/>
      <c r="LLT7" s="302"/>
      <c r="LLU7" s="302"/>
      <c r="LLV7" s="302"/>
      <c r="LLW7" s="302"/>
      <c r="LLX7" s="302"/>
      <c r="LLY7" s="302"/>
      <c r="LLZ7" s="302"/>
      <c r="LMA7" s="302"/>
      <c r="LMB7" s="302"/>
      <c r="LMC7" s="302"/>
      <c r="LMD7" s="302"/>
      <c r="LME7" s="302"/>
      <c r="LMF7" s="302"/>
      <c r="LMG7" s="302"/>
      <c r="LMH7" s="302"/>
      <c r="LMI7" s="302"/>
      <c r="LMJ7" s="302"/>
      <c r="LMK7" s="302"/>
      <c r="LML7" s="302"/>
      <c r="LMM7" s="302"/>
      <c r="LMN7" s="302"/>
      <c r="LMO7" s="302"/>
      <c r="LMP7" s="302"/>
      <c r="LMQ7" s="302"/>
      <c r="LMR7" s="302"/>
      <c r="LMS7" s="302"/>
      <c r="LMT7" s="302"/>
      <c r="LMU7" s="302"/>
      <c r="LMV7" s="302"/>
      <c r="LMW7" s="302"/>
      <c r="LMX7" s="302"/>
      <c r="LMY7" s="302"/>
      <c r="LMZ7" s="302"/>
      <c r="LNA7" s="302"/>
      <c r="LNB7" s="302"/>
      <c r="LNC7" s="302"/>
      <c r="LND7" s="302"/>
      <c r="LNE7" s="302"/>
      <c r="LNF7" s="302"/>
      <c r="LNG7" s="302"/>
      <c r="LNH7" s="302"/>
      <c r="LNI7" s="302"/>
      <c r="LNJ7" s="302"/>
      <c r="LNK7" s="302"/>
      <c r="LNL7" s="302"/>
      <c r="LNM7" s="302"/>
      <c r="LNN7" s="302"/>
      <c r="LNO7" s="302"/>
      <c r="LNP7" s="302"/>
      <c r="LNQ7" s="302"/>
      <c r="LNR7" s="302"/>
      <c r="LNS7" s="302"/>
      <c r="LNT7" s="302"/>
      <c r="LNU7" s="302"/>
      <c r="LNV7" s="302"/>
      <c r="LNW7" s="302"/>
      <c r="LNX7" s="302"/>
      <c r="LNY7" s="302"/>
      <c r="LNZ7" s="302"/>
      <c r="LOA7" s="302"/>
      <c r="LOB7" s="302"/>
      <c r="LOC7" s="302"/>
      <c r="LOD7" s="302"/>
      <c r="LOE7" s="302"/>
      <c r="LOF7" s="302"/>
      <c r="LOG7" s="302"/>
      <c r="LOH7" s="302"/>
      <c r="LOI7" s="302"/>
      <c r="LOJ7" s="302"/>
      <c r="LOK7" s="302"/>
      <c r="LOL7" s="302"/>
      <c r="LOM7" s="302"/>
      <c r="LON7" s="302"/>
      <c r="LOO7" s="302"/>
      <c r="LOP7" s="302"/>
      <c r="LOQ7" s="302"/>
      <c r="LOR7" s="302"/>
      <c r="LOS7" s="302"/>
      <c r="LOT7" s="302"/>
      <c r="LOU7" s="302"/>
      <c r="LOV7" s="302"/>
      <c r="LOW7" s="302"/>
      <c r="LOX7" s="302"/>
      <c r="LOY7" s="302"/>
      <c r="LOZ7" s="302"/>
      <c r="LPA7" s="302"/>
      <c r="LPB7" s="302"/>
      <c r="LPC7" s="302"/>
      <c r="LPD7" s="302"/>
      <c r="LPE7" s="302"/>
      <c r="LPF7" s="302"/>
      <c r="LPG7" s="302"/>
      <c r="LPH7" s="302"/>
      <c r="LPI7" s="302"/>
      <c r="LPJ7" s="302"/>
      <c r="LPK7" s="302"/>
      <c r="LPL7" s="302"/>
      <c r="LPM7" s="302"/>
      <c r="LPN7" s="302"/>
      <c r="LPO7" s="302"/>
      <c r="LPP7" s="302"/>
      <c r="LPQ7" s="302"/>
      <c r="LPR7" s="302"/>
      <c r="LPS7" s="302"/>
      <c r="LPT7" s="302"/>
      <c r="LPU7" s="302"/>
      <c r="LPV7" s="302"/>
      <c r="LPW7" s="302"/>
      <c r="LPX7" s="302"/>
      <c r="LPY7" s="302"/>
      <c r="LPZ7" s="302"/>
      <c r="LQA7" s="302"/>
      <c r="LQB7" s="302"/>
      <c r="LQC7" s="302"/>
      <c r="LQD7" s="302"/>
      <c r="LQE7" s="302"/>
      <c r="LQF7" s="302"/>
      <c r="LQG7" s="302"/>
      <c r="LQH7" s="302"/>
      <c r="LQI7" s="302"/>
      <c r="LQJ7" s="302"/>
      <c r="LQK7" s="302"/>
      <c r="LQL7" s="302"/>
      <c r="LQM7" s="302"/>
      <c r="LQN7" s="302"/>
      <c r="LQO7" s="302"/>
      <c r="LQP7" s="302"/>
      <c r="LQQ7" s="302"/>
      <c r="LQR7" s="302"/>
      <c r="LQS7" s="302"/>
      <c r="LQT7" s="302"/>
      <c r="LQU7" s="302"/>
      <c r="LQV7" s="302"/>
      <c r="LQW7" s="302"/>
      <c r="LQX7" s="302"/>
      <c r="LQY7" s="302"/>
      <c r="LQZ7" s="302"/>
      <c r="LRA7" s="302"/>
      <c r="LRB7" s="302"/>
      <c r="LRC7" s="302"/>
      <c r="LRD7" s="302"/>
      <c r="LRE7" s="302"/>
      <c r="LRF7" s="302"/>
      <c r="LRG7" s="302"/>
      <c r="LRH7" s="302"/>
      <c r="LRI7" s="302"/>
      <c r="LRJ7" s="302"/>
      <c r="LRK7" s="302"/>
      <c r="LRL7" s="302"/>
      <c r="LRM7" s="302"/>
      <c r="LRN7" s="302"/>
      <c r="LRO7" s="302"/>
      <c r="LRP7" s="302"/>
      <c r="LRQ7" s="302"/>
      <c r="LRR7" s="302"/>
      <c r="LRS7" s="302"/>
      <c r="LRT7" s="302"/>
      <c r="LRU7" s="302"/>
      <c r="LRV7" s="302"/>
      <c r="LRW7" s="302"/>
      <c r="LRX7" s="302"/>
      <c r="LRY7" s="302"/>
      <c r="LRZ7" s="302"/>
      <c r="LSA7" s="302"/>
      <c r="LSB7" s="302"/>
      <c r="LSC7" s="302"/>
      <c r="LSD7" s="302"/>
      <c r="LSE7" s="302"/>
      <c r="LSF7" s="302"/>
      <c r="LSG7" s="302"/>
      <c r="LSH7" s="302"/>
      <c r="LSI7" s="302"/>
      <c r="LSJ7" s="302"/>
      <c r="LSK7" s="302"/>
      <c r="LSL7" s="302"/>
      <c r="LSM7" s="302"/>
      <c r="LSN7" s="302"/>
      <c r="LSO7" s="302"/>
      <c r="LSP7" s="302"/>
      <c r="LSQ7" s="302"/>
      <c r="LSR7" s="302"/>
      <c r="LSS7" s="302"/>
      <c r="LST7" s="302"/>
      <c r="LSU7" s="302"/>
      <c r="LSV7" s="302"/>
      <c r="LSW7" s="302"/>
      <c r="LSX7" s="302"/>
      <c r="LSY7" s="302"/>
      <c r="LSZ7" s="302"/>
      <c r="LTA7" s="302"/>
      <c r="LTB7" s="302"/>
      <c r="LTC7" s="302"/>
      <c r="LTD7" s="302"/>
      <c r="LTE7" s="302"/>
      <c r="LTF7" s="302"/>
      <c r="LTG7" s="302"/>
      <c r="LTH7" s="302"/>
      <c r="LTI7" s="302"/>
      <c r="LTJ7" s="302"/>
      <c r="LTK7" s="302"/>
      <c r="LTL7" s="302"/>
      <c r="LTM7" s="302"/>
      <c r="LTN7" s="302"/>
      <c r="LTO7" s="302"/>
      <c r="LTP7" s="302"/>
      <c r="LTQ7" s="302"/>
      <c r="LTR7" s="302"/>
      <c r="LTS7" s="302"/>
      <c r="LTT7" s="302"/>
      <c r="LTU7" s="302"/>
      <c r="LTV7" s="302"/>
      <c r="LTW7" s="302"/>
      <c r="LTX7" s="302"/>
      <c r="LTY7" s="302"/>
      <c r="LTZ7" s="302"/>
      <c r="LUA7" s="302"/>
      <c r="LUB7" s="302"/>
      <c r="LUC7" s="302"/>
      <c r="LUD7" s="302"/>
      <c r="LUE7" s="302"/>
      <c r="LUF7" s="302"/>
      <c r="LUG7" s="302"/>
      <c r="LUH7" s="302"/>
      <c r="LUI7" s="302"/>
      <c r="LUJ7" s="302"/>
      <c r="LUK7" s="302"/>
      <c r="LUL7" s="302"/>
      <c r="LUM7" s="302"/>
      <c r="LUN7" s="302"/>
      <c r="LUO7" s="302"/>
      <c r="LUP7" s="302"/>
      <c r="LUQ7" s="302"/>
      <c r="LUR7" s="302"/>
      <c r="LUS7" s="302"/>
      <c r="LUT7" s="302"/>
      <c r="LUU7" s="302"/>
      <c r="LUV7" s="302"/>
      <c r="LUW7" s="302"/>
      <c r="LUX7" s="302"/>
      <c r="LUY7" s="302"/>
      <c r="LUZ7" s="302"/>
      <c r="LVA7" s="302"/>
      <c r="LVB7" s="302"/>
      <c r="LVC7" s="302"/>
      <c r="LVD7" s="302"/>
      <c r="LVE7" s="302"/>
      <c r="LVF7" s="302"/>
      <c r="LVG7" s="302"/>
      <c r="LVH7" s="302"/>
      <c r="LVI7" s="302"/>
      <c r="LVJ7" s="302"/>
      <c r="LVK7" s="302"/>
      <c r="LVL7" s="302"/>
      <c r="LVM7" s="302"/>
      <c r="LVN7" s="302"/>
      <c r="LVO7" s="302"/>
      <c r="LVP7" s="302"/>
      <c r="LVQ7" s="302"/>
      <c r="LVR7" s="302"/>
      <c r="LVS7" s="302"/>
      <c r="LVT7" s="302"/>
      <c r="LVU7" s="302"/>
      <c r="LVV7" s="302"/>
      <c r="LVW7" s="302"/>
      <c r="LVX7" s="302"/>
      <c r="LVY7" s="302"/>
      <c r="LVZ7" s="302"/>
      <c r="LWA7" s="302"/>
      <c r="LWB7" s="302"/>
      <c r="LWC7" s="302"/>
      <c r="LWD7" s="302"/>
      <c r="LWE7" s="302"/>
      <c r="LWF7" s="302"/>
      <c r="LWG7" s="302"/>
      <c r="LWH7" s="302"/>
      <c r="LWI7" s="302"/>
      <c r="LWJ7" s="302"/>
      <c r="LWK7" s="302"/>
      <c r="LWL7" s="302"/>
      <c r="LWM7" s="302"/>
      <c r="LWN7" s="302"/>
      <c r="LWO7" s="302"/>
      <c r="LWP7" s="302"/>
      <c r="LWQ7" s="302"/>
      <c r="LWR7" s="302"/>
      <c r="LWS7" s="302"/>
      <c r="LWT7" s="302"/>
      <c r="LWU7" s="302"/>
      <c r="LWV7" s="302"/>
      <c r="LWW7" s="302"/>
      <c r="LWX7" s="302"/>
      <c r="LWY7" s="302"/>
      <c r="LWZ7" s="302"/>
      <c r="LXA7" s="302"/>
      <c r="LXB7" s="302"/>
      <c r="LXC7" s="302"/>
      <c r="LXD7" s="302"/>
      <c r="LXE7" s="302"/>
      <c r="LXF7" s="302"/>
      <c r="LXG7" s="302"/>
      <c r="LXH7" s="302"/>
      <c r="LXI7" s="302"/>
      <c r="LXJ7" s="302"/>
      <c r="LXK7" s="302"/>
      <c r="LXL7" s="302"/>
      <c r="LXM7" s="302"/>
      <c r="LXN7" s="302"/>
      <c r="LXO7" s="302"/>
      <c r="LXP7" s="302"/>
      <c r="LXQ7" s="302"/>
      <c r="LXR7" s="302"/>
      <c r="LXS7" s="302"/>
      <c r="LXT7" s="302"/>
      <c r="LXU7" s="302"/>
      <c r="LXV7" s="302"/>
      <c r="LXW7" s="302"/>
      <c r="LXX7" s="302"/>
      <c r="LXY7" s="302"/>
      <c r="LXZ7" s="302"/>
      <c r="LYA7" s="302"/>
      <c r="LYB7" s="302"/>
      <c r="LYC7" s="302"/>
      <c r="LYD7" s="302"/>
      <c r="LYE7" s="302"/>
      <c r="LYF7" s="302"/>
      <c r="LYG7" s="302"/>
      <c r="LYH7" s="302"/>
      <c r="LYI7" s="302"/>
      <c r="LYJ7" s="302"/>
      <c r="LYK7" s="302"/>
      <c r="LYL7" s="302"/>
      <c r="LYM7" s="302"/>
      <c r="LYN7" s="302"/>
      <c r="LYO7" s="302"/>
      <c r="LYP7" s="302"/>
      <c r="LYQ7" s="302"/>
      <c r="LYR7" s="302"/>
      <c r="LYS7" s="302"/>
      <c r="LYT7" s="302"/>
      <c r="LYU7" s="302"/>
      <c r="LYV7" s="302"/>
      <c r="LYW7" s="302"/>
      <c r="LYX7" s="302"/>
      <c r="LYY7" s="302"/>
      <c r="LYZ7" s="302"/>
      <c r="LZA7" s="302"/>
      <c r="LZB7" s="302"/>
      <c r="LZC7" s="302"/>
      <c r="LZD7" s="302"/>
      <c r="LZE7" s="302"/>
      <c r="LZF7" s="302"/>
      <c r="LZG7" s="302"/>
      <c r="LZH7" s="302"/>
      <c r="LZI7" s="302"/>
      <c r="LZJ7" s="302"/>
      <c r="LZK7" s="302"/>
      <c r="LZL7" s="302"/>
      <c r="LZM7" s="302"/>
      <c r="LZN7" s="302"/>
      <c r="LZO7" s="302"/>
      <c r="LZP7" s="302"/>
      <c r="LZQ7" s="302"/>
      <c r="LZR7" s="302"/>
      <c r="LZS7" s="302"/>
      <c r="LZT7" s="302"/>
      <c r="LZU7" s="302"/>
      <c r="LZV7" s="302"/>
      <c r="LZW7" s="302"/>
      <c r="LZX7" s="302"/>
      <c r="LZY7" s="302"/>
      <c r="LZZ7" s="302"/>
      <c r="MAA7" s="302"/>
      <c r="MAB7" s="302"/>
      <c r="MAC7" s="302"/>
      <c r="MAD7" s="302"/>
      <c r="MAE7" s="302"/>
      <c r="MAF7" s="302"/>
      <c r="MAG7" s="302"/>
      <c r="MAH7" s="302"/>
      <c r="MAI7" s="302"/>
      <c r="MAJ7" s="302"/>
      <c r="MAK7" s="302"/>
      <c r="MAL7" s="302"/>
      <c r="MAM7" s="302"/>
      <c r="MAN7" s="302"/>
      <c r="MAO7" s="302"/>
      <c r="MAP7" s="302"/>
      <c r="MAQ7" s="302"/>
      <c r="MAR7" s="302"/>
      <c r="MAS7" s="302"/>
      <c r="MAT7" s="302"/>
      <c r="MAU7" s="302"/>
      <c r="MAV7" s="302"/>
      <c r="MAW7" s="302"/>
      <c r="MAX7" s="302"/>
      <c r="MAY7" s="302"/>
      <c r="MAZ7" s="302"/>
      <c r="MBA7" s="302"/>
      <c r="MBB7" s="302"/>
      <c r="MBC7" s="302"/>
      <c r="MBD7" s="302"/>
      <c r="MBE7" s="302"/>
      <c r="MBF7" s="302"/>
      <c r="MBG7" s="302"/>
      <c r="MBH7" s="302"/>
      <c r="MBI7" s="302"/>
      <c r="MBJ7" s="302"/>
      <c r="MBK7" s="302"/>
      <c r="MBL7" s="302"/>
      <c r="MBM7" s="302"/>
      <c r="MBN7" s="302"/>
      <c r="MBO7" s="302"/>
      <c r="MBP7" s="302"/>
      <c r="MBQ7" s="302"/>
      <c r="MBR7" s="302"/>
      <c r="MBS7" s="302"/>
      <c r="MBT7" s="302"/>
      <c r="MBU7" s="302"/>
      <c r="MBV7" s="302"/>
      <c r="MBW7" s="302"/>
      <c r="MBX7" s="302"/>
      <c r="MBY7" s="302"/>
      <c r="MBZ7" s="302"/>
      <c r="MCA7" s="302"/>
      <c r="MCB7" s="302"/>
      <c r="MCC7" s="302"/>
      <c r="MCD7" s="302"/>
      <c r="MCE7" s="302"/>
      <c r="MCF7" s="302"/>
      <c r="MCG7" s="302"/>
      <c r="MCH7" s="302"/>
      <c r="MCI7" s="302"/>
      <c r="MCJ7" s="302"/>
      <c r="MCK7" s="302"/>
      <c r="MCL7" s="302"/>
      <c r="MCM7" s="302"/>
      <c r="MCN7" s="302"/>
      <c r="MCO7" s="302"/>
      <c r="MCP7" s="302"/>
      <c r="MCQ7" s="302"/>
      <c r="MCR7" s="302"/>
      <c r="MCS7" s="302"/>
      <c r="MCT7" s="302"/>
      <c r="MCU7" s="302"/>
      <c r="MCV7" s="302"/>
      <c r="MCW7" s="302"/>
      <c r="MCX7" s="302"/>
      <c r="MCY7" s="302"/>
      <c r="MCZ7" s="302"/>
      <c r="MDA7" s="302"/>
      <c r="MDB7" s="302"/>
      <c r="MDC7" s="302"/>
      <c r="MDD7" s="302"/>
      <c r="MDE7" s="302"/>
      <c r="MDF7" s="302"/>
      <c r="MDG7" s="302"/>
      <c r="MDH7" s="302"/>
      <c r="MDI7" s="302"/>
      <c r="MDJ7" s="302"/>
      <c r="MDK7" s="302"/>
      <c r="MDL7" s="302"/>
      <c r="MDM7" s="302"/>
      <c r="MDN7" s="302"/>
      <c r="MDO7" s="302"/>
      <c r="MDP7" s="302"/>
      <c r="MDQ7" s="302"/>
      <c r="MDR7" s="302"/>
      <c r="MDS7" s="302"/>
      <c r="MDT7" s="302"/>
      <c r="MDU7" s="302"/>
      <c r="MDV7" s="302"/>
      <c r="MDW7" s="302"/>
      <c r="MDX7" s="302"/>
      <c r="MDY7" s="302"/>
      <c r="MDZ7" s="302"/>
      <c r="MEA7" s="302"/>
      <c r="MEB7" s="302"/>
      <c r="MEC7" s="302"/>
      <c r="MED7" s="302"/>
      <c r="MEE7" s="302"/>
      <c r="MEF7" s="302"/>
      <c r="MEG7" s="302"/>
      <c r="MEH7" s="302"/>
      <c r="MEI7" s="302"/>
      <c r="MEJ7" s="302"/>
      <c r="MEK7" s="302"/>
      <c r="MEL7" s="302"/>
      <c r="MEM7" s="302"/>
      <c r="MEN7" s="302"/>
      <c r="MEO7" s="302"/>
      <c r="MEP7" s="302"/>
      <c r="MEQ7" s="302"/>
      <c r="MER7" s="302"/>
      <c r="MES7" s="302"/>
      <c r="MET7" s="302"/>
      <c r="MEU7" s="302"/>
      <c r="MEV7" s="302"/>
      <c r="MEW7" s="302"/>
      <c r="MEX7" s="302"/>
      <c r="MEY7" s="302"/>
      <c r="MEZ7" s="302"/>
      <c r="MFA7" s="302"/>
      <c r="MFB7" s="302"/>
      <c r="MFC7" s="302"/>
      <c r="MFD7" s="302"/>
      <c r="MFE7" s="302"/>
      <c r="MFF7" s="302"/>
      <c r="MFG7" s="302"/>
      <c r="MFH7" s="302"/>
      <c r="MFI7" s="302"/>
      <c r="MFJ7" s="302"/>
      <c r="MFK7" s="302"/>
      <c r="MFL7" s="302"/>
      <c r="MFM7" s="302"/>
      <c r="MFN7" s="302"/>
      <c r="MFO7" s="302"/>
      <c r="MFP7" s="302"/>
      <c r="MFQ7" s="302"/>
      <c r="MFR7" s="302"/>
      <c r="MFS7" s="302"/>
      <c r="MFT7" s="302"/>
      <c r="MFU7" s="302"/>
      <c r="MFV7" s="302"/>
      <c r="MFW7" s="302"/>
      <c r="MFX7" s="302"/>
      <c r="MFY7" s="302"/>
      <c r="MFZ7" s="302"/>
      <c r="MGA7" s="302"/>
      <c r="MGB7" s="302"/>
      <c r="MGC7" s="302"/>
      <c r="MGD7" s="302"/>
      <c r="MGE7" s="302"/>
      <c r="MGF7" s="302"/>
      <c r="MGG7" s="302"/>
      <c r="MGH7" s="302"/>
      <c r="MGI7" s="302"/>
      <c r="MGJ7" s="302"/>
      <c r="MGK7" s="302"/>
      <c r="MGL7" s="302"/>
      <c r="MGM7" s="302"/>
      <c r="MGN7" s="302"/>
      <c r="MGO7" s="302"/>
      <c r="MGP7" s="302"/>
      <c r="MGQ7" s="302"/>
      <c r="MGR7" s="302"/>
      <c r="MGS7" s="302"/>
      <c r="MGT7" s="302"/>
      <c r="MGU7" s="302"/>
      <c r="MGV7" s="302"/>
      <c r="MGW7" s="302"/>
      <c r="MGX7" s="302"/>
      <c r="MGY7" s="302"/>
      <c r="MGZ7" s="302"/>
      <c r="MHA7" s="302"/>
      <c r="MHB7" s="302"/>
      <c r="MHC7" s="302"/>
      <c r="MHD7" s="302"/>
      <c r="MHE7" s="302"/>
      <c r="MHF7" s="302"/>
      <c r="MHG7" s="302"/>
      <c r="MHH7" s="302"/>
      <c r="MHI7" s="302"/>
      <c r="MHJ7" s="302"/>
      <c r="MHK7" s="302"/>
      <c r="MHL7" s="302"/>
      <c r="MHM7" s="302"/>
      <c r="MHN7" s="302"/>
      <c r="MHO7" s="302"/>
      <c r="MHP7" s="302"/>
      <c r="MHQ7" s="302"/>
      <c r="MHR7" s="302"/>
      <c r="MHS7" s="302"/>
      <c r="MHT7" s="302"/>
      <c r="MHU7" s="302"/>
      <c r="MHV7" s="302"/>
      <c r="MHW7" s="302"/>
      <c r="MHX7" s="302"/>
      <c r="MHY7" s="302"/>
      <c r="MHZ7" s="302"/>
      <c r="MIA7" s="302"/>
      <c r="MIB7" s="302"/>
      <c r="MIC7" s="302"/>
      <c r="MID7" s="302"/>
      <c r="MIE7" s="302"/>
      <c r="MIF7" s="302"/>
      <c r="MIG7" s="302"/>
      <c r="MIH7" s="302"/>
      <c r="MII7" s="302"/>
      <c r="MIJ7" s="302"/>
      <c r="MIK7" s="302"/>
      <c r="MIL7" s="302"/>
      <c r="MIM7" s="302"/>
      <c r="MIN7" s="302"/>
      <c r="MIO7" s="302"/>
      <c r="MIP7" s="302"/>
      <c r="MIQ7" s="302"/>
      <c r="MIR7" s="302"/>
      <c r="MIS7" s="302"/>
      <c r="MIT7" s="302"/>
      <c r="MIU7" s="302"/>
      <c r="MIV7" s="302"/>
      <c r="MIW7" s="302"/>
      <c r="MIX7" s="302"/>
      <c r="MIY7" s="302"/>
      <c r="MIZ7" s="302"/>
      <c r="MJA7" s="302"/>
      <c r="MJB7" s="302"/>
      <c r="MJC7" s="302"/>
      <c r="MJD7" s="302"/>
      <c r="MJE7" s="302"/>
      <c r="MJF7" s="302"/>
      <c r="MJG7" s="302"/>
      <c r="MJH7" s="302"/>
      <c r="MJI7" s="302"/>
      <c r="MJJ7" s="302"/>
      <c r="MJK7" s="302"/>
      <c r="MJL7" s="302"/>
      <c r="MJM7" s="302"/>
      <c r="MJN7" s="302"/>
      <c r="MJO7" s="302"/>
      <c r="MJP7" s="302"/>
      <c r="MJQ7" s="302"/>
      <c r="MJR7" s="302"/>
      <c r="MJS7" s="302"/>
      <c r="MJT7" s="302"/>
      <c r="MJU7" s="302"/>
      <c r="MJV7" s="302"/>
      <c r="MJW7" s="302"/>
      <c r="MJX7" s="302"/>
      <c r="MJY7" s="302"/>
      <c r="MJZ7" s="302"/>
      <c r="MKA7" s="302"/>
      <c r="MKB7" s="302"/>
      <c r="MKC7" s="302"/>
      <c r="MKD7" s="302"/>
      <c r="MKE7" s="302"/>
      <c r="MKF7" s="302"/>
      <c r="MKG7" s="302"/>
      <c r="MKH7" s="302"/>
      <c r="MKI7" s="302"/>
      <c r="MKJ7" s="302"/>
      <c r="MKK7" s="302"/>
      <c r="MKL7" s="302"/>
      <c r="MKM7" s="302"/>
      <c r="MKN7" s="302"/>
      <c r="MKO7" s="302"/>
      <c r="MKP7" s="302"/>
      <c r="MKQ7" s="302"/>
      <c r="MKR7" s="302"/>
      <c r="MKS7" s="302"/>
      <c r="MKT7" s="302"/>
      <c r="MKU7" s="302"/>
      <c r="MKV7" s="302"/>
      <c r="MKW7" s="302"/>
      <c r="MKX7" s="302"/>
      <c r="MKY7" s="302"/>
      <c r="MKZ7" s="302"/>
      <c r="MLA7" s="302"/>
      <c r="MLB7" s="302"/>
      <c r="MLC7" s="302"/>
      <c r="MLD7" s="302"/>
      <c r="MLE7" s="302"/>
      <c r="MLF7" s="302"/>
      <c r="MLG7" s="302"/>
      <c r="MLH7" s="302"/>
      <c r="MLI7" s="302"/>
      <c r="MLJ7" s="302"/>
      <c r="MLK7" s="302"/>
      <c r="MLL7" s="302"/>
      <c r="MLM7" s="302"/>
      <c r="MLN7" s="302"/>
      <c r="MLO7" s="302"/>
      <c r="MLP7" s="302"/>
      <c r="MLQ7" s="302"/>
      <c r="MLR7" s="302"/>
      <c r="MLS7" s="302"/>
      <c r="MLT7" s="302"/>
      <c r="MLU7" s="302"/>
      <c r="MLV7" s="302"/>
      <c r="MLW7" s="302"/>
      <c r="MLX7" s="302"/>
      <c r="MLY7" s="302"/>
      <c r="MLZ7" s="302"/>
      <c r="MMA7" s="302"/>
      <c r="MMB7" s="302"/>
      <c r="MMC7" s="302"/>
      <c r="MMD7" s="302"/>
      <c r="MME7" s="302"/>
      <c r="MMF7" s="302"/>
      <c r="MMG7" s="302"/>
      <c r="MMH7" s="302"/>
      <c r="MMI7" s="302"/>
      <c r="MMJ7" s="302"/>
      <c r="MMK7" s="302"/>
      <c r="MML7" s="302"/>
      <c r="MMM7" s="302"/>
      <c r="MMN7" s="302"/>
      <c r="MMO7" s="302"/>
      <c r="MMP7" s="302"/>
      <c r="MMQ7" s="302"/>
      <c r="MMR7" s="302"/>
      <c r="MMS7" s="302"/>
      <c r="MMT7" s="302"/>
      <c r="MMU7" s="302"/>
      <c r="MMV7" s="302"/>
      <c r="MMW7" s="302"/>
      <c r="MMX7" s="302"/>
      <c r="MMY7" s="302"/>
      <c r="MMZ7" s="302"/>
      <c r="MNA7" s="302"/>
      <c r="MNB7" s="302"/>
      <c r="MNC7" s="302"/>
      <c r="MND7" s="302"/>
      <c r="MNE7" s="302"/>
      <c r="MNF7" s="302"/>
      <c r="MNG7" s="302"/>
      <c r="MNH7" s="302"/>
      <c r="MNI7" s="302"/>
      <c r="MNJ7" s="302"/>
      <c r="MNK7" s="302"/>
      <c r="MNL7" s="302"/>
      <c r="MNM7" s="302"/>
      <c r="MNN7" s="302"/>
      <c r="MNO7" s="302"/>
      <c r="MNP7" s="302"/>
      <c r="MNQ7" s="302"/>
      <c r="MNR7" s="302"/>
      <c r="MNS7" s="302"/>
      <c r="MNT7" s="302"/>
      <c r="MNU7" s="302"/>
      <c r="MNV7" s="302"/>
      <c r="MNW7" s="302"/>
      <c r="MNX7" s="302"/>
      <c r="MNY7" s="302"/>
      <c r="MNZ7" s="302"/>
      <c r="MOA7" s="302"/>
      <c r="MOB7" s="302"/>
      <c r="MOC7" s="302"/>
      <c r="MOD7" s="302"/>
      <c r="MOE7" s="302"/>
      <c r="MOF7" s="302"/>
      <c r="MOG7" s="302"/>
      <c r="MOH7" s="302"/>
      <c r="MOI7" s="302"/>
      <c r="MOJ7" s="302"/>
      <c r="MOK7" s="302"/>
      <c r="MOL7" s="302"/>
      <c r="MOM7" s="302"/>
      <c r="MON7" s="302"/>
      <c r="MOO7" s="302"/>
      <c r="MOP7" s="302"/>
      <c r="MOQ7" s="302"/>
      <c r="MOR7" s="302"/>
      <c r="MOS7" s="302"/>
      <c r="MOT7" s="302"/>
      <c r="MOU7" s="302"/>
      <c r="MOV7" s="302"/>
      <c r="MOW7" s="302"/>
      <c r="MOX7" s="302"/>
      <c r="MOY7" s="302"/>
      <c r="MOZ7" s="302"/>
      <c r="MPA7" s="302"/>
      <c r="MPB7" s="302"/>
      <c r="MPC7" s="302"/>
      <c r="MPD7" s="302"/>
      <c r="MPE7" s="302"/>
      <c r="MPF7" s="302"/>
      <c r="MPG7" s="302"/>
      <c r="MPH7" s="302"/>
      <c r="MPI7" s="302"/>
      <c r="MPJ7" s="302"/>
      <c r="MPK7" s="302"/>
      <c r="MPL7" s="302"/>
      <c r="MPM7" s="302"/>
      <c r="MPN7" s="302"/>
      <c r="MPO7" s="302"/>
      <c r="MPP7" s="302"/>
      <c r="MPQ7" s="302"/>
      <c r="MPR7" s="302"/>
      <c r="MPS7" s="302"/>
      <c r="MPT7" s="302"/>
      <c r="MPU7" s="302"/>
      <c r="MPV7" s="302"/>
      <c r="MPW7" s="302"/>
      <c r="MPX7" s="302"/>
      <c r="MPY7" s="302"/>
      <c r="MPZ7" s="302"/>
      <c r="MQA7" s="302"/>
      <c r="MQB7" s="302"/>
      <c r="MQC7" s="302"/>
      <c r="MQD7" s="302"/>
      <c r="MQE7" s="302"/>
      <c r="MQF7" s="302"/>
      <c r="MQG7" s="302"/>
      <c r="MQH7" s="302"/>
      <c r="MQI7" s="302"/>
      <c r="MQJ7" s="302"/>
      <c r="MQK7" s="302"/>
      <c r="MQL7" s="302"/>
      <c r="MQM7" s="302"/>
      <c r="MQN7" s="302"/>
      <c r="MQO7" s="302"/>
      <c r="MQP7" s="302"/>
      <c r="MQQ7" s="302"/>
      <c r="MQR7" s="302"/>
      <c r="MQS7" s="302"/>
      <c r="MQT7" s="302"/>
      <c r="MQU7" s="302"/>
      <c r="MQV7" s="302"/>
      <c r="MQW7" s="302"/>
      <c r="MQX7" s="302"/>
      <c r="MQY7" s="302"/>
      <c r="MQZ7" s="302"/>
      <c r="MRA7" s="302"/>
      <c r="MRB7" s="302"/>
      <c r="MRC7" s="302"/>
      <c r="MRD7" s="302"/>
      <c r="MRE7" s="302"/>
      <c r="MRF7" s="302"/>
      <c r="MRG7" s="302"/>
      <c r="MRH7" s="302"/>
      <c r="MRI7" s="302"/>
      <c r="MRJ7" s="302"/>
      <c r="MRK7" s="302"/>
      <c r="MRL7" s="302"/>
      <c r="MRM7" s="302"/>
      <c r="MRN7" s="302"/>
      <c r="MRO7" s="302"/>
      <c r="MRP7" s="302"/>
      <c r="MRQ7" s="302"/>
      <c r="MRR7" s="302"/>
      <c r="MRS7" s="302"/>
      <c r="MRT7" s="302"/>
      <c r="MRU7" s="302"/>
      <c r="MRV7" s="302"/>
      <c r="MRW7" s="302"/>
      <c r="MRX7" s="302"/>
      <c r="MRY7" s="302"/>
      <c r="MRZ7" s="302"/>
      <c r="MSA7" s="302"/>
      <c r="MSB7" s="302"/>
      <c r="MSC7" s="302"/>
      <c r="MSD7" s="302"/>
      <c r="MSE7" s="302"/>
      <c r="MSF7" s="302"/>
      <c r="MSG7" s="302"/>
      <c r="MSH7" s="302"/>
      <c r="MSI7" s="302"/>
      <c r="MSJ7" s="302"/>
      <c r="MSK7" s="302"/>
      <c r="MSL7" s="302"/>
      <c r="MSM7" s="302"/>
      <c r="MSN7" s="302"/>
      <c r="MSO7" s="302"/>
      <c r="MSP7" s="302"/>
      <c r="MSQ7" s="302"/>
      <c r="MSR7" s="302"/>
      <c r="MSS7" s="302"/>
      <c r="MST7" s="302"/>
      <c r="MSU7" s="302"/>
      <c r="MSV7" s="302"/>
      <c r="MSW7" s="302"/>
      <c r="MSX7" s="302"/>
      <c r="MSY7" s="302"/>
      <c r="MSZ7" s="302"/>
      <c r="MTA7" s="302"/>
      <c r="MTB7" s="302"/>
      <c r="MTC7" s="302"/>
      <c r="MTD7" s="302"/>
      <c r="MTE7" s="302"/>
      <c r="MTF7" s="302"/>
      <c r="MTG7" s="302"/>
      <c r="MTH7" s="302"/>
      <c r="MTI7" s="302"/>
      <c r="MTJ7" s="302"/>
      <c r="MTK7" s="302"/>
      <c r="MTL7" s="302"/>
      <c r="MTM7" s="302"/>
      <c r="MTN7" s="302"/>
      <c r="MTO7" s="302"/>
      <c r="MTP7" s="302"/>
      <c r="MTQ7" s="302"/>
      <c r="MTR7" s="302"/>
      <c r="MTS7" s="302"/>
      <c r="MTT7" s="302"/>
      <c r="MTU7" s="302"/>
      <c r="MTV7" s="302"/>
      <c r="MTW7" s="302"/>
      <c r="MTX7" s="302"/>
      <c r="MTY7" s="302"/>
      <c r="MTZ7" s="302"/>
      <c r="MUA7" s="302"/>
      <c r="MUB7" s="302"/>
      <c r="MUC7" s="302"/>
      <c r="MUD7" s="302"/>
      <c r="MUE7" s="302"/>
      <c r="MUF7" s="302"/>
      <c r="MUG7" s="302"/>
      <c r="MUH7" s="302"/>
      <c r="MUI7" s="302"/>
      <c r="MUJ7" s="302"/>
      <c r="MUK7" s="302"/>
      <c r="MUL7" s="302"/>
      <c r="MUM7" s="302"/>
      <c r="MUN7" s="302"/>
      <c r="MUO7" s="302"/>
      <c r="MUP7" s="302"/>
      <c r="MUQ7" s="302"/>
      <c r="MUR7" s="302"/>
      <c r="MUS7" s="302"/>
      <c r="MUT7" s="302"/>
      <c r="MUU7" s="302"/>
      <c r="MUV7" s="302"/>
      <c r="MUW7" s="302"/>
      <c r="MUX7" s="302"/>
      <c r="MUY7" s="302"/>
      <c r="MUZ7" s="302"/>
      <c r="MVA7" s="302"/>
      <c r="MVB7" s="302"/>
      <c r="MVC7" s="302"/>
      <c r="MVD7" s="302"/>
      <c r="MVE7" s="302"/>
      <c r="MVF7" s="302"/>
      <c r="MVG7" s="302"/>
      <c r="MVH7" s="302"/>
      <c r="MVI7" s="302"/>
      <c r="MVJ7" s="302"/>
      <c r="MVK7" s="302"/>
      <c r="MVL7" s="302"/>
      <c r="MVM7" s="302"/>
      <c r="MVN7" s="302"/>
      <c r="MVO7" s="302"/>
      <c r="MVP7" s="302"/>
      <c r="MVQ7" s="302"/>
      <c r="MVR7" s="302"/>
      <c r="MVS7" s="302"/>
      <c r="MVT7" s="302"/>
      <c r="MVU7" s="302"/>
      <c r="MVV7" s="302"/>
      <c r="MVW7" s="302"/>
      <c r="MVX7" s="302"/>
      <c r="MVY7" s="302"/>
      <c r="MVZ7" s="302"/>
      <c r="MWA7" s="302"/>
      <c r="MWB7" s="302"/>
      <c r="MWC7" s="302"/>
      <c r="MWD7" s="302"/>
      <c r="MWE7" s="302"/>
      <c r="MWF7" s="302"/>
      <c r="MWG7" s="302"/>
      <c r="MWH7" s="302"/>
      <c r="MWI7" s="302"/>
      <c r="MWJ7" s="302"/>
      <c r="MWK7" s="302"/>
      <c r="MWL7" s="302"/>
      <c r="MWM7" s="302"/>
      <c r="MWN7" s="302"/>
      <c r="MWO7" s="302"/>
      <c r="MWP7" s="302"/>
      <c r="MWQ7" s="302"/>
      <c r="MWR7" s="302"/>
      <c r="MWS7" s="302"/>
      <c r="MWT7" s="302"/>
      <c r="MWU7" s="302"/>
      <c r="MWV7" s="302"/>
      <c r="MWW7" s="302"/>
      <c r="MWX7" s="302"/>
      <c r="MWY7" s="302"/>
      <c r="MWZ7" s="302"/>
      <c r="MXA7" s="302"/>
      <c r="MXB7" s="302"/>
      <c r="MXC7" s="302"/>
      <c r="MXD7" s="302"/>
      <c r="MXE7" s="302"/>
      <c r="MXF7" s="302"/>
      <c r="MXG7" s="302"/>
      <c r="MXH7" s="302"/>
      <c r="MXI7" s="302"/>
      <c r="MXJ7" s="302"/>
      <c r="MXK7" s="302"/>
      <c r="MXL7" s="302"/>
      <c r="MXM7" s="302"/>
      <c r="MXN7" s="302"/>
      <c r="MXO7" s="302"/>
      <c r="MXP7" s="302"/>
      <c r="MXQ7" s="302"/>
      <c r="MXR7" s="302"/>
      <c r="MXS7" s="302"/>
      <c r="MXT7" s="302"/>
      <c r="MXU7" s="302"/>
      <c r="MXV7" s="302"/>
      <c r="MXW7" s="302"/>
      <c r="MXX7" s="302"/>
      <c r="MXY7" s="302"/>
      <c r="MXZ7" s="302"/>
      <c r="MYA7" s="302"/>
      <c r="MYB7" s="302"/>
      <c r="MYC7" s="302"/>
      <c r="MYD7" s="302"/>
      <c r="MYE7" s="302"/>
      <c r="MYF7" s="302"/>
      <c r="MYG7" s="302"/>
      <c r="MYH7" s="302"/>
      <c r="MYI7" s="302"/>
      <c r="MYJ7" s="302"/>
      <c r="MYK7" s="302"/>
      <c r="MYL7" s="302"/>
      <c r="MYM7" s="302"/>
      <c r="MYN7" s="302"/>
      <c r="MYO7" s="302"/>
      <c r="MYP7" s="302"/>
      <c r="MYQ7" s="302"/>
      <c r="MYR7" s="302"/>
      <c r="MYS7" s="302"/>
      <c r="MYT7" s="302"/>
      <c r="MYU7" s="302"/>
      <c r="MYV7" s="302"/>
      <c r="MYW7" s="302"/>
      <c r="MYX7" s="302"/>
      <c r="MYY7" s="302"/>
      <c r="MYZ7" s="302"/>
      <c r="MZA7" s="302"/>
      <c r="MZB7" s="302"/>
      <c r="MZC7" s="302"/>
      <c r="MZD7" s="302"/>
      <c r="MZE7" s="302"/>
      <c r="MZF7" s="302"/>
      <c r="MZG7" s="302"/>
      <c r="MZH7" s="302"/>
      <c r="MZI7" s="302"/>
      <c r="MZJ7" s="302"/>
      <c r="MZK7" s="302"/>
      <c r="MZL7" s="302"/>
      <c r="MZM7" s="302"/>
      <c r="MZN7" s="302"/>
      <c r="MZO7" s="302"/>
      <c r="MZP7" s="302"/>
      <c r="MZQ7" s="302"/>
      <c r="MZR7" s="302"/>
      <c r="MZS7" s="302"/>
      <c r="MZT7" s="302"/>
      <c r="MZU7" s="302"/>
      <c r="MZV7" s="302"/>
      <c r="MZW7" s="302"/>
      <c r="MZX7" s="302"/>
      <c r="MZY7" s="302"/>
      <c r="MZZ7" s="302"/>
      <c r="NAA7" s="302"/>
      <c r="NAB7" s="302"/>
      <c r="NAC7" s="302"/>
      <c r="NAD7" s="302"/>
      <c r="NAE7" s="302"/>
      <c r="NAF7" s="302"/>
      <c r="NAG7" s="302"/>
      <c r="NAH7" s="302"/>
      <c r="NAI7" s="302"/>
      <c r="NAJ7" s="302"/>
      <c r="NAK7" s="302"/>
      <c r="NAL7" s="302"/>
      <c r="NAM7" s="302"/>
      <c r="NAN7" s="302"/>
      <c r="NAO7" s="302"/>
      <c r="NAP7" s="302"/>
      <c r="NAQ7" s="302"/>
      <c r="NAR7" s="302"/>
      <c r="NAS7" s="302"/>
      <c r="NAT7" s="302"/>
      <c r="NAU7" s="302"/>
      <c r="NAV7" s="302"/>
      <c r="NAW7" s="302"/>
      <c r="NAX7" s="302"/>
      <c r="NAY7" s="302"/>
      <c r="NAZ7" s="302"/>
      <c r="NBA7" s="302"/>
      <c r="NBB7" s="302"/>
      <c r="NBC7" s="302"/>
      <c r="NBD7" s="302"/>
      <c r="NBE7" s="302"/>
      <c r="NBF7" s="302"/>
      <c r="NBG7" s="302"/>
      <c r="NBH7" s="302"/>
      <c r="NBI7" s="302"/>
      <c r="NBJ7" s="302"/>
      <c r="NBK7" s="302"/>
      <c r="NBL7" s="302"/>
      <c r="NBM7" s="302"/>
      <c r="NBN7" s="302"/>
      <c r="NBO7" s="302"/>
      <c r="NBP7" s="302"/>
      <c r="NBQ7" s="302"/>
      <c r="NBR7" s="302"/>
      <c r="NBS7" s="302"/>
      <c r="NBT7" s="302"/>
      <c r="NBU7" s="302"/>
      <c r="NBV7" s="302"/>
      <c r="NBW7" s="302"/>
      <c r="NBX7" s="302"/>
      <c r="NBY7" s="302"/>
      <c r="NBZ7" s="302"/>
      <c r="NCA7" s="302"/>
      <c r="NCB7" s="302"/>
      <c r="NCC7" s="302"/>
      <c r="NCD7" s="302"/>
      <c r="NCE7" s="302"/>
      <c r="NCF7" s="302"/>
      <c r="NCG7" s="302"/>
      <c r="NCH7" s="302"/>
      <c r="NCI7" s="302"/>
      <c r="NCJ7" s="302"/>
      <c r="NCK7" s="302"/>
      <c r="NCL7" s="302"/>
      <c r="NCM7" s="302"/>
      <c r="NCN7" s="302"/>
      <c r="NCO7" s="302"/>
      <c r="NCP7" s="302"/>
      <c r="NCQ7" s="302"/>
      <c r="NCR7" s="302"/>
      <c r="NCS7" s="302"/>
      <c r="NCT7" s="302"/>
      <c r="NCU7" s="302"/>
      <c r="NCV7" s="302"/>
      <c r="NCW7" s="302"/>
      <c r="NCX7" s="302"/>
      <c r="NCY7" s="302"/>
      <c r="NCZ7" s="302"/>
      <c r="NDA7" s="302"/>
      <c r="NDB7" s="302"/>
      <c r="NDC7" s="302"/>
      <c r="NDD7" s="302"/>
      <c r="NDE7" s="302"/>
      <c r="NDF7" s="302"/>
      <c r="NDG7" s="302"/>
      <c r="NDH7" s="302"/>
      <c r="NDI7" s="302"/>
      <c r="NDJ7" s="302"/>
      <c r="NDK7" s="302"/>
      <c r="NDL7" s="302"/>
      <c r="NDM7" s="302"/>
      <c r="NDN7" s="302"/>
      <c r="NDO7" s="302"/>
      <c r="NDP7" s="302"/>
      <c r="NDQ7" s="302"/>
      <c r="NDR7" s="302"/>
      <c r="NDS7" s="302"/>
      <c r="NDT7" s="302"/>
      <c r="NDU7" s="302"/>
      <c r="NDV7" s="302"/>
      <c r="NDW7" s="302"/>
      <c r="NDX7" s="302"/>
      <c r="NDY7" s="302"/>
      <c r="NDZ7" s="302"/>
      <c r="NEA7" s="302"/>
      <c r="NEB7" s="302"/>
      <c r="NEC7" s="302"/>
      <c r="NED7" s="302"/>
      <c r="NEE7" s="302"/>
      <c r="NEF7" s="302"/>
      <c r="NEG7" s="302"/>
      <c r="NEH7" s="302"/>
      <c r="NEI7" s="302"/>
      <c r="NEJ7" s="302"/>
      <c r="NEK7" s="302"/>
      <c r="NEL7" s="302"/>
      <c r="NEM7" s="302"/>
      <c r="NEN7" s="302"/>
      <c r="NEO7" s="302"/>
      <c r="NEP7" s="302"/>
      <c r="NEQ7" s="302"/>
      <c r="NER7" s="302"/>
      <c r="NES7" s="302"/>
      <c r="NET7" s="302"/>
      <c r="NEU7" s="302"/>
      <c r="NEV7" s="302"/>
      <c r="NEW7" s="302"/>
      <c r="NEX7" s="302"/>
      <c r="NEY7" s="302"/>
      <c r="NEZ7" s="302"/>
      <c r="NFA7" s="302"/>
      <c r="NFB7" s="302"/>
      <c r="NFC7" s="302"/>
      <c r="NFD7" s="302"/>
      <c r="NFE7" s="302"/>
      <c r="NFF7" s="302"/>
      <c r="NFG7" s="302"/>
      <c r="NFH7" s="302"/>
      <c r="NFI7" s="302"/>
      <c r="NFJ7" s="302"/>
      <c r="NFK7" s="302"/>
      <c r="NFL7" s="302"/>
      <c r="NFM7" s="302"/>
      <c r="NFN7" s="302"/>
      <c r="NFO7" s="302"/>
      <c r="NFP7" s="302"/>
      <c r="NFQ7" s="302"/>
      <c r="NFR7" s="302"/>
      <c r="NFS7" s="302"/>
      <c r="NFT7" s="302"/>
      <c r="NFU7" s="302"/>
      <c r="NFV7" s="302"/>
      <c r="NFW7" s="302"/>
      <c r="NFX7" s="302"/>
      <c r="NFY7" s="302"/>
      <c r="NFZ7" s="302"/>
      <c r="NGA7" s="302"/>
      <c r="NGB7" s="302"/>
      <c r="NGC7" s="302"/>
      <c r="NGD7" s="302"/>
      <c r="NGE7" s="302"/>
      <c r="NGF7" s="302"/>
      <c r="NGG7" s="302"/>
      <c r="NGH7" s="302"/>
      <c r="NGI7" s="302"/>
      <c r="NGJ7" s="302"/>
      <c r="NGK7" s="302"/>
      <c r="NGL7" s="302"/>
      <c r="NGM7" s="302"/>
      <c r="NGN7" s="302"/>
      <c r="NGO7" s="302"/>
      <c r="NGP7" s="302"/>
      <c r="NGQ7" s="302"/>
      <c r="NGR7" s="302"/>
      <c r="NGS7" s="302"/>
      <c r="NGT7" s="302"/>
      <c r="NGU7" s="302"/>
      <c r="NGV7" s="302"/>
      <c r="NGW7" s="302"/>
      <c r="NGX7" s="302"/>
      <c r="NGY7" s="302"/>
      <c r="NGZ7" s="302"/>
      <c r="NHA7" s="302"/>
      <c r="NHB7" s="302"/>
      <c r="NHC7" s="302"/>
      <c r="NHD7" s="302"/>
      <c r="NHE7" s="302"/>
      <c r="NHF7" s="302"/>
      <c r="NHG7" s="302"/>
      <c r="NHH7" s="302"/>
      <c r="NHI7" s="302"/>
      <c r="NHJ7" s="302"/>
      <c r="NHK7" s="302"/>
      <c r="NHL7" s="302"/>
      <c r="NHM7" s="302"/>
      <c r="NHN7" s="302"/>
      <c r="NHO7" s="302"/>
      <c r="NHP7" s="302"/>
      <c r="NHQ7" s="302"/>
      <c r="NHR7" s="302"/>
      <c r="NHS7" s="302"/>
      <c r="NHT7" s="302"/>
      <c r="NHU7" s="302"/>
      <c r="NHV7" s="302"/>
      <c r="NHW7" s="302"/>
      <c r="NHX7" s="302"/>
      <c r="NHY7" s="302"/>
      <c r="NHZ7" s="302"/>
      <c r="NIA7" s="302"/>
      <c r="NIB7" s="302"/>
      <c r="NIC7" s="302"/>
      <c r="NID7" s="302"/>
      <c r="NIE7" s="302"/>
      <c r="NIF7" s="302"/>
      <c r="NIG7" s="302"/>
      <c r="NIH7" s="302"/>
      <c r="NII7" s="302"/>
      <c r="NIJ7" s="302"/>
      <c r="NIK7" s="302"/>
      <c r="NIL7" s="302"/>
      <c r="NIM7" s="302"/>
      <c r="NIN7" s="302"/>
      <c r="NIO7" s="302"/>
      <c r="NIP7" s="302"/>
      <c r="NIQ7" s="302"/>
      <c r="NIR7" s="302"/>
      <c r="NIS7" s="302"/>
      <c r="NIT7" s="302"/>
      <c r="NIU7" s="302"/>
      <c r="NIV7" s="302"/>
      <c r="NIW7" s="302"/>
      <c r="NIX7" s="302"/>
      <c r="NIY7" s="302"/>
      <c r="NIZ7" s="302"/>
      <c r="NJA7" s="302"/>
      <c r="NJB7" s="302"/>
      <c r="NJC7" s="302"/>
      <c r="NJD7" s="302"/>
      <c r="NJE7" s="302"/>
      <c r="NJF7" s="302"/>
      <c r="NJG7" s="302"/>
      <c r="NJH7" s="302"/>
      <c r="NJI7" s="302"/>
      <c r="NJJ7" s="302"/>
      <c r="NJK7" s="302"/>
      <c r="NJL7" s="302"/>
      <c r="NJM7" s="302"/>
      <c r="NJN7" s="302"/>
      <c r="NJO7" s="302"/>
      <c r="NJP7" s="302"/>
      <c r="NJQ7" s="302"/>
      <c r="NJR7" s="302"/>
      <c r="NJS7" s="302"/>
      <c r="NJT7" s="302"/>
      <c r="NJU7" s="302"/>
      <c r="NJV7" s="302"/>
      <c r="NJW7" s="302"/>
      <c r="NJX7" s="302"/>
      <c r="NJY7" s="302"/>
      <c r="NJZ7" s="302"/>
      <c r="NKA7" s="302"/>
      <c r="NKB7" s="302"/>
      <c r="NKC7" s="302"/>
      <c r="NKD7" s="302"/>
      <c r="NKE7" s="302"/>
      <c r="NKF7" s="302"/>
      <c r="NKG7" s="302"/>
      <c r="NKH7" s="302"/>
      <c r="NKI7" s="302"/>
      <c r="NKJ7" s="302"/>
      <c r="NKK7" s="302"/>
      <c r="NKL7" s="302"/>
      <c r="NKM7" s="302"/>
      <c r="NKN7" s="302"/>
      <c r="NKO7" s="302"/>
      <c r="NKP7" s="302"/>
      <c r="NKQ7" s="302"/>
      <c r="NKR7" s="302"/>
      <c r="NKS7" s="302"/>
      <c r="NKT7" s="302"/>
      <c r="NKU7" s="302"/>
      <c r="NKV7" s="302"/>
      <c r="NKW7" s="302"/>
      <c r="NKX7" s="302"/>
      <c r="NKY7" s="302"/>
      <c r="NKZ7" s="302"/>
      <c r="NLA7" s="302"/>
      <c r="NLB7" s="302"/>
      <c r="NLC7" s="302"/>
      <c r="NLD7" s="302"/>
      <c r="NLE7" s="302"/>
      <c r="NLF7" s="302"/>
      <c r="NLG7" s="302"/>
      <c r="NLH7" s="302"/>
      <c r="NLI7" s="302"/>
      <c r="NLJ7" s="302"/>
      <c r="NLK7" s="302"/>
      <c r="NLL7" s="302"/>
      <c r="NLM7" s="302"/>
      <c r="NLN7" s="302"/>
      <c r="NLO7" s="302"/>
      <c r="NLP7" s="302"/>
      <c r="NLQ7" s="302"/>
      <c r="NLR7" s="302"/>
      <c r="NLS7" s="302"/>
      <c r="NLT7" s="302"/>
      <c r="NLU7" s="302"/>
      <c r="NLV7" s="302"/>
      <c r="NLW7" s="302"/>
      <c r="NLX7" s="302"/>
      <c r="NLY7" s="302"/>
      <c r="NLZ7" s="302"/>
      <c r="NMA7" s="302"/>
      <c r="NMB7" s="302"/>
      <c r="NMC7" s="302"/>
      <c r="NMD7" s="302"/>
      <c r="NME7" s="302"/>
      <c r="NMF7" s="302"/>
      <c r="NMG7" s="302"/>
      <c r="NMH7" s="302"/>
      <c r="NMI7" s="302"/>
      <c r="NMJ7" s="302"/>
      <c r="NMK7" s="302"/>
      <c r="NML7" s="302"/>
      <c r="NMM7" s="302"/>
      <c r="NMN7" s="302"/>
      <c r="NMO7" s="302"/>
      <c r="NMP7" s="302"/>
      <c r="NMQ7" s="302"/>
      <c r="NMR7" s="302"/>
      <c r="NMS7" s="302"/>
      <c r="NMT7" s="302"/>
      <c r="NMU7" s="302"/>
      <c r="NMV7" s="302"/>
      <c r="NMW7" s="302"/>
      <c r="NMX7" s="302"/>
      <c r="NMY7" s="302"/>
      <c r="NMZ7" s="302"/>
      <c r="NNA7" s="302"/>
      <c r="NNB7" s="302"/>
      <c r="NNC7" s="302"/>
      <c r="NND7" s="302"/>
      <c r="NNE7" s="302"/>
      <c r="NNF7" s="302"/>
      <c r="NNG7" s="302"/>
      <c r="NNH7" s="302"/>
      <c r="NNI7" s="302"/>
      <c r="NNJ7" s="302"/>
      <c r="NNK7" s="302"/>
      <c r="NNL7" s="302"/>
      <c r="NNM7" s="302"/>
      <c r="NNN7" s="302"/>
      <c r="NNO7" s="302"/>
      <c r="NNP7" s="302"/>
      <c r="NNQ7" s="302"/>
      <c r="NNR7" s="302"/>
      <c r="NNS7" s="302"/>
      <c r="NNT7" s="302"/>
      <c r="NNU7" s="302"/>
      <c r="NNV7" s="302"/>
      <c r="NNW7" s="302"/>
      <c r="NNX7" s="302"/>
      <c r="NNY7" s="302"/>
      <c r="NNZ7" s="302"/>
      <c r="NOA7" s="302"/>
      <c r="NOB7" s="302"/>
      <c r="NOC7" s="302"/>
      <c r="NOD7" s="302"/>
      <c r="NOE7" s="302"/>
      <c r="NOF7" s="302"/>
      <c r="NOG7" s="302"/>
      <c r="NOH7" s="302"/>
      <c r="NOI7" s="302"/>
      <c r="NOJ7" s="302"/>
      <c r="NOK7" s="302"/>
      <c r="NOL7" s="302"/>
      <c r="NOM7" s="302"/>
      <c r="NON7" s="302"/>
      <c r="NOO7" s="302"/>
      <c r="NOP7" s="302"/>
      <c r="NOQ7" s="302"/>
      <c r="NOR7" s="302"/>
      <c r="NOS7" s="302"/>
      <c r="NOT7" s="302"/>
      <c r="NOU7" s="302"/>
      <c r="NOV7" s="302"/>
      <c r="NOW7" s="302"/>
      <c r="NOX7" s="302"/>
      <c r="NOY7" s="302"/>
      <c r="NOZ7" s="302"/>
      <c r="NPA7" s="302"/>
      <c r="NPB7" s="302"/>
      <c r="NPC7" s="302"/>
      <c r="NPD7" s="302"/>
      <c r="NPE7" s="302"/>
      <c r="NPF7" s="302"/>
      <c r="NPG7" s="302"/>
      <c r="NPH7" s="302"/>
      <c r="NPI7" s="302"/>
      <c r="NPJ7" s="302"/>
      <c r="NPK7" s="302"/>
      <c r="NPL7" s="302"/>
      <c r="NPM7" s="302"/>
      <c r="NPN7" s="302"/>
      <c r="NPO7" s="302"/>
      <c r="NPP7" s="302"/>
      <c r="NPQ7" s="302"/>
      <c r="NPR7" s="302"/>
      <c r="NPS7" s="302"/>
      <c r="NPT7" s="302"/>
      <c r="NPU7" s="302"/>
      <c r="NPV7" s="302"/>
      <c r="NPW7" s="302"/>
      <c r="NPX7" s="302"/>
      <c r="NPY7" s="302"/>
      <c r="NPZ7" s="302"/>
      <c r="NQA7" s="302"/>
      <c r="NQB7" s="302"/>
      <c r="NQC7" s="302"/>
      <c r="NQD7" s="302"/>
      <c r="NQE7" s="302"/>
      <c r="NQF7" s="302"/>
      <c r="NQG7" s="302"/>
      <c r="NQH7" s="302"/>
      <c r="NQI7" s="302"/>
      <c r="NQJ7" s="302"/>
      <c r="NQK7" s="302"/>
      <c r="NQL7" s="302"/>
      <c r="NQM7" s="302"/>
      <c r="NQN7" s="302"/>
      <c r="NQO7" s="302"/>
      <c r="NQP7" s="302"/>
      <c r="NQQ7" s="302"/>
      <c r="NQR7" s="302"/>
      <c r="NQS7" s="302"/>
      <c r="NQT7" s="302"/>
      <c r="NQU7" s="302"/>
      <c r="NQV7" s="302"/>
      <c r="NQW7" s="302"/>
      <c r="NQX7" s="302"/>
      <c r="NQY7" s="302"/>
      <c r="NQZ7" s="302"/>
      <c r="NRA7" s="302"/>
      <c r="NRB7" s="302"/>
      <c r="NRC7" s="302"/>
      <c r="NRD7" s="302"/>
      <c r="NRE7" s="302"/>
      <c r="NRF7" s="302"/>
      <c r="NRG7" s="302"/>
      <c r="NRH7" s="302"/>
      <c r="NRI7" s="302"/>
      <c r="NRJ7" s="302"/>
      <c r="NRK7" s="302"/>
      <c r="NRL7" s="302"/>
      <c r="NRM7" s="302"/>
      <c r="NRN7" s="302"/>
      <c r="NRO7" s="302"/>
      <c r="NRP7" s="302"/>
      <c r="NRQ7" s="302"/>
      <c r="NRR7" s="302"/>
      <c r="NRS7" s="302"/>
      <c r="NRT7" s="302"/>
      <c r="NRU7" s="302"/>
      <c r="NRV7" s="302"/>
      <c r="NRW7" s="302"/>
      <c r="NRX7" s="302"/>
      <c r="NRY7" s="302"/>
      <c r="NRZ7" s="302"/>
      <c r="NSA7" s="302"/>
      <c r="NSB7" s="302"/>
      <c r="NSC7" s="302"/>
      <c r="NSD7" s="302"/>
      <c r="NSE7" s="302"/>
      <c r="NSF7" s="302"/>
      <c r="NSG7" s="302"/>
      <c r="NSH7" s="302"/>
      <c r="NSI7" s="302"/>
      <c r="NSJ7" s="302"/>
      <c r="NSK7" s="302"/>
      <c r="NSL7" s="302"/>
      <c r="NSM7" s="302"/>
      <c r="NSN7" s="302"/>
      <c r="NSO7" s="302"/>
      <c r="NSP7" s="302"/>
      <c r="NSQ7" s="302"/>
      <c r="NSR7" s="302"/>
      <c r="NSS7" s="302"/>
      <c r="NST7" s="302"/>
      <c r="NSU7" s="302"/>
      <c r="NSV7" s="302"/>
      <c r="NSW7" s="302"/>
      <c r="NSX7" s="302"/>
      <c r="NSY7" s="302"/>
      <c r="NSZ7" s="302"/>
      <c r="NTA7" s="302"/>
      <c r="NTB7" s="302"/>
      <c r="NTC7" s="302"/>
      <c r="NTD7" s="302"/>
      <c r="NTE7" s="302"/>
      <c r="NTF7" s="302"/>
      <c r="NTG7" s="302"/>
      <c r="NTH7" s="302"/>
      <c r="NTI7" s="302"/>
      <c r="NTJ7" s="302"/>
      <c r="NTK7" s="302"/>
      <c r="NTL7" s="302"/>
      <c r="NTM7" s="302"/>
      <c r="NTN7" s="302"/>
      <c r="NTO7" s="302"/>
      <c r="NTP7" s="302"/>
      <c r="NTQ7" s="302"/>
      <c r="NTR7" s="302"/>
      <c r="NTS7" s="302"/>
      <c r="NTT7" s="302"/>
      <c r="NTU7" s="302"/>
      <c r="NTV7" s="302"/>
      <c r="NTW7" s="302"/>
      <c r="NTX7" s="302"/>
      <c r="NTY7" s="302"/>
      <c r="NTZ7" s="302"/>
      <c r="NUA7" s="302"/>
      <c r="NUB7" s="302"/>
      <c r="NUC7" s="302"/>
      <c r="NUD7" s="302"/>
      <c r="NUE7" s="302"/>
      <c r="NUF7" s="302"/>
      <c r="NUG7" s="302"/>
      <c r="NUH7" s="302"/>
      <c r="NUI7" s="302"/>
      <c r="NUJ7" s="302"/>
      <c r="NUK7" s="302"/>
      <c r="NUL7" s="302"/>
      <c r="NUM7" s="302"/>
      <c r="NUN7" s="302"/>
      <c r="NUO7" s="302"/>
      <c r="NUP7" s="302"/>
      <c r="NUQ7" s="302"/>
      <c r="NUR7" s="302"/>
      <c r="NUS7" s="302"/>
      <c r="NUT7" s="302"/>
      <c r="NUU7" s="302"/>
      <c r="NUV7" s="302"/>
      <c r="NUW7" s="302"/>
      <c r="NUX7" s="302"/>
      <c r="NUY7" s="302"/>
      <c r="NUZ7" s="302"/>
      <c r="NVA7" s="302"/>
      <c r="NVB7" s="302"/>
      <c r="NVC7" s="302"/>
      <c r="NVD7" s="302"/>
      <c r="NVE7" s="302"/>
      <c r="NVF7" s="302"/>
      <c r="NVG7" s="302"/>
      <c r="NVH7" s="302"/>
      <c r="NVI7" s="302"/>
      <c r="NVJ7" s="302"/>
      <c r="NVK7" s="302"/>
      <c r="NVL7" s="302"/>
      <c r="NVM7" s="302"/>
      <c r="NVN7" s="302"/>
      <c r="NVO7" s="302"/>
      <c r="NVP7" s="302"/>
      <c r="NVQ7" s="302"/>
      <c r="NVR7" s="302"/>
      <c r="NVS7" s="302"/>
      <c r="NVT7" s="302"/>
      <c r="NVU7" s="302"/>
      <c r="NVV7" s="302"/>
      <c r="NVW7" s="302"/>
      <c r="NVX7" s="302"/>
      <c r="NVY7" s="302"/>
      <c r="NVZ7" s="302"/>
      <c r="NWA7" s="302"/>
      <c r="NWB7" s="302"/>
      <c r="NWC7" s="302"/>
      <c r="NWD7" s="302"/>
      <c r="NWE7" s="302"/>
      <c r="NWF7" s="302"/>
      <c r="NWG7" s="302"/>
      <c r="NWH7" s="302"/>
      <c r="NWI7" s="302"/>
      <c r="NWJ7" s="302"/>
      <c r="NWK7" s="302"/>
      <c r="NWL7" s="302"/>
      <c r="NWM7" s="302"/>
      <c r="NWN7" s="302"/>
      <c r="NWO7" s="302"/>
      <c r="NWP7" s="302"/>
      <c r="NWQ7" s="302"/>
      <c r="NWR7" s="302"/>
      <c r="NWS7" s="302"/>
      <c r="NWT7" s="302"/>
      <c r="NWU7" s="302"/>
      <c r="NWV7" s="302"/>
      <c r="NWW7" s="302"/>
      <c r="NWX7" s="302"/>
      <c r="NWY7" s="302"/>
      <c r="NWZ7" s="302"/>
      <c r="NXA7" s="302"/>
      <c r="NXB7" s="302"/>
      <c r="NXC7" s="302"/>
      <c r="NXD7" s="302"/>
      <c r="NXE7" s="302"/>
      <c r="NXF7" s="302"/>
      <c r="NXG7" s="302"/>
      <c r="NXH7" s="302"/>
      <c r="NXI7" s="302"/>
      <c r="NXJ7" s="302"/>
      <c r="NXK7" s="302"/>
      <c r="NXL7" s="302"/>
      <c r="NXM7" s="302"/>
      <c r="NXN7" s="302"/>
      <c r="NXO7" s="302"/>
      <c r="NXP7" s="302"/>
      <c r="NXQ7" s="302"/>
      <c r="NXR7" s="302"/>
      <c r="NXS7" s="302"/>
      <c r="NXT7" s="302"/>
      <c r="NXU7" s="302"/>
      <c r="NXV7" s="302"/>
      <c r="NXW7" s="302"/>
      <c r="NXX7" s="302"/>
      <c r="NXY7" s="302"/>
      <c r="NXZ7" s="302"/>
      <c r="NYA7" s="302"/>
      <c r="NYB7" s="302"/>
      <c r="NYC7" s="302"/>
      <c r="NYD7" s="302"/>
      <c r="NYE7" s="302"/>
      <c r="NYF7" s="302"/>
      <c r="NYG7" s="302"/>
      <c r="NYH7" s="302"/>
      <c r="NYI7" s="302"/>
      <c r="NYJ7" s="302"/>
      <c r="NYK7" s="302"/>
      <c r="NYL7" s="302"/>
      <c r="NYM7" s="302"/>
      <c r="NYN7" s="302"/>
      <c r="NYO7" s="302"/>
      <c r="NYP7" s="302"/>
      <c r="NYQ7" s="302"/>
      <c r="NYR7" s="302"/>
      <c r="NYS7" s="302"/>
      <c r="NYT7" s="302"/>
      <c r="NYU7" s="302"/>
      <c r="NYV7" s="302"/>
      <c r="NYW7" s="302"/>
      <c r="NYX7" s="302"/>
      <c r="NYY7" s="302"/>
      <c r="NYZ7" s="302"/>
      <c r="NZA7" s="302"/>
      <c r="NZB7" s="302"/>
      <c r="NZC7" s="302"/>
      <c r="NZD7" s="302"/>
      <c r="NZE7" s="302"/>
      <c r="NZF7" s="302"/>
      <c r="NZG7" s="302"/>
      <c r="NZH7" s="302"/>
      <c r="NZI7" s="302"/>
      <c r="NZJ7" s="302"/>
      <c r="NZK7" s="302"/>
      <c r="NZL7" s="302"/>
      <c r="NZM7" s="302"/>
      <c r="NZN7" s="302"/>
      <c r="NZO7" s="302"/>
      <c r="NZP7" s="302"/>
      <c r="NZQ7" s="302"/>
      <c r="NZR7" s="302"/>
      <c r="NZS7" s="302"/>
      <c r="NZT7" s="302"/>
      <c r="NZU7" s="302"/>
      <c r="NZV7" s="302"/>
      <c r="NZW7" s="302"/>
      <c r="NZX7" s="302"/>
      <c r="NZY7" s="302"/>
      <c r="NZZ7" s="302"/>
      <c r="OAA7" s="302"/>
      <c r="OAB7" s="302"/>
      <c r="OAC7" s="302"/>
      <c r="OAD7" s="302"/>
      <c r="OAE7" s="302"/>
      <c r="OAF7" s="302"/>
      <c r="OAG7" s="302"/>
      <c r="OAH7" s="302"/>
      <c r="OAI7" s="302"/>
      <c r="OAJ7" s="302"/>
      <c r="OAK7" s="302"/>
      <c r="OAL7" s="302"/>
      <c r="OAM7" s="302"/>
      <c r="OAN7" s="302"/>
      <c r="OAO7" s="302"/>
      <c r="OAP7" s="302"/>
      <c r="OAQ7" s="302"/>
      <c r="OAR7" s="302"/>
      <c r="OAS7" s="302"/>
      <c r="OAT7" s="302"/>
      <c r="OAU7" s="302"/>
      <c r="OAV7" s="302"/>
      <c r="OAW7" s="302"/>
      <c r="OAX7" s="302"/>
      <c r="OAY7" s="302"/>
      <c r="OAZ7" s="302"/>
      <c r="OBA7" s="302"/>
      <c r="OBB7" s="302"/>
      <c r="OBC7" s="302"/>
      <c r="OBD7" s="302"/>
      <c r="OBE7" s="302"/>
      <c r="OBF7" s="302"/>
      <c r="OBG7" s="302"/>
      <c r="OBH7" s="302"/>
      <c r="OBI7" s="302"/>
      <c r="OBJ7" s="302"/>
      <c r="OBK7" s="302"/>
      <c r="OBL7" s="302"/>
      <c r="OBM7" s="302"/>
      <c r="OBN7" s="302"/>
      <c r="OBO7" s="302"/>
      <c r="OBP7" s="302"/>
      <c r="OBQ7" s="302"/>
      <c r="OBR7" s="302"/>
      <c r="OBS7" s="302"/>
      <c r="OBT7" s="302"/>
      <c r="OBU7" s="302"/>
      <c r="OBV7" s="302"/>
      <c r="OBW7" s="302"/>
      <c r="OBX7" s="302"/>
      <c r="OBY7" s="302"/>
      <c r="OBZ7" s="302"/>
      <c r="OCA7" s="302"/>
      <c r="OCB7" s="302"/>
      <c r="OCC7" s="302"/>
      <c r="OCD7" s="302"/>
      <c r="OCE7" s="302"/>
      <c r="OCF7" s="302"/>
      <c r="OCG7" s="302"/>
      <c r="OCH7" s="302"/>
      <c r="OCI7" s="302"/>
      <c r="OCJ7" s="302"/>
      <c r="OCK7" s="302"/>
      <c r="OCL7" s="302"/>
      <c r="OCM7" s="302"/>
      <c r="OCN7" s="302"/>
      <c r="OCO7" s="302"/>
      <c r="OCP7" s="302"/>
      <c r="OCQ7" s="302"/>
      <c r="OCR7" s="302"/>
      <c r="OCS7" s="302"/>
      <c r="OCT7" s="302"/>
      <c r="OCU7" s="302"/>
      <c r="OCV7" s="302"/>
      <c r="OCW7" s="302"/>
      <c r="OCX7" s="302"/>
      <c r="OCY7" s="302"/>
      <c r="OCZ7" s="302"/>
      <c r="ODA7" s="302"/>
      <c r="ODB7" s="302"/>
      <c r="ODC7" s="302"/>
      <c r="ODD7" s="302"/>
      <c r="ODE7" s="302"/>
      <c r="ODF7" s="302"/>
      <c r="ODG7" s="302"/>
      <c r="ODH7" s="302"/>
      <c r="ODI7" s="302"/>
      <c r="ODJ7" s="302"/>
      <c r="ODK7" s="302"/>
      <c r="ODL7" s="302"/>
      <c r="ODM7" s="302"/>
      <c r="ODN7" s="302"/>
      <c r="ODO7" s="302"/>
      <c r="ODP7" s="302"/>
      <c r="ODQ7" s="302"/>
      <c r="ODR7" s="302"/>
      <c r="ODS7" s="302"/>
      <c r="ODT7" s="302"/>
      <c r="ODU7" s="302"/>
      <c r="ODV7" s="302"/>
      <c r="ODW7" s="302"/>
      <c r="ODX7" s="302"/>
      <c r="ODY7" s="302"/>
      <c r="ODZ7" s="302"/>
      <c r="OEA7" s="302"/>
      <c r="OEB7" s="302"/>
      <c r="OEC7" s="302"/>
      <c r="OED7" s="302"/>
      <c r="OEE7" s="302"/>
      <c r="OEF7" s="302"/>
      <c r="OEG7" s="302"/>
      <c r="OEH7" s="302"/>
      <c r="OEI7" s="302"/>
      <c r="OEJ7" s="302"/>
      <c r="OEK7" s="302"/>
      <c r="OEL7" s="302"/>
      <c r="OEM7" s="302"/>
      <c r="OEN7" s="302"/>
      <c r="OEO7" s="302"/>
      <c r="OEP7" s="302"/>
      <c r="OEQ7" s="302"/>
      <c r="OER7" s="302"/>
      <c r="OES7" s="302"/>
      <c r="OET7" s="302"/>
      <c r="OEU7" s="302"/>
      <c r="OEV7" s="302"/>
      <c r="OEW7" s="302"/>
      <c r="OEX7" s="302"/>
      <c r="OEY7" s="302"/>
      <c r="OEZ7" s="302"/>
      <c r="OFA7" s="302"/>
      <c r="OFB7" s="302"/>
      <c r="OFC7" s="302"/>
      <c r="OFD7" s="302"/>
      <c r="OFE7" s="302"/>
      <c r="OFF7" s="302"/>
      <c r="OFG7" s="302"/>
      <c r="OFH7" s="302"/>
      <c r="OFI7" s="302"/>
      <c r="OFJ7" s="302"/>
      <c r="OFK7" s="302"/>
      <c r="OFL7" s="302"/>
      <c r="OFM7" s="302"/>
      <c r="OFN7" s="302"/>
      <c r="OFO7" s="302"/>
      <c r="OFP7" s="302"/>
      <c r="OFQ7" s="302"/>
      <c r="OFR7" s="302"/>
      <c r="OFS7" s="302"/>
      <c r="OFT7" s="302"/>
      <c r="OFU7" s="302"/>
      <c r="OFV7" s="302"/>
      <c r="OFW7" s="302"/>
      <c r="OFX7" s="302"/>
      <c r="OFY7" s="302"/>
      <c r="OFZ7" s="302"/>
      <c r="OGA7" s="302"/>
      <c r="OGB7" s="302"/>
      <c r="OGC7" s="302"/>
      <c r="OGD7" s="302"/>
      <c r="OGE7" s="302"/>
      <c r="OGF7" s="302"/>
      <c r="OGG7" s="302"/>
      <c r="OGH7" s="302"/>
      <c r="OGI7" s="302"/>
      <c r="OGJ7" s="302"/>
      <c r="OGK7" s="302"/>
      <c r="OGL7" s="302"/>
      <c r="OGM7" s="302"/>
      <c r="OGN7" s="302"/>
      <c r="OGO7" s="302"/>
      <c r="OGP7" s="302"/>
      <c r="OGQ7" s="302"/>
      <c r="OGR7" s="302"/>
      <c r="OGS7" s="302"/>
      <c r="OGT7" s="302"/>
      <c r="OGU7" s="302"/>
      <c r="OGV7" s="302"/>
      <c r="OGW7" s="302"/>
      <c r="OGX7" s="302"/>
      <c r="OGY7" s="302"/>
      <c r="OGZ7" s="302"/>
      <c r="OHA7" s="302"/>
      <c r="OHB7" s="302"/>
      <c r="OHC7" s="302"/>
      <c r="OHD7" s="302"/>
      <c r="OHE7" s="302"/>
      <c r="OHF7" s="302"/>
      <c r="OHG7" s="302"/>
      <c r="OHH7" s="302"/>
      <c r="OHI7" s="302"/>
      <c r="OHJ7" s="302"/>
      <c r="OHK7" s="302"/>
      <c r="OHL7" s="302"/>
      <c r="OHM7" s="302"/>
      <c r="OHN7" s="302"/>
      <c r="OHO7" s="302"/>
      <c r="OHP7" s="302"/>
      <c r="OHQ7" s="302"/>
      <c r="OHR7" s="302"/>
      <c r="OHS7" s="302"/>
      <c r="OHT7" s="302"/>
      <c r="OHU7" s="302"/>
      <c r="OHV7" s="302"/>
      <c r="OHW7" s="302"/>
      <c r="OHX7" s="302"/>
      <c r="OHY7" s="302"/>
      <c r="OHZ7" s="302"/>
      <c r="OIA7" s="302"/>
      <c r="OIB7" s="302"/>
      <c r="OIC7" s="302"/>
      <c r="OID7" s="302"/>
      <c r="OIE7" s="302"/>
      <c r="OIF7" s="302"/>
      <c r="OIG7" s="302"/>
      <c r="OIH7" s="302"/>
      <c r="OII7" s="302"/>
      <c r="OIJ7" s="302"/>
      <c r="OIK7" s="302"/>
      <c r="OIL7" s="302"/>
      <c r="OIM7" s="302"/>
      <c r="OIN7" s="302"/>
      <c r="OIO7" s="302"/>
      <c r="OIP7" s="302"/>
      <c r="OIQ7" s="302"/>
      <c r="OIR7" s="302"/>
      <c r="OIS7" s="302"/>
      <c r="OIT7" s="302"/>
      <c r="OIU7" s="302"/>
      <c r="OIV7" s="302"/>
      <c r="OIW7" s="302"/>
      <c r="OIX7" s="302"/>
      <c r="OIY7" s="302"/>
      <c r="OIZ7" s="302"/>
      <c r="OJA7" s="302"/>
      <c r="OJB7" s="302"/>
      <c r="OJC7" s="302"/>
      <c r="OJD7" s="302"/>
      <c r="OJE7" s="302"/>
      <c r="OJF7" s="302"/>
      <c r="OJG7" s="302"/>
      <c r="OJH7" s="302"/>
      <c r="OJI7" s="302"/>
      <c r="OJJ7" s="302"/>
      <c r="OJK7" s="302"/>
      <c r="OJL7" s="302"/>
      <c r="OJM7" s="302"/>
      <c r="OJN7" s="302"/>
      <c r="OJO7" s="302"/>
      <c r="OJP7" s="302"/>
      <c r="OJQ7" s="302"/>
      <c r="OJR7" s="302"/>
      <c r="OJS7" s="302"/>
      <c r="OJT7" s="302"/>
      <c r="OJU7" s="302"/>
      <c r="OJV7" s="302"/>
      <c r="OJW7" s="302"/>
      <c r="OJX7" s="302"/>
      <c r="OJY7" s="302"/>
      <c r="OJZ7" s="302"/>
      <c r="OKA7" s="302"/>
      <c r="OKB7" s="302"/>
      <c r="OKC7" s="302"/>
      <c r="OKD7" s="302"/>
      <c r="OKE7" s="302"/>
      <c r="OKF7" s="302"/>
      <c r="OKG7" s="302"/>
      <c r="OKH7" s="302"/>
      <c r="OKI7" s="302"/>
      <c r="OKJ7" s="302"/>
      <c r="OKK7" s="302"/>
      <c r="OKL7" s="302"/>
      <c r="OKM7" s="302"/>
      <c r="OKN7" s="302"/>
      <c r="OKO7" s="302"/>
      <c r="OKP7" s="302"/>
      <c r="OKQ7" s="302"/>
      <c r="OKR7" s="302"/>
      <c r="OKS7" s="302"/>
      <c r="OKT7" s="302"/>
      <c r="OKU7" s="302"/>
      <c r="OKV7" s="302"/>
      <c r="OKW7" s="302"/>
      <c r="OKX7" s="302"/>
      <c r="OKY7" s="302"/>
      <c r="OKZ7" s="302"/>
      <c r="OLA7" s="302"/>
      <c r="OLB7" s="302"/>
      <c r="OLC7" s="302"/>
      <c r="OLD7" s="302"/>
      <c r="OLE7" s="302"/>
      <c r="OLF7" s="302"/>
      <c r="OLG7" s="302"/>
      <c r="OLH7" s="302"/>
      <c r="OLI7" s="302"/>
      <c r="OLJ7" s="302"/>
      <c r="OLK7" s="302"/>
      <c r="OLL7" s="302"/>
      <c r="OLM7" s="302"/>
      <c r="OLN7" s="302"/>
      <c r="OLO7" s="302"/>
      <c r="OLP7" s="302"/>
      <c r="OLQ7" s="302"/>
      <c r="OLR7" s="302"/>
      <c r="OLS7" s="302"/>
      <c r="OLT7" s="302"/>
      <c r="OLU7" s="302"/>
      <c r="OLV7" s="302"/>
      <c r="OLW7" s="302"/>
      <c r="OLX7" s="302"/>
      <c r="OLY7" s="302"/>
      <c r="OLZ7" s="302"/>
      <c r="OMA7" s="302"/>
      <c r="OMB7" s="302"/>
      <c r="OMC7" s="302"/>
      <c r="OMD7" s="302"/>
      <c r="OME7" s="302"/>
      <c r="OMF7" s="302"/>
      <c r="OMG7" s="302"/>
      <c r="OMH7" s="302"/>
      <c r="OMI7" s="302"/>
      <c r="OMJ7" s="302"/>
      <c r="OMK7" s="302"/>
      <c r="OML7" s="302"/>
      <c r="OMM7" s="302"/>
      <c r="OMN7" s="302"/>
      <c r="OMO7" s="302"/>
      <c r="OMP7" s="302"/>
      <c r="OMQ7" s="302"/>
      <c r="OMR7" s="302"/>
      <c r="OMS7" s="302"/>
      <c r="OMT7" s="302"/>
      <c r="OMU7" s="302"/>
      <c r="OMV7" s="302"/>
      <c r="OMW7" s="302"/>
      <c r="OMX7" s="302"/>
      <c r="OMY7" s="302"/>
      <c r="OMZ7" s="302"/>
      <c r="ONA7" s="302"/>
      <c r="ONB7" s="302"/>
      <c r="ONC7" s="302"/>
      <c r="OND7" s="302"/>
      <c r="ONE7" s="302"/>
      <c r="ONF7" s="302"/>
      <c r="ONG7" s="302"/>
      <c r="ONH7" s="302"/>
      <c r="ONI7" s="302"/>
      <c r="ONJ7" s="302"/>
      <c r="ONK7" s="302"/>
      <c r="ONL7" s="302"/>
      <c r="ONM7" s="302"/>
      <c r="ONN7" s="302"/>
      <c r="ONO7" s="302"/>
      <c r="ONP7" s="302"/>
      <c r="ONQ7" s="302"/>
      <c r="ONR7" s="302"/>
      <c r="ONS7" s="302"/>
      <c r="ONT7" s="302"/>
      <c r="ONU7" s="302"/>
      <c r="ONV7" s="302"/>
      <c r="ONW7" s="302"/>
      <c r="ONX7" s="302"/>
      <c r="ONY7" s="302"/>
      <c r="ONZ7" s="302"/>
      <c r="OOA7" s="302"/>
      <c r="OOB7" s="302"/>
      <c r="OOC7" s="302"/>
      <c r="OOD7" s="302"/>
      <c r="OOE7" s="302"/>
      <c r="OOF7" s="302"/>
      <c r="OOG7" s="302"/>
      <c r="OOH7" s="302"/>
      <c r="OOI7" s="302"/>
      <c r="OOJ7" s="302"/>
      <c r="OOK7" s="302"/>
      <c r="OOL7" s="302"/>
      <c r="OOM7" s="302"/>
      <c r="OON7" s="302"/>
      <c r="OOO7" s="302"/>
      <c r="OOP7" s="302"/>
      <c r="OOQ7" s="302"/>
      <c r="OOR7" s="302"/>
      <c r="OOS7" s="302"/>
      <c r="OOT7" s="302"/>
      <c r="OOU7" s="302"/>
      <c r="OOV7" s="302"/>
      <c r="OOW7" s="302"/>
      <c r="OOX7" s="302"/>
      <c r="OOY7" s="302"/>
      <c r="OOZ7" s="302"/>
      <c r="OPA7" s="302"/>
      <c r="OPB7" s="302"/>
      <c r="OPC7" s="302"/>
      <c r="OPD7" s="302"/>
      <c r="OPE7" s="302"/>
      <c r="OPF7" s="302"/>
      <c r="OPG7" s="302"/>
      <c r="OPH7" s="302"/>
      <c r="OPI7" s="302"/>
      <c r="OPJ7" s="302"/>
      <c r="OPK7" s="302"/>
      <c r="OPL7" s="302"/>
      <c r="OPM7" s="302"/>
      <c r="OPN7" s="302"/>
      <c r="OPO7" s="302"/>
      <c r="OPP7" s="302"/>
      <c r="OPQ7" s="302"/>
      <c r="OPR7" s="302"/>
      <c r="OPS7" s="302"/>
      <c r="OPT7" s="302"/>
      <c r="OPU7" s="302"/>
      <c r="OPV7" s="302"/>
      <c r="OPW7" s="302"/>
      <c r="OPX7" s="302"/>
      <c r="OPY7" s="302"/>
      <c r="OPZ7" s="302"/>
      <c r="OQA7" s="302"/>
      <c r="OQB7" s="302"/>
      <c r="OQC7" s="302"/>
      <c r="OQD7" s="302"/>
      <c r="OQE7" s="302"/>
      <c r="OQF7" s="302"/>
      <c r="OQG7" s="302"/>
      <c r="OQH7" s="302"/>
      <c r="OQI7" s="302"/>
      <c r="OQJ7" s="302"/>
      <c r="OQK7" s="302"/>
      <c r="OQL7" s="302"/>
      <c r="OQM7" s="302"/>
      <c r="OQN7" s="302"/>
      <c r="OQO7" s="302"/>
      <c r="OQP7" s="302"/>
      <c r="OQQ7" s="302"/>
      <c r="OQR7" s="302"/>
      <c r="OQS7" s="302"/>
      <c r="OQT7" s="302"/>
      <c r="OQU7" s="302"/>
      <c r="OQV7" s="302"/>
      <c r="OQW7" s="302"/>
      <c r="OQX7" s="302"/>
      <c r="OQY7" s="302"/>
      <c r="OQZ7" s="302"/>
      <c r="ORA7" s="302"/>
      <c r="ORB7" s="302"/>
      <c r="ORC7" s="302"/>
      <c r="ORD7" s="302"/>
      <c r="ORE7" s="302"/>
      <c r="ORF7" s="302"/>
      <c r="ORG7" s="302"/>
      <c r="ORH7" s="302"/>
      <c r="ORI7" s="302"/>
      <c r="ORJ7" s="302"/>
      <c r="ORK7" s="302"/>
      <c r="ORL7" s="302"/>
      <c r="ORM7" s="302"/>
      <c r="ORN7" s="302"/>
      <c r="ORO7" s="302"/>
      <c r="ORP7" s="302"/>
      <c r="ORQ7" s="302"/>
      <c r="ORR7" s="302"/>
      <c r="ORS7" s="302"/>
      <c r="ORT7" s="302"/>
      <c r="ORU7" s="302"/>
      <c r="ORV7" s="302"/>
      <c r="ORW7" s="302"/>
      <c r="ORX7" s="302"/>
      <c r="ORY7" s="302"/>
      <c r="ORZ7" s="302"/>
      <c r="OSA7" s="302"/>
      <c r="OSB7" s="302"/>
      <c r="OSC7" s="302"/>
      <c r="OSD7" s="302"/>
      <c r="OSE7" s="302"/>
      <c r="OSF7" s="302"/>
      <c r="OSG7" s="302"/>
      <c r="OSH7" s="302"/>
      <c r="OSI7" s="302"/>
      <c r="OSJ7" s="302"/>
      <c r="OSK7" s="302"/>
      <c r="OSL7" s="302"/>
      <c r="OSM7" s="302"/>
      <c r="OSN7" s="302"/>
      <c r="OSO7" s="302"/>
      <c r="OSP7" s="302"/>
      <c r="OSQ7" s="302"/>
      <c r="OSR7" s="302"/>
      <c r="OSS7" s="302"/>
      <c r="OST7" s="302"/>
      <c r="OSU7" s="302"/>
      <c r="OSV7" s="302"/>
      <c r="OSW7" s="302"/>
      <c r="OSX7" s="302"/>
      <c r="OSY7" s="302"/>
      <c r="OSZ7" s="302"/>
      <c r="OTA7" s="302"/>
      <c r="OTB7" s="302"/>
      <c r="OTC7" s="302"/>
      <c r="OTD7" s="302"/>
      <c r="OTE7" s="302"/>
      <c r="OTF7" s="302"/>
      <c r="OTG7" s="302"/>
      <c r="OTH7" s="302"/>
      <c r="OTI7" s="302"/>
      <c r="OTJ7" s="302"/>
      <c r="OTK7" s="302"/>
      <c r="OTL7" s="302"/>
      <c r="OTM7" s="302"/>
      <c r="OTN7" s="302"/>
      <c r="OTO7" s="302"/>
      <c r="OTP7" s="302"/>
      <c r="OTQ7" s="302"/>
      <c r="OTR7" s="302"/>
      <c r="OTS7" s="302"/>
      <c r="OTT7" s="302"/>
      <c r="OTU7" s="302"/>
      <c r="OTV7" s="302"/>
      <c r="OTW7" s="302"/>
      <c r="OTX7" s="302"/>
      <c r="OTY7" s="302"/>
      <c r="OTZ7" s="302"/>
      <c r="OUA7" s="302"/>
      <c r="OUB7" s="302"/>
      <c r="OUC7" s="302"/>
      <c r="OUD7" s="302"/>
      <c r="OUE7" s="302"/>
      <c r="OUF7" s="302"/>
      <c r="OUG7" s="302"/>
      <c r="OUH7" s="302"/>
      <c r="OUI7" s="302"/>
      <c r="OUJ7" s="302"/>
      <c r="OUK7" s="302"/>
      <c r="OUL7" s="302"/>
      <c r="OUM7" s="302"/>
      <c r="OUN7" s="302"/>
      <c r="OUO7" s="302"/>
      <c r="OUP7" s="302"/>
      <c r="OUQ7" s="302"/>
      <c r="OUR7" s="302"/>
      <c r="OUS7" s="302"/>
      <c r="OUT7" s="302"/>
      <c r="OUU7" s="302"/>
      <c r="OUV7" s="302"/>
      <c r="OUW7" s="302"/>
      <c r="OUX7" s="302"/>
      <c r="OUY7" s="302"/>
      <c r="OUZ7" s="302"/>
      <c r="OVA7" s="302"/>
      <c r="OVB7" s="302"/>
      <c r="OVC7" s="302"/>
      <c r="OVD7" s="302"/>
      <c r="OVE7" s="302"/>
      <c r="OVF7" s="302"/>
      <c r="OVG7" s="302"/>
      <c r="OVH7" s="302"/>
      <c r="OVI7" s="302"/>
      <c r="OVJ7" s="302"/>
      <c r="OVK7" s="302"/>
      <c r="OVL7" s="302"/>
      <c r="OVM7" s="302"/>
      <c r="OVN7" s="302"/>
      <c r="OVO7" s="302"/>
      <c r="OVP7" s="302"/>
      <c r="OVQ7" s="302"/>
      <c r="OVR7" s="302"/>
      <c r="OVS7" s="302"/>
      <c r="OVT7" s="302"/>
      <c r="OVU7" s="302"/>
      <c r="OVV7" s="302"/>
      <c r="OVW7" s="302"/>
      <c r="OVX7" s="302"/>
      <c r="OVY7" s="302"/>
      <c r="OVZ7" s="302"/>
      <c r="OWA7" s="302"/>
      <c r="OWB7" s="302"/>
      <c r="OWC7" s="302"/>
      <c r="OWD7" s="302"/>
      <c r="OWE7" s="302"/>
      <c r="OWF7" s="302"/>
      <c r="OWG7" s="302"/>
      <c r="OWH7" s="302"/>
      <c r="OWI7" s="302"/>
      <c r="OWJ7" s="302"/>
      <c r="OWK7" s="302"/>
      <c r="OWL7" s="302"/>
      <c r="OWM7" s="302"/>
      <c r="OWN7" s="302"/>
      <c r="OWO7" s="302"/>
      <c r="OWP7" s="302"/>
      <c r="OWQ7" s="302"/>
      <c r="OWR7" s="302"/>
      <c r="OWS7" s="302"/>
      <c r="OWT7" s="302"/>
      <c r="OWU7" s="302"/>
      <c r="OWV7" s="302"/>
      <c r="OWW7" s="302"/>
      <c r="OWX7" s="302"/>
      <c r="OWY7" s="302"/>
      <c r="OWZ7" s="302"/>
      <c r="OXA7" s="302"/>
      <c r="OXB7" s="302"/>
      <c r="OXC7" s="302"/>
      <c r="OXD7" s="302"/>
      <c r="OXE7" s="302"/>
      <c r="OXF7" s="302"/>
      <c r="OXG7" s="302"/>
      <c r="OXH7" s="302"/>
      <c r="OXI7" s="302"/>
      <c r="OXJ7" s="302"/>
      <c r="OXK7" s="302"/>
      <c r="OXL7" s="302"/>
      <c r="OXM7" s="302"/>
      <c r="OXN7" s="302"/>
      <c r="OXO7" s="302"/>
      <c r="OXP7" s="302"/>
      <c r="OXQ7" s="302"/>
      <c r="OXR7" s="302"/>
      <c r="OXS7" s="302"/>
      <c r="OXT7" s="302"/>
      <c r="OXU7" s="302"/>
      <c r="OXV7" s="302"/>
      <c r="OXW7" s="302"/>
      <c r="OXX7" s="302"/>
      <c r="OXY7" s="302"/>
      <c r="OXZ7" s="302"/>
      <c r="OYA7" s="302"/>
      <c r="OYB7" s="302"/>
      <c r="OYC7" s="302"/>
      <c r="OYD7" s="302"/>
      <c r="OYE7" s="302"/>
      <c r="OYF7" s="302"/>
      <c r="OYG7" s="302"/>
      <c r="OYH7" s="302"/>
      <c r="OYI7" s="302"/>
      <c r="OYJ7" s="302"/>
      <c r="OYK7" s="302"/>
      <c r="OYL7" s="302"/>
      <c r="OYM7" s="302"/>
      <c r="OYN7" s="302"/>
      <c r="OYO7" s="302"/>
      <c r="OYP7" s="302"/>
      <c r="OYQ7" s="302"/>
      <c r="OYR7" s="302"/>
      <c r="OYS7" s="302"/>
      <c r="OYT7" s="302"/>
      <c r="OYU7" s="302"/>
      <c r="OYV7" s="302"/>
      <c r="OYW7" s="302"/>
      <c r="OYX7" s="302"/>
      <c r="OYY7" s="302"/>
      <c r="OYZ7" s="302"/>
      <c r="OZA7" s="302"/>
      <c r="OZB7" s="302"/>
      <c r="OZC7" s="302"/>
      <c r="OZD7" s="302"/>
      <c r="OZE7" s="302"/>
      <c r="OZF7" s="302"/>
      <c r="OZG7" s="302"/>
      <c r="OZH7" s="302"/>
      <c r="OZI7" s="302"/>
      <c r="OZJ7" s="302"/>
      <c r="OZK7" s="302"/>
      <c r="OZL7" s="302"/>
      <c r="OZM7" s="302"/>
      <c r="OZN7" s="302"/>
      <c r="OZO7" s="302"/>
      <c r="OZP7" s="302"/>
      <c r="OZQ7" s="302"/>
      <c r="OZR7" s="302"/>
      <c r="OZS7" s="302"/>
      <c r="OZT7" s="302"/>
      <c r="OZU7" s="302"/>
      <c r="OZV7" s="302"/>
      <c r="OZW7" s="302"/>
      <c r="OZX7" s="302"/>
      <c r="OZY7" s="302"/>
      <c r="OZZ7" s="302"/>
      <c r="PAA7" s="302"/>
      <c r="PAB7" s="302"/>
      <c r="PAC7" s="302"/>
      <c r="PAD7" s="302"/>
      <c r="PAE7" s="302"/>
      <c r="PAF7" s="302"/>
      <c r="PAG7" s="302"/>
      <c r="PAH7" s="302"/>
      <c r="PAI7" s="302"/>
      <c r="PAJ7" s="302"/>
      <c r="PAK7" s="302"/>
      <c r="PAL7" s="302"/>
      <c r="PAM7" s="302"/>
      <c r="PAN7" s="302"/>
      <c r="PAO7" s="302"/>
      <c r="PAP7" s="302"/>
      <c r="PAQ7" s="302"/>
      <c r="PAR7" s="302"/>
      <c r="PAS7" s="302"/>
      <c r="PAT7" s="302"/>
      <c r="PAU7" s="302"/>
      <c r="PAV7" s="302"/>
      <c r="PAW7" s="302"/>
      <c r="PAX7" s="302"/>
      <c r="PAY7" s="302"/>
      <c r="PAZ7" s="302"/>
      <c r="PBA7" s="302"/>
      <c r="PBB7" s="302"/>
      <c r="PBC7" s="302"/>
      <c r="PBD7" s="302"/>
      <c r="PBE7" s="302"/>
      <c r="PBF7" s="302"/>
      <c r="PBG7" s="302"/>
      <c r="PBH7" s="302"/>
      <c r="PBI7" s="302"/>
      <c r="PBJ7" s="302"/>
      <c r="PBK7" s="302"/>
      <c r="PBL7" s="302"/>
      <c r="PBM7" s="302"/>
      <c r="PBN7" s="302"/>
      <c r="PBO7" s="302"/>
      <c r="PBP7" s="302"/>
      <c r="PBQ7" s="302"/>
      <c r="PBR7" s="302"/>
      <c r="PBS7" s="302"/>
      <c r="PBT7" s="302"/>
      <c r="PBU7" s="302"/>
      <c r="PBV7" s="302"/>
      <c r="PBW7" s="302"/>
      <c r="PBX7" s="302"/>
      <c r="PBY7" s="302"/>
      <c r="PBZ7" s="302"/>
      <c r="PCA7" s="302"/>
      <c r="PCB7" s="302"/>
      <c r="PCC7" s="302"/>
      <c r="PCD7" s="302"/>
      <c r="PCE7" s="302"/>
      <c r="PCF7" s="302"/>
      <c r="PCG7" s="302"/>
      <c r="PCH7" s="302"/>
      <c r="PCI7" s="302"/>
      <c r="PCJ7" s="302"/>
      <c r="PCK7" s="302"/>
      <c r="PCL7" s="302"/>
      <c r="PCM7" s="302"/>
      <c r="PCN7" s="302"/>
      <c r="PCO7" s="302"/>
      <c r="PCP7" s="302"/>
      <c r="PCQ7" s="302"/>
      <c r="PCR7" s="302"/>
      <c r="PCS7" s="302"/>
      <c r="PCT7" s="302"/>
      <c r="PCU7" s="302"/>
      <c r="PCV7" s="302"/>
      <c r="PCW7" s="302"/>
      <c r="PCX7" s="302"/>
      <c r="PCY7" s="302"/>
      <c r="PCZ7" s="302"/>
      <c r="PDA7" s="302"/>
      <c r="PDB7" s="302"/>
      <c r="PDC7" s="302"/>
      <c r="PDD7" s="302"/>
      <c r="PDE7" s="302"/>
      <c r="PDF7" s="302"/>
      <c r="PDG7" s="302"/>
      <c r="PDH7" s="302"/>
      <c r="PDI7" s="302"/>
      <c r="PDJ7" s="302"/>
      <c r="PDK7" s="302"/>
      <c r="PDL7" s="302"/>
      <c r="PDM7" s="302"/>
      <c r="PDN7" s="302"/>
      <c r="PDO7" s="302"/>
      <c r="PDP7" s="302"/>
      <c r="PDQ7" s="302"/>
      <c r="PDR7" s="302"/>
      <c r="PDS7" s="302"/>
      <c r="PDT7" s="302"/>
      <c r="PDU7" s="302"/>
      <c r="PDV7" s="302"/>
      <c r="PDW7" s="302"/>
      <c r="PDX7" s="302"/>
      <c r="PDY7" s="302"/>
      <c r="PDZ7" s="302"/>
      <c r="PEA7" s="302"/>
      <c r="PEB7" s="302"/>
      <c r="PEC7" s="302"/>
      <c r="PED7" s="302"/>
      <c r="PEE7" s="302"/>
      <c r="PEF7" s="302"/>
      <c r="PEG7" s="302"/>
      <c r="PEH7" s="302"/>
      <c r="PEI7" s="302"/>
      <c r="PEJ7" s="302"/>
      <c r="PEK7" s="302"/>
      <c r="PEL7" s="302"/>
      <c r="PEM7" s="302"/>
      <c r="PEN7" s="302"/>
      <c r="PEO7" s="302"/>
      <c r="PEP7" s="302"/>
      <c r="PEQ7" s="302"/>
      <c r="PER7" s="302"/>
      <c r="PES7" s="302"/>
      <c r="PET7" s="302"/>
      <c r="PEU7" s="302"/>
      <c r="PEV7" s="302"/>
      <c r="PEW7" s="302"/>
      <c r="PEX7" s="302"/>
      <c r="PEY7" s="302"/>
      <c r="PEZ7" s="302"/>
      <c r="PFA7" s="302"/>
      <c r="PFB7" s="302"/>
      <c r="PFC7" s="302"/>
      <c r="PFD7" s="302"/>
      <c r="PFE7" s="302"/>
      <c r="PFF7" s="302"/>
      <c r="PFG7" s="302"/>
      <c r="PFH7" s="302"/>
      <c r="PFI7" s="302"/>
      <c r="PFJ7" s="302"/>
      <c r="PFK7" s="302"/>
      <c r="PFL7" s="302"/>
      <c r="PFM7" s="302"/>
      <c r="PFN7" s="302"/>
      <c r="PFO7" s="302"/>
      <c r="PFP7" s="302"/>
      <c r="PFQ7" s="302"/>
      <c r="PFR7" s="302"/>
      <c r="PFS7" s="302"/>
      <c r="PFT7" s="302"/>
      <c r="PFU7" s="302"/>
      <c r="PFV7" s="302"/>
      <c r="PFW7" s="302"/>
      <c r="PFX7" s="302"/>
      <c r="PFY7" s="302"/>
      <c r="PFZ7" s="302"/>
      <c r="PGA7" s="302"/>
      <c r="PGB7" s="302"/>
      <c r="PGC7" s="302"/>
      <c r="PGD7" s="302"/>
      <c r="PGE7" s="302"/>
      <c r="PGF7" s="302"/>
      <c r="PGG7" s="302"/>
      <c r="PGH7" s="302"/>
      <c r="PGI7" s="302"/>
      <c r="PGJ7" s="302"/>
      <c r="PGK7" s="302"/>
      <c r="PGL7" s="302"/>
      <c r="PGM7" s="302"/>
      <c r="PGN7" s="302"/>
      <c r="PGO7" s="302"/>
      <c r="PGP7" s="302"/>
      <c r="PGQ7" s="302"/>
      <c r="PGR7" s="302"/>
      <c r="PGS7" s="302"/>
      <c r="PGT7" s="302"/>
      <c r="PGU7" s="302"/>
      <c r="PGV7" s="302"/>
      <c r="PGW7" s="302"/>
      <c r="PGX7" s="302"/>
      <c r="PGY7" s="302"/>
      <c r="PGZ7" s="302"/>
      <c r="PHA7" s="302"/>
      <c r="PHB7" s="302"/>
      <c r="PHC7" s="302"/>
      <c r="PHD7" s="302"/>
      <c r="PHE7" s="302"/>
      <c r="PHF7" s="302"/>
      <c r="PHG7" s="302"/>
      <c r="PHH7" s="302"/>
      <c r="PHI7" s="302"/>
      <c r="PHJ7" s="302"/>
      <c r="PHK7" s="302"/>
      <c r="PHL7" s="302"/>
      <c r="PHM7" s="302"/>
      <c r="PHN7" s="302"/>
      <c r="PHO7" s="302"/>
      <c r="PHP7" s="302"/>
      <c r="PHQ7" s="302"/>
      <c r="PHR7" s="302"/>
      <c r="PHS7" s="302"/>
      <c r="PHT7" s="302"/>
      <c r="PHU7" s="302"/>
      <c r="PHV7" s="302"/>
      <c r="PHW7" s="302"/>
      <c r="PHX7" s="302"/>
      <c r="PHY7" s="302"/>
      <c r="PHZ7" s="302"/>
      <c r="PIA7" s="302"/>
      <c r="PIB7" s="302"/>
      <c r="PIC7" s="302"/>
      <c r="PID7" s="302"/>
      <c r="PIE7" s="302"/>
      <c r="PIF7" s="302"/>
      <c r="PIG7" s="302"/>
      <c r="PIH7" s="302"/>
      <c r="PII7" s="302"/>
      <c r="PIJ7" s="302"/>
      <c r="PIK7" s="302"/>
      <c r="PIL7" s="302"/>
      <c r="PIM7" s="302"/>
      <c r="PIN7" s="302"/>
      <c r="PIO7" s="302"/>
      <c r="PIP7" s="302"/>
      <c r="PIQ7" s="302"/>
      <c r="PIR7" s="302"/>
      <c r="PIS7" s="302"/>
      <c r="PIT7" s="302"/>
      <c r="PIU7" s="302"/>
      <c r="PIV7" s="302"/>
      <c r="PIW7" s="302"/>
      <c r="PIX7" s="302"/>
      <c r="PIY7" s="302"/>
      <c r="PIZ7" s="302"/>
      <c r="PJA7" s="302"/>
      <c r="PJB7" s="302"/>
      <c r="PJC7" s="302"/>
      <c r="PJD7" s="302"/>
      <c r="PJE7" s="302"/>
      <c r="PJF7" s="302"/>
      <c r="PJG7" s="302"/>
      <c r="PJH7" s="302"/>
      <c r="PJI7" s="302"/>
      <c r="PJJ7" s="302"/>
      <c r="PJK7" s="302"/>
      <c r="PJL7" s="302"/>
      <c r="PJM7" s="302"/>
      <c r="PJN7" s="302"/>
      <c r="PJO7" s="302"/>
      <c r="PJP7" s="302"/>
      <c r="PJQ7" s="302"/>
      <c r="PJR7" s="302"/>
      <c r="PJS7" s="302"/>
      <c r="PJT7" s="302"/>
      <c r="PJU7" s="302"/>
      <c r="PJV7" s="302"/>
      <c r="PJW7" s="302"/>
      <c r="PJX7" s="302"/>
      <c r="PJY7" s="302"/>
      <c r="PJZ7" s="302"/>
      <c r="PKA7" s="302"/>
      <c r="PKB7" s="302"/>
      <c r="PKC7" s="302"/>
      <c r="PKD7" s="302"/>
      <c r="PKE7" s="302"/>
      <c r="PKF7" s="302"/>
      <c r="PKG7" s="302"/>
      <c r="PKH7" s="302"/>
      <c r="PKI7" s="302"/>
      <c r="PKJ7" s="302"/>
      <c r="PKK7" s="302"/>
      <c r="PKL7" s="302"/>
      <c r="PKM7" s="302"/>
      <c r="PKN7" s="302"/>
      <c r="PKO7" s="302"/>
      <c r="PKP7" s="302"/>
      <c r="PKQ7" s="302"/>
      <c r="PKR7" s="302"/>
      <c r="PKS7" s="302"/>
      <c r="PKT7" s="302"/>
      <c r="PKU7" s="302"/>
      <c r="PKV7" s="302"/>
      <c r="PKW7" s="302"/>
      <c r="PKX7" s="302"/>
      <c r="PKY7" s="302"/>
      <c r="PKZ7" s="302"/>
      <c r="PLA7" s="302"/>
      <c r="PLB7" s="302"/>
      <c r="PLC7" s="302"/>
      <c r="PLD7" s="302"/>
      <c r="PLE7" s="302"/>
      <c r="PLF7" s="302"/>
      <c r="PLG7" s="302"/>
      <c r="PLH7" s="302"/>
      <c r="PLI7" s="302"/>
      <c r="PLJ7" s="302"/>
      <c r="PLK7" s="302"/>
      <c r="PLL7" s="302"/>
      <c r="PLM7" s="302"/>
      <c r="PLN7" s="302"/>
      <c r="PLO7" s="302"/>
      <c r="PLP7" s="302"/>
      <c r="PLQ7" s="302"/>
      <c r="PLR7" s="302"/>
      <c r="PLS7" s="302"/>
      <c r="PLT7" s="302"/>
      <c r="PLU7" s="302"/>
      <c r="PLV7" s="302"/>
      <c r="PLW7" s="302"/>
      <c r="PLX7" s="302"/>
      <c r="PLY7" s="302"/>
      <c r="PLZ7" s="302"/>
      <c r="PMA7" s="302"/>
      <c r="PMB7" s="302"/>
      <c r="PMC7" s="302"/>
      <c r="PMD7" s="302"/>
      <c r="PME7" s="302"/>
      <c r="PMF7" s="302"/>
      <c r="PMG7" s="302"/>
      <c r="PMH7" s="302"/>
      <c r="PMI7" s="302"/>
      <c r="PMJ7" s="302"/>
      <c r="PMK7" s="302"/>
      <c r="PML7" s="302"/>
      <c r="PMM7" s="302"/>
      <c r="PMN7" s="302"/>
      <c r="PMO7" s="302"/>
      <c r="PMP7" s="302"/>
      <c r="PMQ7" s="302"/>
      <c r="PMR7" s="302"/>
      <c r="PMS7" s="302"/>
      <c r="PMT7" s="302"/>
      <c r="PMU7" s="302"/>
      <c r="PMV7" s="302"/>
      <c r="PMW7" s="302"/>
      <c r="PMX7" s="302"/>
      <c r="PMY7" s="302"/>
      <c r="PMZ7" s="302"/>
      <c r="PNA7" s="302"/>
      <c r="PNB7" s="302"/>
      <c r="PNC7" s="302"/>
      <c r="PND7" s="302"/>
      <c r="PNE7" s="302"/>
      <c r="PNF7" s="302"/>
      <c r="PNG7" s="302"/>
      <c r="PNH7" s="302"/>
      <c r="PNI7" s="302"/>
      <c r="PNJ7" s="302"/>
      <c r="PNK7" s="302"/>
      <c r="PNL7" s="302"/>
      <c r="PNM7" s="302"/>
      <c r="PNN7" s="302"/>
      <c r="PNO7" s="302"/>
      <c r="PNP7" s="302"/>
      <c r="PNQ7" s="302"/>
      <c r="PNR7" s="302"/>
      <c r="PNS7" s="302"/>
      <c r="PNT7" s="302"/>
      <c r="PNU7" s="302"/>
      <c r="PNV7" s="302"/>
      <c r="PNW7" s="302"/>
      <c r="PNX7" s="302"/>
      <c r="PNY7" s="302"/>
      <c r="PNZ7" s="302"/>
      <c r="POA7" s="302"/>
      <c r="POB7" s="302"/>
      <c r="POC7" s="302"/>
      <c r="POD7" s="302"/>
      <c r="POE7" s="302"/>
      <c r="POF7" s="302"/>
      <c r="POG7" s="302"/>
      <c r="POH7" s="302"/>
      <c r="POI7" s="302"/>
      <c r="POJ7" s="302"/>
      <c r="POK7" s="302"/>
      <c r="POL7" s="302"/>
      <c r="POM7" s="302"/>
      <c r="PON7" s="302"/>
      <c r="POO7" s="302"/>
      <c r="POP7" s="302"/>
      <c r="POQ7" s="302"/>
      <c r="POR7" s="302"/>
      <c r="POS7" s="302"/>
      <c r="POT7" s="302"/>
      <c r="POU7" s="302"/>
      <c r="POV7" s="302"/>
      <c r="POW7" s="302"/>
      <c r="POX7" s="302"/>
      <c r="POY7" s="302"/>
      <c r="POZ7" s="302"/>
      <c r="PPA7" s="302"/>
      <c r="PPB7" s="302"/>
      <c r="PPC7" s="302"/>
      <c r="PPD7" s="302"/>
      <c r="PPE7" s="302"/>
      <c r="PPF7" s="302"/>
      <c r="PPG7" s="302"/>
      <c r="PPH7" s="302"/>
      <c r="PPI7" s="302"/>
      <c r="PPJ7" s="302"/>
      <c r="PPK7" s="302"/>
      <c r="PPL7" s="302"/>
      <c r="PPM7" s="302"/>
      <c r="PPN7" s="302"/>
      <c r="PPO7" s="302"/>
      <c r="PPP7" s="302"/>
      <c r="PPQ7" s="302"/>
      <c r="PPR7" s="302"/>
      <c r="PPS7" s="302"/>
      <c r="PPT7" s="302"/>
      <c r="PPU7" s="302"/>
      <c r="PPV7" s="302"/>
      <c r="PPW7" s="302"/>
      <c r="PPX7" s="302"/>
      <c r="PPY7" s="302"/>
      <c r="PPZ7" s="302"/>
      <c r="PQA7" s="302"/>
      <c r="PQB7" s="302"/>
      <c r="PQC7" s="302"/>
      <c r="PQD7" s="302"/>
      <c r="PQE7" s="302"/>
      <c r="PQF7" s="302"/>
      <c r="PQG7" s="302"/>
      <c r="PQH7" s="302"/>
      <c r="PQI7" s="302"/>
      <c r="PQJ7" s="302"/>
      <c r="PQK7" s="302"/>
      <c r="PQL7" s="302"/>
      <c r="PQM7" s="302"/>
      <c r="PQN7" s="302"/>
      <c r="PQO7" s="302"/>
      <c r="PQP7" s="302"/>
      <c r="PQQ7" s="302"/>
      <c r="PQR7" s="302"/>
      <c r="PQS7" s="302"/>
      <c r="PQT7" s="302"/>
      <c r="PQU7" s="302"/>
      <c r="PQV7" s="302"/>
      <c r="PQW7" s="302"/>
      <c r="PQX7" s="302"/>
      <c r="PQY7" s="302"/>
      <c r="PQZ7" s="302"/>
      <c r="PRA7" s="302"/>
      <c r="PRB7" s="302"/>
      <c r="PRC7" s="302"/>
      <c r="PRD7" s="302"/>
      <c r="PRE7" s="302"/>
      <c r="PRF7" s="302"/>
      <c r="PRG7" s="302"/>
      <c r="PRH7" s="302"/>
      <c r="PRI7" s="302"/>
      <c r="PRJ7" s="302"/>
      <c r="PRK7" s="302"/>
      <c r="PRL7" s="302"/>
      <c r="PRM7" s="302"/>
      <c r="PRN7" s="302"/>
      <c r="PRO7" s="302"/>
      <c r="PRP7" s="302"/>
      <c r="PRQ7" s="302"/>
      <c r="PRR7" s="302"/>
      <c r="PRS7" s="302"/>
      <c r="PRT7" s="302"/>
      <c r="PRU7" s="302"/>
      <c r="PRV7" s="302"/>
      <c r="PRW7" s="302"/>
      <c r="PRX7" s="302"/>
      <c r="PRY7" s="302"/>
      <c r="PRZ7" s="302"/>
      <c r="PSA7" s="302"/>
      <c r="PSB7" s="302"/>
      <c r="PSC7" s="302"/>
      <c r="PSD7" s="302"/>
      <c r="PSE7" s="302"/>
      <c r="PSF7" s="302"/>
      <c r="PSG7" s="302"/>
      <c r="PSH7" s="302"/>
      <c r="PSI7" s="302"/>
      <c r="PSJ7" s="302"/>
      <c r="PSK7" s="302"/>
      <c r="PSL7" s="302"/>
      <c r="PSM7" s="302"/>
      <c r="PSN7" s="302"/>
      <c r="PSO7" s="302"/>
      <c r="PSP7" s="302"/>
      <c r="PSQ7" s="302"/>
      <c r="PSR7" s="302"/>
      <c r="PSS7" s="302"/>
      <c r="PST7" s="302"/>
      <c r="PSU7" s="302"/>
      <c r="PSV7" s="302"/>
      <c r="PSW7" s="302"/>
      <c r="PSX7" s="302"/>
      <c r="PSY7" s="302"/>
      <c r="PSZ7" s="302"/>
      <c r="PTA7" s="302"/>
      <c r="PTB7" s="302"/>
      <c r="PTC7" s="302"/>
      <c r="PTD7" s="302"/>
      <c r="PTE7" s="302"/>
      <c r="PTF7" s="302"/>
      <c r="PTG7" s="302"/>
      <c r="PTH7" s="302"/>
      <c r="PTI7" s="302"/>
      <c r="PTJ7" s="302"/>
      <c r="PTK7" s="302"/>
      <c r="PTL7" s="302"/>
      <c r="PTM7" s="302"/>
      <c r="PTN7" s="302"/>
      <c r="PTO7" s="302"/>
      <c r="PTP7" s="302"/>
      <c r="PTQ7" s="302"/>
      <c r="PTR7" s="302"/>
      <c r="PTS7" s="302"/>
      <c r="PTT7" s="302"/>
      <c r="PTU7" s="302"/>
      <c r="PTV7" s="302"/>
      <c r="PTW7" s="302"/>
      <c r="PTX7" s="302"/>
      <c r="PTY7" s="302"/>
      <c r="PTZ7" s="302"/>
      <c r="PUA7" s="302"/>
      <c r="PUB7" s="302"/>
      <c r="PUC7" s="302"/>
      <c r="PUD7" s="302"/>
      <c r="PUE7" s="302"/>
      <c r="PUF7" s="302"/>
      <c r="PUG7" s="302"/>
      <c r="PUH7" s="302"/>
      <c r="PUI7" s="302"/>
      <c r="PUJ7" s="302"/>
      <c r="PUK7" s="302"/>
      <c r="PUL7" s="302"/>
      <c r="PUM7" s="302"/>
      <c r="PUN7" s="302"/>
      <c r="PUO7" s="302"/>
      <c r="PUP7" s="302"/>
      <c r="PUQ7" s="302"/>
      <c r="PUR7" s="302"/>
      <c r="PUS7" s="302"/>
      <c r="PUT7" s="302"/>
      <c r="PUU7" s="302"/>
      <c r="PUV7" s="302"/>
      <c r="PUW7" s="302"/>
      <c r="PUX7" s="302"/>
      <c r="PUY7" s="302"/>
      <c r="PUZ7" s="302"/>
      <c r="PVA7" s="302"/>
      <c r="PVB7" s="302"/>
      <c r="PVC7" s="302"/>
      <c r="PVD7" s="302"/>
      <c r="PVE7" s="302"/>
      <c r="PVF7" s="302"/>
      <c r="PVG7" s="302"/>
      <c r="PVH7" s="302"/>
      <c r="PVI7" s="302"/>
      <c r="PVJ7" s="302"/>
      <c r="PVK7" s="302"/>
      <c r="PVL7" s="302"/>
      <c r="PVM7" s="302"/>
      <c r="PVN7" s="302"/>
      <c r="PVO7" s="302"/>
      <c r="PVP7" s="302"/>
      <c r="PVQ7" s="302"/>
      <c r="PVR7" s="302"/>
      <c r="PVS7" s="302"/>
      <c r="PVT7" s="302"/>
      <c r="PVU7" s="302"/>
      <c r="PVV7" s="302"/>
      <c r="PVW7" s="302"/>
      <c r="PVX7" s="302"/>
      <c r="PVY7" s="302"/>
      <c r="PVZ7" s="302"/>
      <c r="PWA7" s="302"/>
      <c r="PWB7" s="302"/>
      <c r="PWC7" s="302"/>
      <c r="PWD7" s="302"/>
      <c r="PWE7" s="302"/>
      <c r="PWF7" s="302"/>
      <c r="PWG7" s="302"/>
      <c r="PWH7" s="302"/>
      <c r="PWI7" s="302"/>
      <c r="PWJ7" s="302"/>
      <c r="PWK7" s="302"/>
      <c r="PWL7" s="302"/>
      <c r="PWM7" s="302"/>
      <c r="PWN7" s="302"/>
      <c r="PWO7" s="302"/>
      <c r="PWP7" s="302"/>
      <c r="PWQ7" s="302"/>
      <c r="PWR7" s="302"/>
      <c r="PWS7" s="302"/>
      <c r="PWT7" s="302"/>
      <c r="PWU7" s="302"/>
      <c r="PWV7" s="302"/>
      <c r="PWW7" s="302"/>
      <c r="PWX7" s="302"/>
      <c r="PWY7" s="302"/>
      <c r="PWZ7" s="302"/>
      <c r="PXA7" s="302"/>
      <c r="PXB7" s="302"/>
      <c r="PXC7" s="302"/>
      <c r="PXD7" s="302"/>
      <c r="PXE7" s="302"/>
      <c r="PXF7" s="302"/>
      <c r="PXG7" s="302"/>
      <c r="PXH7" s="302"/>
      <c r="PXI7" s="302"/>
      <c r="PXJ7" s="302"/>
      <c r="PXK7" s="302"/>
      <c r="PXL7" s="302"/>
      <c r="PXM7" s="302"/>
      <c r="PXN7" s="302"/>
      <c r="PXO7" s="302"/>
      <c r="PXP7" s="302"/>
      <c r="PXQ7" s="302"/>
      <c r="PXR7" s="302"/>
      <c r="PXS7" s="302"/>
      <c r="PXT7" s="302"/>
      <c r="PXU7" s="302"/>
      <c r="PXV7" s="302"/>
      <c r="PXW7" s="302"/>
      <c r="PXX7" s="302"/>
      <c r="PXY7" s="302"/>
      <c r="PXZ7" s="302"/>
      <c r="PYA7" s="302"/>
      <c r="PYB7" s="302"/>
      <c r="PYC7" s="302"/>
      <c r="PYD7" s="302"/>
      <c r="PYE7" s="302"/>
      <c r="PYF7" s="302"/>
      <c r="PYG7" s="302"/>
      <c r="PYH7" s="302"/>
      <c r="PYI7" s="302"/>
      <c r="PYJ7" s="302"/>
      <c r="PYK7" s="302"/>
      <c r="PYL7" s="302"/>
      <c r="PYM7" s="302"/>
      <c r="PYN7" s="302"/>
      <c r="PYO7" s="302"/>
      <c r="PYP7" s="302"/>
      <c r="PYQ7" s="302"/>
      <c r="PYR7" s="302"/>
      <c r="PYS7" s="302"/>
      <c r="PYT7" s="302"/>
      <c r="PYU7" s="302"/>
      <c r="PYV7" s="302"/>
      <c r="PYW7" s="302"/>
      <c r="PYX7" s="302"/>
      <c r="PYY7" s="302"/>
      <c r="PYZ7" s="302"/>
      <c r="PZA7" s="302"/>
      <c r="PZB7" s="302"/>
      <c r="PZC7" s="302"/>
      <c r="PZD7" s="302"/>
      <c r="PZE7" s="302"/>
      <c r="PZF7" s="302"/>
      <c r="PZG7" s="302"/>
      <c r="PZH7" s="302"/>
      <c r="PZI7" s="302"/>
      <c r="PZJ7" s="302"/>
      <c r="PZK7" s="302"/>
      <c r="PZL7" s="302"/>
      <c r="PZM7" s="302"/>
      <c r="PZN7" s="302"/>
      <c r="PZO7" s="302"/>
      <c r="PZP7" s="302"/>
      <c r="PZQ7" s="302"/>
      <c r="PZR7" s="302"/>
      <c r="PZS7" s="302"/>
      <c r="PZT7" s="302"/>
      <c r="PZU7" s="302"/>
      <c r="PZV7" s="302"/>
      <c r="PZW7" s="302"/>
      <c r="PZX7" s="302"/>
      <c r="PZY7" s="302"/>
      <c r="PZZ7" s="302"/>
      <c r="QAA7" s="302"/>
      <c r="QAB7" s="302"/>
      <c r="QAC7" s="302"/>
      <c r="QAD7" s="302"/>
      <c r="QAE7" s="302"/>
      <c r="QAF7" s="302"/>
      <c r="QAG7" s="302"/>
      <c r="QAH7" s="302"/>
      <c r="QAI7" s="302"/>
      <c r="QAJ7" s="302"/>
      <c r="QAK7" s="302"/>
      <c r="QAL7" s="302"/>
      <c r="QAM7" s="302"/>
      <c r="QAN7" s="302"/>
      <c r="QAO7" s="302"/>
      <c r="QAP7" s="302"/>
      <c r="QAQ7" s="302"/>
      <c r="QAR7" s="302"/>
      <c r="QAS7" s="302"/>
      <c r="QAT7" s="302"/>
      <c r="QAU7" s="302"/>
      <c r="QAV7" s="302"/>
      <c r="QAW7" s="302"/>
      <c r="QAX7" s="302"/>
      <c r="QAY7" s="302"/>
      <c r="QAZ7" s="302"/>
      <c r="QBA7" s="302"/>
      <c r="QBB7" s="302"/>
      <c r="QBC7" s="302"/>
      <c r="QBD7" s="302"/>
      <c r="QBE7" s="302"/>
      <c r="QBF7" s="302"/>
      <c r="QBG7" s="302"/>
      <c r="QBH7" s="302"/>
      <c r="QBI7" s="302"/>
      <c r="QBJ7" s="302"/>
      <c r="QBK7" s="302"/>
      <c r="QBL7" s="302"/>
      <c r="QBM7" s="302"/>
      <c r="QBN7" s="302"/>
      <c r="QBO7" s="302"/>
      <c r="QBP7" s="302"/>
      <c r="QBQ7" s="302"/>
      <c r="QBR7" s="302"/>
      <c r="QBS7" s="302"/>
      <c r="QBT7" s="302"/>
      <c r="QBU7" s="302"/>
      <c r="QBV7" s="302"/>
      <c r="QBW7" s="302"/>
      <c r="QBX7" s="302"/>
      <c r="QBY7" s="302"/>
      <c r="QBZ7" s="302"/>
      <c r="QCA7" s="302"/>
      <c r="QCB7" s="302"/>
      <c r="QCC7" s="302"/>
      <c r="QCD7" s="302"/>
      <c r="QCE7" s="302"/>
      <c r="QCF7" s="302"/>
      <c r="QCG7" s="302"/>
      <c r="QCH7" s="302"/>
      <c r="QCI7" s="302"/>
      <c r="QCJ7" s="302"/>
      <c r="QCK7" s="302"/>
      <c r="QCL7" s="302"/>
      <c r="QCM7" s="302"/>
      <c r="QCN7" s="302"/>
      <c r="QCO7" s="302"/>
      <c r="QCP7" s="302"/>
      <c r="QCQ7" s="302"/>
      <c r="QCR7" s="302"/>
      <c r="QCS7" s="302"/>
      <c r="QCT7" s="302"/>
      <c r="QCU7" s="302"/>
      <c r="QCV7" s="302"/>
      <c r="QCW7" s="302"/>
      <c r="QCX7" s="302"/>
      <c r="QCY7" s="302"/>
      <c r="QCZ7" s="302"/>
      <c r="QDA7" s="302"/>
      <c r="QDB7" s="302"/>
      <c r="QDC7" s="302"/>
      <c r="QDD7" s="302"/>
      <c r="QDE7" s="302"/>
      <c r="QDF7" s="302"/>
      <c r="QDG7" s="302"/>
      <c r="QDH7" s="302"/>
      <c r="QDI7" s="302"/>
      <c r="QDJ7" s="302"/>
      <c r="QDK7" s="302"/>
      <c r="QDL7" s="302"/>
      <c r="QDM7" s="302"/>
      <c r="QDN7" s="302"/>
      <c r="QDO7" s="302"/>
      <c r="QDP7" s="302"/>
      <c r="QDQ7" s="302"/>
      <c r="QDR7" s="302"/>
      <c r="QDS7" s="302"/>
      <c r="QDT7" s="302"/>
      <c r="QDU7" s="302"/>
      <c r="QDV7" s="302"/>
      <c r="QDW7" s="302"/>
      <c r="QDX7" s="302"/>
      <c r="QDY7" s="302"/>
      <c r="QDZ7" s="302"/>
      <c r="QEA7" s="302"/>
      <c r="QEB7" s="302"/>
      <c r="QEC7" s="302"/>
      <c r="QED7" s="302"/>
      <c r="QEE7" s="302"/>
      <c r="QEF7" s="302"/>
      <c r="QEG7" s="302"/>
      <c r="QEH7" s="302"/>
      <c r="QEI7" s="302"/>
      <c r="QEJ7" s="302"/>
      <c r="QEK7" s="302"/>
      <c r="QEL7" s="302"/>
      <c r="QEM7" s="302"/>
      <c r="QEN7" s="302"/>
      <c r="QEO7" s="302"/>
      <c r="QEP7" s="302"/>
      <c r="QEQ7" s="302"/>
      <c r="QER7" s="302"/>
      <c r="QES7" s="302"/>
      <c r="QET7" s="302"/>
      <c r="QEU7" s="302"/>
      <c r="QEV7" s="302"/>
      <c r="QEW7" s="302"/>
      <c r="QEX7" s="302"/>
      <c r="QEY7" s="302"/>
      <c r="QEZ7" s="302"/>
      <c r="QFA7" s="302"/>
      <c r="QFB7" s="302"/>
      <c r="QFC7" s="302"/>
      <c r="QFD7" s="302"/>
      <c r="QFE7" s="302"/>
      <c r="QFF7" s="302"/>
      <c r="QFG7" s="302"/>
      <c r="QFH7" s="302"/>
      <c r="QFI7" s="302"/>
      <c r="QFJ7" s="302"/>
      <c r="QFK7" s="302"/>
      <c r="QFL7" s="302"/>
      <c r="QFM7" s="302"/>
      <c r="QFN7" s="302"/>
      <c r="QFO7" s="302"/>
      <c r="QFP7" s="302"/>
      <c r="QFQ7" s="302"/>
      <c r="QFR7" s="302"/>
      <c r="QFS7" s="302"/>
      <c r="QFT7" s="302"/>
      <c r="QFU7" s="302"/>
      <c r="QFV7" s="302"/>
      <c r="QFW7" s="302"/>
      <c r="QFX7" s="302"/>
      <c r="QFY7" s="302"/>
      <c r="QFZ7" s="302"/>
      <c r="QGA7" s="302"/>
      <c r="QGB7" s="302"/>
      <c r="QGC7" s="302"/>
      <c r="QGD7" s="302"/>
      <c r="QGE7" s="302"/>
      <c r="QGF7" s="302"/>
      <c r="QGG7" s="302"/>
      <c r="QGH7" s="302"/>
      <c r="QGI7" s="302"/>
      <c r="QGJ7" s="302"/>
      <c r="QGK7" s="302"/>
      <c r="QGL7" s="302"/>
      <c r="QGM7" s="302"/>
      <c r="QGN7" s="302"/>
      <c r="QGO7" s="302"/>
      <c r="QGP7" s="302"/>
      <c r="QGQ7" s="302"/>
      <c r="QGR7" s="302"/>
      <c r="QGS7" s="302"/>
      <c r="QGT7" s="302"/>
      <c r="QGU7" s="302"/>
      <c r="QGV7" s="302"/>
      <c r="QGW7" s="302"/>
      <c r="QGX7" s="302"/>
      <c r="QGY7" s="302"/>
      <c r="QGZ7" s="302"/>
      <c r="QHA7" s="302"/>
      <c r="QHB7" s="302"/>
      <c r="QHC7" s="302"/>
      <c r="QHD7" s="302"/>
      <c r="QHE7" s="302"/>
      <c r="QHF7" s="302"/>
      <c r="QHG7" s="302"/>
      <c r="QHH7" s="302"/>
      <c r="QHI7" s="302"/>
      <c r="QHJ7" s="302"/>
      <c r="QHK7" s="302"/>
      <c r="QHL7" s="302"/>
      <c r="QHM7" s="302"/>
      <c r="QHN7" s="302"/>
      <c r="QHO7" s="302"/>
      <c r="QHP7" s="302"/>
      <c r="QHQ7" s="302"/>
      <c r="QHR7" s="302"/>
      <c r="QHS7" s="302"/>
      <c r="QHT7" s="302"/>
      <c r="QHU7" s="302"/>
      <c r="QHV7" s="302"/>
      <c r="QHW7" s="302"/>
      <c r="QHX7" s="302"/>
      <c r="QHY7" s="302"/>
      <c r="QHZ7" s="302"/>
      <c r="QIA7" s="302"/>
      <c r="QIB7" s="302"/>
      <c r="QIC7" s="302"/>
      <c r="QID7" s="302"/>
      <c r="QIE7" s="302"/>
      <c r="QIF7" s="302"/>
      <c r="QIG7" s="302"/>
      <c r="QIH7" s="302"/>
      <c r="QII7" s="302"/>
      <c r="QIJ7" s="302"/>
      <c r="QIK7" s="302"/>
      <c r="QIL7" s="302"/>
      <c r="QIM7" s="302"/>
      <c r="QIN7" s="302"/>
      <c r="QIO7" s="302"/>
      <c r="QIP7" s="302"/>
      <c r="QIQ7" s="302"/>
      <c r="QIR7" s="302"/>
      <c r="QIS7" s="302"/>
      <c r="QIT7" s="302"/>
      <c r="QIU7" s="302"/>
      <c r="QIV7" s="302"/>
      <c r="QIW7" s="302"/>
      <c r="QIX7" s="302"/>
      <c r="QIY7" s="302"/>
      <c r="QIZ7" s="302"/>
      <c r="QJA7" s="302"/>
      <c r="QJB7" s="302"/>
      <c r="QJC7" s="302"/>
      <c r="QJD7" s="302"/>
      <c r="QJE7" s="302"/>
      <c r="QJF7" s="302"/>
      <c r="QJG7" s="302"/>
      <c r="QJH7" s="302"/>
      <c r="QJI7" s="302"/>
      <c r="QJJ7" s="302"/>
      <c r="QJK7" s="302"/>
      <c r="QJL7" s="302"/>
      <c r="QJM7" s="302"/>
      <c r="QJN7" s="302"/>
      <c r="QJO7" s="302"/>
      <c r="QJP7" s="302"/>
      <c r="QJQ7" s="302"/>
      <c r="QJR7" s="302"/>
      <c r="QJS7" s="302"/>
      <c r="QJT7" s="302"/>
      <c r="QJU7" s="302"/>
      <c r="QJV7" s="302"/>
      <c r="QJW7" s="302"/>
      <c r="QJX7" s="302"/>
      <c r="QJY7" s="302"/>
      <c r="QJZ7" s="302"/>
      <c r="QKA7" s="302"/>
      <c r="QKB7" s="302"/>
      <c r="QKC7" s="302"/>
      <c r="QKD7" s="302"/>
      <c r="QKE7" s="302"/>
      <c r="QKF7" s="302"/>
      <c r="QKG7" s="302"/>
      <c r="QKH7" s="302"/>
      <c r="QKI7" s="302"/>
      <c r="QKJ7" s="302"/>
      <c r="QKK7" s="302"/>
      <c r="QKL7" s="302"/>
      <c r="QKM7" s="302"/>
      <c r="QKN7" s="302"/>
      <c r="QKO7" s="302"/>
      <c r="QKP7" s="302"/>
      <c r="QKQ7" s="302"/>
      <c r="QKR7" s="302"/>
      <c r="QKS7" s="302"/>
      <c r="QKT7" s="302"/>
      <c r="QKU7" s="302"/>
      <c r="QKV7" s="302"/>
      <c r="QKW7" s="302"/>
      <c r="QKX7" s="302"/>
      <c r="QKY7" s="302"/>
      <c r="QKZ7" s="302"/>
      <c r="QLA7" s="302"/>
      <c r="QLB7" s="302"/>
      <c r="QLC7" s="302"/>
      <c r="QLD7" s="302"/>
      <c r="QLE7" s="302"/>
      <c r="QLF7" s="302"/>
      <c r="QLG7" s="302"/>
      <c r="QLH7" s="302"/>
      <c r="QLI7" s="302"/>
      <c r="QLJ7" s="302"/>
      <c r="QLK7" s="302"/>
      <c r="QLL7" s="302"/>
      <c r="QLM7" s="302"/>
      <c r="QLN7" s="302"/>
      <c r="QLO7" s="302"/>
      <c r="QLP7" s="302"/>
      <c r="QLQ7" s="302"/>
      <c r="QLR7" s="302"/>
      <c r="QLS7" s="302"/>
      <c r="QLT7" s="302"/>
      <c r="QLU7" s="302"/>
      <c r="QLV7" s="302"/>
      <c r="QLW7" s="302"/>
      <c r="QLX7" s="302"/>
      <c r="QLY7" s="302"/>
      <c r="QLZ7" s="302"/>
      <c r="QMA7" s="302"/>
      <c r="QMB7" s="302"/>
      <c r="QMC7" s="302"/>
      <c r="QMD7" s="302"/>
      <c r="QME7" s="302"/>
      <c r="QMF7" s="302"/>
      <c r="QMG7" s="302"/>
      <c r="QMH7" s="302"/>
      <c r="QMI7" s="302"/>
      <c r="QMJ7" s="302"/>
      <c r="QMK7" s="302"/>
      <c r="QML7" s="302"/>
      <c r="QMM7" s="302"/>
      <c r="QMN7" s="302"/>
      <c r="QMO7" s="302"/>
      <c r="QMP7" s="302"/>
      <c r="QMQ7" s="302"/>
      <c r="QMR7" s="302"/>
      <c r="QMS7" s="302"/>
      <c r="QMT7" s="302"/>
      <c r="QMU7" s="302"/>
      <c r="QMV7" s="302"/>
      <c r="QMW7" s="302"/>
      <c r="QMX7" s="302"/>
      <c r="QMY7" s="302"/>
      <c r="QMZ7" s="302"/>
      <c r="QNA7" s="302"/>
      <c r="QNB7" s="302"/>
      <c r="QNC7" s="302"/>
      <c r="QND7" s="302"/>
      <c r="QNE7" s="302"/>
      <c r="QNF7" s="302"/>
      <c r="QNG7" s="302"/>
      <c r="QNH7" s="302"/>
      <c r="QNI7" s="302"/>
      <c r="QNJ7" s="302"/>
      <c r="QNK7" s="302"/>
      <c r="QNL7" s="302"/>
      <c r="QNM7" s="302"/>
      <c r="QNN7" s="302"/>
      <c r="QNO7" s="302"/>
      <c r="QNP7" s="302"/>
      <c r="QNQ7" s="302"/>
      <c r="QNR7" s="302"/>
      <c r="QNS7" s="302"/>
      <c r="QNT7" s="302"/>
      <c r="QNU7" s="302"/>
      <c r="QNV7" s="302"/>
      <c r="QNW7" s="302"/>
      <c r="QNX7" s="302"/>
      <c r="QNY7" s="302"/>
      <c r="QNZ7" s="302"/>
      <c r="QOA7" s="302"/>
      <c r="QOB7" s="302"/>
      <c r="QOC7" s="302"/>
      <c r="QOD7" s="302"/>
      <c r="QOE7" s="302"/>
      <c r="QOF7" s="302"/>
      <c r="QOG7" s="302"/>
      <c r="QOH7" s="302"/>
      <c r="QOI7" s="302"/>
      <c r="QOJ7" s="302"/>
      <c r="QOK7" s="302"/>
      <c r="QOL7" s="302"/>
      <c r="QOM7" s="302"/>
      <c r="QON7" s="302"/>
      <c r="QOO7" s="302"/>
      <c r="QOP7" s="302"/>
      <c r="QOQ7" s="302"/>
      <c r="QOR7" s="302"/>
      <c r="QOS7" s="302"/>
      <c r="QOT7" s="302"/>
      <c r="QOU7" s="302"/>
      <c r="QOV7" s="302"/>
      <c r="QOW7" s="302"/>
      <c r="QOX7" s="302"/>
      <c r="QOY7" s="302"/>
      <c r="QOZ7" s="302"/>
      <c r="QPA7" s="302"/>
      <c r="QPB7" s="302"/>
      <c r="QPC7" s="302"/>
      <c r="QPD7" s="302"/>
      <c r="QPE7" s="302"/>
      <c r="QPF7" s="302"/>
      <c r="QPG7" s="302"/>
      <c r="QPH7" s="302"/>
      <c r="QPI7" s="302"/>
      <c r="QPJ7" s="302"/>
      <c r="QPK7" s="302"/>
      <c r="QPL7" s="302"/>
      <c r="QPM7" s="302"/>
      <c r="QPN7" s="302"/>
      <c r="QPO7" s="302"/>
      <c r="QPP7" s="302"/>
      <c r="QPQ7" s="302"/>
      <c r="QPR7" s="302"/>
      <c r="QPS7" s="302"/>
      <c r="QPT7" s="302"/>
      <c r="QPU7" s="302"/>
      <c r="QPV7" s="302"/>
      <c r="QPW7" s="302"/>
      <c r="QPX7" s="302"/>
      <c r="QPY7" s="302"/>
      <c r="QPZ7" s="302"/>
      <c r="QQA7" s="302"/>
      <c r="QQB7" s="302"/>
      <c r="QQC7" s="302"/>
      <c r="QQD7" s="302"/>
      <c r="QQE7" s="302"/>
      <c r="QQF7" s="302"/>
      <c r="QQG7" s="302"/>
      <c r="QQH7" s="302"/>
      <c r="QQI7" s="302"/>
      <c r="QQJ7" s="302"/>
      <c r="QQK7" s="302"/>
      <c r="QQL7" s="302"/>
      <c r="QQM7" s="302"/>
      <c r="QQN7" s="302"/>
      <c r="QQO7" s="302"/>
      <c r="QQP7" s="302"/>
      <c r="QQQ7" s="302"/>
      <c r="QQR7" s="302"/>
      <c r="QQS7" s="302"/>
      <c r="QQT7" s="302"/>
      <c r="QQU7" s="302"/>
      <c r="QQV7" s="302"/>
      <c r="QQW7" s="302"/>
      <c r="QQX7" s="302"/>
      <c r="QQY7" s="302"/>
      <c r="QQZ7" s="302"/>
      <c r="QRA7" s="302"/>
      <c r="QRB7" s="302"/>
      <c r="QRC7" s="302"/>
      <c r="QRD7" s="302"/>
      <c r="QRE7" s="302"/>
      <c r="QRF7" s="302"/>
      <c r="QRG7" s="302"/>
      <c r="QRH7" s="302"/>
      <c r="QRI7" s="302"/>
      <c r="QRJ7" s="302"/>
      <c r="QRK7" s="302"/>
      <c r="QRL7" s="302"/>
      <c r="QRM7" s="302"/>
      <c r="QRN7" s="302"/>
      <c r="QRO7" s="302"/>
      <c r="QRP7" s="302"/>
      <c r="QRQ7" s="302"/>
      <c r="QRR7" s="302"/>
      <c r="QRS7" s="302"/>
      <c r="QRT7" s="302"/>
      <c r="QRU7" s="302"/>
      <c r="QRV7" s="302"/>
      <c r="QRW7" s="302"/>
      <c r="QRX7" s="302"/>
      <c r="QRY7" s="302"/>
      <c r="QRZ7" s="302"/>
      <c r="QSA7" s="302"/>
      <c r="QSB7" s="302"/>
      <c r="QSC7" s="302"/>
      <c r="QSD7" s="302"/>
      <c r="QSE7" s="302"/>
      <c r="QSF7" s="302"/>
      <c r="QSG7" s="302"/>
      <c r="QSH7" s="302"/>
      <c r="QSI7" s="302"/>
      <c r="QSJ7" s="302"/>
      <c r="QSK7" s="302"/>
      <c r="QSL7" s="302"/>
      <c r="QSM7" s="302"/>
      <c r="QSN7" s="302"/>
      <c r="QSO7" s="302"/>
      <c r="QSP7" s="302"/>
      <c r="QSQ7" s="302"/>
      <c r="QSR7" s="302"/>
      <c r="QSS7" s="302"/>
      <c r="QST7" s="302"/>
      <c r="QSU7" s="302"/>
      <c r="QSV7" s="302"/>
      <c r="QSW7" s="302"/>
      <c r="QSX7" s="302"/>
      <c r="QSY7" s="302"/>
      <c r="QSZ7" s="302"/>
      <c r="QTA7" s="302"/>
      <c r="QTB7" s="302"/>
      <c r="QTC7" s="302"/>
      <c r="QTD7" s="302"/>
      <c r="QTE7" s="302"/>
      <c r="QTF7" s="302"/>
      <c r="QTG7" s="302"/>
      <c r="QTH7" s="302"/>
      <c r="QTI7" s="302"/>
      <c r="QTJ7" s="302"/>
      <c r="QTK7" s="302"/>
      <c r="QTL7" s="302"/>
      <c r="QTM7" s="302"/>
      <c r="QTN7" s="302"/>
      <c r="QTO7" s="302"/>
      <c r="QTP7" s="302"/>
      <c r="QTQ7" s="302"/>
      <c r="QTR7" s="302"/>
      <c r="QTS7" s="302"/>
      <c r="QTT7" s="302"/>
      <c r="QTU7" s="302"/>
      <c r="QTV7" s="302"/>
      <c r="QTW7" s="302"/>
      <c r="QTX7" s="302"/>
      <c r="QTY7" s="302"/>
      <c r="QTZ7" s="302"/>
      <c r="QUA7" s="302"/>
      <c r="QUB7" s="302"/>
      <c r="QUC7" s="302"/>
      <c r="QUD7" s="302"/>
      <c r="QUE7" s="302"/>
      <c r="QUF7" s="302"/>
      <c r="QUG7" s="302"/>
      <c r="QUH7" s="302"/>
      <c r="QUI7" s="302"/>
      <c r="QUJ7" s="302"/>
      <c r="QUK7" s="302"/>
      <c r="QUL7" s="302"/>
      <c r="QUM7" s="302"/>
      <c r="QUN7" s="302"/>
      <c r="QUO7" s="302"/>
      <c r="QUP7" s="302"/>
      <c r="QUQ7" s="302"/>
      <c r="QUR7" s="302"/>
      <c r="QUS7" s="302"/>
      <c r="QUT7" s="302"/>
      <c r="QUU7" s="302"/>
      <c r="QUV7" s="302"/>
      <c r="QUW7" s="302"/>
      <c r="QUX7" s="302"/>
      <c r="QUY7" s="302"/>
      <c r="QUZ7" s="302"/>
      <c r="QVA7" s="302"/>
      <c r="QVB7" s="302"/>
      <c r="QVC7" s="302"/>
      <c r="QVD7" s="302"/>
      <c r="QVE7" s="302"/>
      <c r="QVF7" s="302"/>
      <c r="QVG7" s="302"/>
      <c r="QVH7" s="302"/>
      <c r="QVI7" s="302"/>
      <c r="QVJ7" s="302"/>
      <c r="QVK7" s="302"/>
      <c r="QVL7" s="302"/>
      <c r="QVM7" s="302"/>
      <c r="QVN7" s="302"/>
      <c r="QVO7" s="302"/>
      <c r="QVP7" s="302"/>
      <c r="QVQ7" s="302"/>
      <c r="QVR7" s="302"/>
      <c r="QVS7" s="302"/>
      <c r="QVT7" s="302"/>
      <c r="QVU7" s="302"/>
      <c r="QVV7" s="302"/>
      <c r="QVW7" s="302"/>
      <c r="QVX7" s="302"/>
      <c r="QVY7" s="302"/>
      <c r="QVZ7" s="302"/>
      <c r="QWA7" s="302"/>
      <c r="QWB7" s="302"/>
      <c r="QWC7" s="302"/>
      <c r="QWD7" s="302"/>
      <c r="QWE7" s="302"/>
      <c r="QWF7" s="302"/>
      <c r="QWG7" s="302"/>
      <c r="QWH7" s="302"/>
      <c r="QWI7" s="302"/>
      <c r="QWJ7" s="302"/>
      <c r="QWK7" s="302"/>
      <c r="QWL7" s="302"/>
      <c r="QWM7" s="302"/>
      <c r="QWN7" s="302"/>
      <c r="QWO7" s="302"/>
      <c r="QWP7" s="302"/>
      <c r="QWQ7" s="302"/>
      <c r="QWR7" s="302"/>
      <c r="QWS7" s="302"/>
      <c r="QWT7" s="302"/>
      <c r="QWU7" s="302"/>
      <c r="QWV7" s="302"/>
      <c r="QWW7" s="302"/>
      <c r="QWX7" s="302"/>
      <c r="QWY7" s="302"/>
      <c r="QWZ7" s="302"/>
      <c r="QXA7" s="302"/>
      <c r="QXB7" s="302"/>
      <c r="QXC7" s="302"/>
      <c r="QXD7" s="302"/>
      <c r="QXE7" s="302"/>
      <c r="QXF7" s="302"/>
      <c r="QXG7" s="302"/>
      <c r="QXH7" s="302"/>
      <c r="QXI7" s="302"/>
      <c r="QXJ7" s="302"/>
      <c r="QXK7" s="302"/>
      <c r="QXL7" s="302"/>
      <c r="QXM7" s="302"/>
      <c r="QXN7" s="302"/>
      <c r="QXO7" s="302"/>
      <c r="QXP7" s="302"/>
      <c r="QXQ7" s="302"/>
      <c r="QXR7" s="302"/>
      <c r="QXS7" s="302"/>
      <c r="QXT7" s="302"/>
      <c r="QXU7" s="302"/>
      <c r="QXV7" s="302"/>
      <c r="QXW7" s="302"/>
      <c r="QXX7" s="302"/>
      <c r="QXY7" s="302"/>
      <c r="QXZ7" s="302"/>
      <c r="QYA7" s="302"/>
      <c r="QYB7" s="302"/>
      <c r="QYC7" s="302"/>
      <c r="QYD7" s="302"/>
      <c r="QYE7" s="302"/>
      <c r="QYF7" s="302"/>
      <c r="QYG7" s="302"/>
      <c r="QYH7" s="302"/>
      <c r="QYI7" s="302"/>
      <c r="QYJ7" s="302"/>
      <c r="QYK7" s="302"/>
      <c r="QYL7" s="302"/>
      <c r="QYM7" s="302"/>
      <c r="QYN7" s="302"/>
      <c r="QYO7" s="302"/>
      <c r="QYP7" s="302"/>
      <c r="QYQ7" s="302"/>
      <c r="QYR7" s="302"/>
      <c r="QYS7" s="302"/>
      <c r="QYT7" s="302"/>
      <c r="QYU7" s="302"/>
      <c r="QYV7" s="302"/>
      <c r="QYW7" s="302"/>
      <c r="QYX7" s="302"/>
      <c r="QYY7" s="302"/>
      <c r="QYZ7" s="302"/>
      <c r="QZA7" s="302"/>
      <c r="QZB7" s="302"/>
      <c r="QZC7" s="302"/>
      <c r="QZD7" s="302"/>
      <c r="QZE7" s="302"/>
      <c r="QZF7" s="302"/>
      <c r="QZG7" s="302"/>
      <c r="QZH7" s="302"/>
      <c r="QZI7" s="302"/>
      <c r="QZJ7" s="302"/>
      <c r="QZK7" s="302"/>
      <c r="QZL7" s="302"/>
      <c r="QZM7" s="302"/>
      <c r="QZN7" s="302"/>
      <c r="QZO7" s="302"/>
      <c r="QZP7" s="302"/>
      <c r="QZQ7" s="302"/>
      <c r="QZR7" s="302"/>
      <c r="QZS7" s="302"/>
      <c r="QZT7" s="302"/>
      <c r="QZU7" s="302"/>
      <c r="QZV7" s="302"/>
      <c r="QZW7" s="302"/>
      <c r="QZX7" s="302"/>
      <c r="QZY7" s="302"/>
      <c r="QZZ7" s="302"/>
      <c r="RAA7" s="302"/>
      <c r="RAB7" s="302"/>
      <c r="RAC7" s="302"/>
      <c r="RAD7" s="302"/>
      <c r="RAE7" s="302"/>
      <c r="RAF7" s="302"/>
      <c r="RAG7" s="302"/>
      <c r="RAH7" s="302"/>
      <c r="RAI7" s="302"/>
      <c r="RAJ7" s="302"/>
      <c r="RAK7" s="302"/>
      <c r="RAL7" s="302"/>
      <c r="RAM7" s="302"/>
      <c r="RAN7" s="302"/>
      <c r="RAO7" s="302"/>
      <c r="RAP7" s="302"/>
      <c r="RAQ7" s="302"/>
      <c r="RAR7" s="302"/>
      <c r="RAS7" s="302"/>
      <c r="RAT7" s="302"/>
      <c r="RAU7" s="302"/>
      <c r="RAV7" s="302"/>
      <c r="RAW7" s="302"/>
      <c r="RAX7" s="302"/>
      <c r="RAY7" s="302"/>
      <c r="RAZ7" s="302"/>
      <c r="RBA7" s="302"/>
      <c r="RBB7" s="302"/>
      <c r="RBC7" s="302"/>
      <c r="RBD7" s="302"/>
      <c r="RBE7" s="302"/>
      <c r="RBF7" s="302"/>
      <c r="RBG7" s="302"/>
      <c r="RBH7" s="302"/>
      <c r="RBI7" s="302"/>
      <c r="RBJ7" s="302"/>
      <c r="RBK7" s="302"/>
      <c r="RBL7" s="302"/>
      <c r="RBM7" s="302"/>
      <c r="RBN7" s="302"/>
      <c r="RBO7" s="302"/>
      <c r="RBP7" s="302"/>
      <c r="RBQ7" s="302"/>
      <c r="RBR7" s="302"/>
      <c r="RBS7" s="302"/>
      <c r="RBT7" s="302"/>
      <c r="RBU7" s="302"/>
      <c r="RBV7" s="302"/>
      <c r="RBW7" s="302"/>
      <c r="RBX7" s="302"/>
      <c r="RBY7" s="302"/>
      <c r="RBZ7" s="302"/>
      <c r="RCA7" s="302"/>
      <c r="RCB7" s="302"/>
      <c r="RCC7" s="302"/>
      <c r="RCD7" s="302"/>
      <c r="RCE7" s="302"/>
      <c r="RCF7" s="302"/>
      <c r="RCG7" s="302"/>
      <c r="RCH7" s="302"/>
      <c r="RCI7" s="302"/>
      <c r="RCJ7" s="302"/>
      <c r="RCK7" s="302"/>
      <c r="RCL7" s="302"/>
      <c r="RCM7" s="302"/>
      <c r="RCN7" s="302"/>
      <c r="RCO7" s="302"/>
      <c r="RCP7" s="302"/>
      <c r="RCQ7" s="302"/>
      <c r="RCR7" s="302"/>
      <c r="RCS7" s="302"/>
      <c r="RCT7" s="302"/>
      <c r="RCU7" s="302"/>
      <c r="RCV7" s="302"/>
      <c r="RCW7" s="302"/>
      <c r="RCX7" s="302"/>
      <c r="RCY7" s="302"/>
      <c r="RCZ7" s="302"/>
      <c r="RDA7" s="302"/>
      <c r="RDB7" s="302"/>
      <c r="RDC7" s="302"/>
      <c r="RDD7" s="302"/>
      <c r="RDE7" s="302"/>
      <c r="RDF7" s="302"/>
      <c r="RDG7" s="302"/>
      <c r="RDH7" s="302"/>
      <c r="RDI7" s="302"/>
      <c r="RDJ7" s="302"/>
      <c r="RDK7" s="302"/>
      <c r="RDL7" s="302"/>
      <c r="RDM7" s="302"/>
      <c r="RDN7" s="302"/>
      <c r="RDO7" s="302"/>
      <c r="RDP7" s="302"/>
      <c r="RDQ7" s="302"/>
      <c r="RDR7" s="302"/>
      <c r="RDS7" s="302"/>
      <c r="RDT7" s="302"/>
      <c r="RDU7" s="302"/>
      <c r="RDV7" s="302"/>
      <c r="RDW7" s="302"/>
      <c r="RDX7" s="302"/>
      <c r="RDY7" s="302"/>
      <c r="RDZ7" s="302"/>
      <c r="REA7" s="302"/>
      <c r="REB7" s="302"/>
      <c r="REC7" s="302"/>
      <c r="RED7" s="302"/>
      <c r="REE7" s="302"/>
      <c r="REF7" s="302"/>
      <c r="REG7" s="302"/>
      <c r="REH7" s="302"/>
      <c r="REI7" s="302"/>
      <c r="REJ7" s="302"/>
      <c r="REK7" s="302"/>
      <c r="REL7" s="302"/>
      <c r="REM7" s="302"/>
      <c r="REN7" s="302"/>
      <c r="REO7" s="302"/>
      <c r="REP7" s="302"/>
      <c r="REQ7" s="302"/>
      <c r="RER7" s="302"/>
      <c r="RES7" s="302"/>
      <c r="RET7" s="302"/>
      <c r="REU7" s="302"/>
      <c r="REV7" s="302"/>
      <c r="REW7" s="302"/>
      <c r="REX7" s="302"/>
      <c r="REY7" s="302"/>
      <c r="REZ7" s="302"/>
      <c r="RFA7" s="302"/>
      <c r="RFB7" s="302"/>
      <c r="RFC7" s="302"/>
      <c r="RFD7" s="302"/>
      <c r="RFE7" s="302"/>
      <c r="RFF7" s="302"/>
      <c r="RFG7" s="302"/>
      <c r="RFH7" s="302"/>
      <c r="RFI7" s="302"/>
      <c r="RFJ7" s="302"/>
      <c r="RFK7" s="302"/>
      <c r="RFL7" s="302"/>
      <c r="RFM7" s="302"/>
      <c r="RFN7" s="302"/>
      <c r="RFO7" s="302"/>
      <c r="RFP7" s="302"/>
      <c r="RFQ7" s="302"/>
      <c r="RFR7" s="302"/>
      <c r="RFS7" s="302"/>
      <c r="RFT7" s="302"/>
      <c r="RFU7" s="302"/>
      <c r="RFV7" s="302"/>
      <c r="RFW7" s="302"/>
      <c r="RFX7" s="302"/>
      <c r="RFY7" s="302"/>
      <c r="RFZ7" s="302"/>
      <c r="RGA7" s="302"/>
      <c r="RGB7" s="302"/>
      <c r="RGC7" s="302"/>
      <c r="RGD7" s="302"/>
      <c r="RGE7" s="302"/>
      <c r="RGF7" s="302"/>
      <c r="RGG7" s="302"/>
      <c r="RGH7" s="302"/>
      <c r="RGI7" s="302"/>
      <c r="RGJ7" s="302"/>
      <c r="RGK7" s="302"/>
      <c r="RGL7" s="302"/>
      <c r="RGM7" s="302"/>
      <c r="RGN7" s="302"/>
      <c r="RGO7" s="302"/>
      <c r="RGP7" s="302"/>
      <c r="RGQ7" s="302"/>
      <c r="RGR7" s="302"/>
      <c r="RGS7" s="302"/>
      <c r="RGT7" s="302"/>
      <c r="RGU7" s="302"/>
      <c r="RGV7" s="302"/>
      <c r="RGW7" s="302"/>
      <c r="RGX7" s="302"/>
      <c r="RGY7" s="302"/>
      <c r="RGZ7" s="302"/>
      <c r="RHA7" s="302"/>
      <c r="RHB7" s="302"/>
      <c r="RHC7" s="302"/>
      <c r="RHD7" s="302"/>
      <c r="RHE7" s="302"/>
      <c r="RHF7" s="302"/>
      <c r="RHG7" s="302"/>
      <c r="RHH7" s="302"/>
      <c r="RHI7" s="302"/>
      <c r="RHJ7" s="302"/>
      <c r="RHK7" s="302"/>
      <c r="RHL7" s="302"/>
      <c r="RHM7" s="302"/>
      <c r="RHN7" s="302"/>
      <c r="RHO7" s="302"/>
      <c r="RHP7" s="302"/>
      <c r="RHQ7" s="302"/>
      <c r="RHR7" s="302"/>
      <c r="RHS7" s="302"/>
      <c r="RHT7" s="302"/>
      <c r="RHU7" s="302"/>
      <c r="RHV7" s="302"/>
      <c r="RHW7" s="302"/>
      <c r="RHX7" s="302"/>
      <c r="RHY7" s="302"/>
      <c r="RHZ7" s="302"/>
      <c r="RIA7" s="302"/>
      <c r="RIB7" s="302"/>
      <c r="RIC7" s="302"/>
      <c r="RID7" s="302"/>
      <c r="RIE7" s="302"/>
      <c r="RIF7" s="302"/>
      <c r="RIG7" s="302"/>
      <c r="RIH7" s="302"/>
      <c r="RII7" s="302"/>
      <c r="RIJ7" s="302"/>
      <c r="RIK7" s="302"/>
      <c r="RIL7" s="302"/>
      <c r="RIM7" s="302"/>
      <c r="RIN7" s="302"/>
      <c r="RIO7" s="302"/>
      <c r="RIP7" s="302"/>
      <c r="RIQ7" s="302"/>
      <c r="RIR7" s="302"/>
      <c r="RIS7" s="302"/>
      <c r="RIT7" s="302"/>
      <c r="RIU7" s="302"/>
      <c r="RIV7" s="302"/>
      <c r="RIW7" s="302"/>
      <c r="RIX7" s="302"/>
      <c r="RIY7" s="302"/>
      <c r="RIZ7" s="302"/>
      <c r="RJA7" s="302"/>
      <c r="RJB7" s="302"/>
      <c r="RJC7" s="302"/>
      <c r="RJD7" s="302"/>
      <c r="RJE7" s="302"/>
      <c r="RJF7" s="302"/>
      <c r="RJG7" s="302"/>
      <c r="RJH7" s="302"/>
      <c r="RJI7" s="302"/>
      <c r="RJJ7" s="302"/>
      <c r="RJK7" s="302"/>
      <c r="RJL7" s="302"/>
      <c r="RJM7" s="302"/>
      <c r="RJN7" s="302"/>
      <c r="RJO7" s="302"/>
      <c r="RJP7" s="302"/>
      <c r="RJQ7" s="302"/>
      <c r="RJR7" s="302"/>
      <c r="RJS7" s="302"/>
      <c r="RJT7" s="302"/>
      <c r="RJU7" s="302"/>
      <c r="RJV7" s="302"/>
      <c r="RJW7" s="302"/>
      <c r="RJX7" s="302"/>
      <c r="RJY7" s="302"/>
      <c r="RJZ7" s="302"/>
      <c r="RKA7" s="302"/>
      <c r="RKB7" s="302"/>
      <c r="RKC7" s="302"/>
      <c r="RKD7" s="302"/>
      <c r="RKE7" s="302"/>
      <c r="RKF7" s="302"/>
      <c r="RKG7" s="302"/>
      <c r="RKH7" s="302"/>
      <c r="RKI7" s="302"/>
      <c r="RKJ7" s="302"/>
      <c r="RKK7" s="302"/>
      <c r="RKL7" s="302"/>
      <c r="RKM7" s="302"/>
      <c r="RKN7" s="302"/>
      <c r="RKO7" s="302"/>
      <c r="RKP7" s="302"/>
      <c r="RKQ7" s="302"/>
      <c r="RKR7" s="302"/>
      <c r="RKS7" s="302"/>
      <c r="RKT7" s="302"/>
      <c r="RKU7" s="302"/>
      <c r="RKV7" s="302"/>
      <c r="RKW7" s="302"/>
      <c r="RKX7" s="302"/>
      <c r="RKY7" s="302"/>
      <c r="RKZ7" s="302"/>
      <c r="RLA7" s="302"/>
      <c r="RLB7" s="302"/>
      <c r="RLC7" s="302"/>
      <c r="RLD7" s="302"/>
      <c r="RLE7" s="302"/>
      <c r="RLF7" s="302"/>
      <c r="RLG7" s="302"/>
      <c r="RLH7" s="302"/>
      <c r="RLI7" s="302"/>
      <c r="RLJ7" s="302"/>
      <c r="RLK7" s="302"/>
      <c r="RLL7" s="302"/>
      <c r="RLM7" s="302"/>
      <c r="RLN7" s="302"/>
      <c r="RLO7" s="302"/>
      <c r="RLP7" s="302"/>
      <c r="RLQ7" s="302"/>
      <c r="RLR7" s="302"/>
      <c r="RLS7" s="302"/>
      <c r="RLT7" s="302"/>
      <c r="RLU7" s="302"/>
      <c r="RLV7" s="302"/>
      <c r="RLW7" s="302"/>
      <c r="RLX7" s="302"/>
      <c r="RLY7" s="302"/>
      <c r="RLZ7" s="302"/>
      <c r="RMA7" s="302"/>
      <c r="RMB7" s="302"/>
      <c r="RMC7" s="302"/>
      <c r="RMD7" s="302"/>
      <c r="RME7" s="302"/>
      <c r="RMF7" s="302"/>
      <c r="RMG7" s="302"/>
      <c r="RMH7" s="302"/>
      <c r="RMI7" s="302"/>
      <c r="RMJ7" s="302"/>
      <c r="RMK7" s="302"/>
      <c r="RML7" s="302"/>
      <c r="RMM7" s="302"/>
      <c r="RMN7" s="302"/>
      <c r="RMO7" s="302"/>
      <c r="RMP7" s="302"/>
      <c r="RMQ7" s="302"/>
      <c r="RMR7" s="302"/>
      <c r="RMS7" s="302"/>
      <c r="RMT7" s="302"/>
      <c r="RMU7" s="302"/>
      <c r="RMV7" s="302"/>
      <c r="RMW7" s="302"/>
      <c r="RMX7" s="302"/>
      <c r="RMY7" s="302"/>
      <c r="RMZ7" s="302"/>
      <c r="RNA7" s="302"/>
      <c r="RNB7" s="302"/>
      <c r="RNC7" s="302"/>
      <c r="RND7" s="302"/>
      <c r="RNE7" s="302"/>
      <c r="RNF7" s="302"/>
      <c r="RNG7" s="302"/>
      <c r="RNH7" s="302"/>
      <c r="RNI7" s="302"/>
      <c r="RNJ7" s="302"/>
      <c r="RNK7" s="302"/>
      <c r="RNL7" s="302"/>
      <c r="RNM7" s="302"/>
      <c r="RNN7" s="302"/>
      <c r="RNO7" s="302"/>
      <c r="RNP7" s="302"/>
      <c r="RNQ7" s="302"/>
      <c r="RNR7" s="302"/>
      <c r="RNS7" s="302"/>
      <c r="RNT7" s="302"/>
      <c r="RNU7" s="302"/>
      <c r="RNV7" s="302"/>
      <c r="RNW7" s="302"/>
      <c r="RNX7" s="302"/>
      <c r="RNY7" s="302"/>
      <c r="RNZ7" s="302"/>
      <c r="ROA7" s="302"/>
      <c r="ROB7" s="302"/>
      <c r="ROC7" s="302"/>
      <c r="ROD7" s="302"/>
      <c r="ROE7" s="302"/>
      <c r="ROF7" s="302"/>
      <c r="ROG7" s="302"/>
      <c r="ROH7" s="302"/>
      <c r="ROI7" s="302"/>
      <c r="ROJ7" s="302"/>
      <c r="ROK7" s="302"/>
      <c r="ROL7" s="302"/>
      <c r="ROM7" s="302"/>
      <c r="RON7" s="302"/>
      <c r="ROO7" s="302"/>
      <c r="ROP7" s="302"/>
      <c r="ROQ7" s="302"/>
      <c r="ROR7" s="302"/>
      <c r="ROS7" s="302"/>
      <c r="ROT7" s="302"/>
      <c r="ROU7" s="302"/>
      <c r="ROV7" s="302"/>
      <c r="ROW7" s="302"/>
      <c r="ROX7" s="302"/>
      <c r="ROY7" s="302"/>
      <c r="ROZ7" s="302"/>
      <c r="RPA7" s="302"/>
      <c r="RPB7" s="302"/>
      <c r="RPC7" s="302"/>
      <c r="RPD7" s="302"/>
      <c r="RPE7" s="302"/>
      <c r="RPF7" s="302"/>
      <c r="RPG7" s="302"/>
      <c r="RPH7" s="302"/>
      <c r="RPI7" s="302"/>
      <c r="RPJ7" s="302"/>
      <c r="RPK7" s="302"/>
      <c r="RPL7" s="302"/>
      <c r="RPM7" s="302"/>
      <c r="RPN7" s="302"/>
      <c r="RPO7" s="302"/>
      <c r="RPP7" s="302"/>
      <c r="RPQ7" s="302"/>
      <c r="RPR7" s="302"/>
      <c r="RPS7" s="302"/>
      <c r="RPT7" s="302"/>
      <c r="RPU7" s="302"/>
      <c r="RPV7" s="302"/>
      <c r="RPW7" s="302"/>
      <c r="RPX7" s="302"/>
      <c r="RPY7" s="302"/>
      <c r="RPZ7" s="302"/>
      <c r="RQA7" s="302"/>
      <c r="RQB7" s="302"/>
      <c r="RQC7" s="302"/>
      <c r="RQD7" s="302"/>
      <c r="RQE7" s="302"/>
      <c r="RQF7" s="302"/>
      <c r="RQG7" s="302"/>
      <c r="RQH7" s="302"/>
      <c r="RQI7" s="302"/>
      <c r="RQJ7" s="302"/>
      <c r="RQK7" s="302"/>
      <c r="RQL7" s="302"/>
      <c r="RQM7" s="302"/>
      <c r="RQN7" s="302"/>
      <c r="RQO7" s="302"/>
      <c r="RQP7" s="302"/>
      <c r="RQQ7" s="302"/>
      <c r="RQR7" s="302"/>
      <c r="RQS7" s="302"/>
      <c r="RQT7" s="302"/>
      <c r="RQU7" s="302"/>
      <c r="RQV7" s="302"/>
      <c r="RQW7" s="302"/>
      <c r="RQX7" s="302"/>
      <c r="RQY7" s="302"/>
      <c r="RQZ7" s="302"/>
      <c r="RRA7" s="302"/>
      <c r="RRB7" s="302"/>
      <c r="RRC7" s="302"/>
      <c r="RRD7" s="302"/>
      <c r="RRE7" s="302"/>
      <c r="RRF7" s="302"/>
      <c r="RRG7" s="302"/>
      <c r="RRH7" s="302"/>
      <c r="RRI7" s="302"/>
      <c r="RRJ7" s="302"/>
      <c r="RRK7" s="302"/>
      <c r="RRL7" s="302"/>
      <c r="RRM7" s="302"/>
      <c r="RRN7" s="302"/>
      <c r="RRO7" s="302"/>
      <c r="RRP7" s="302"/>
      <c r="RRQ7" s="302"/>
      <c r="RRR7" s="302"/>
      <c r="RRS7" s="302"/>
      <c r="RRT7" s="302"/>
      <c r="RRU7" s="302"/>
      <c r="RRV7" s="302"/>
      <c r="RRW7" s="302"/>
      <c r="RRX7" s="302"/>
      <c r="RRY7" s="302"/>
      <c r="RRZ7" s="302"/>
      <c r="RSA7" s="302"/>
      <c r="RSB7" s="302"/>
      <c r="RSC7" s="302"/>
      <c r="RSD7" s="302"/>
      <c r="RSE7" s="302"/>
      <c r="RSF7" s="302"/>
      <c r="RSG7" s="302"/>
      <c r="RSH7" s="302"/>
      <c r="RSI7" s="302"/>
      <c r="RSJ7" s="302"/>
      <c r="RSK7" s="302"/>
      <c r="RSL7" s="302"/>
      <c r="RSM7" s="302"/>
      <c r="RSN7" s="302"/>
      <c r="RSO7" s="302"/>
      <c r="RSP7" s="302"/>
      <c r="RSQ7" s="302"/>
      <c r="RSR7" s="302"/>
      <c r="RSS7" s="302"/>
      <c r="RST7" s="302"/>
      <c r="RSU7" s="302"/>
      <c r="RSV7" s="302"/>
      <c r="RSW7" s="302"/>
      <c r="RSX7" s="302"/>
      <c r="RSY7" s="302"/>
      <c r="RSZ7" s="302"/>
      <c r="RTA7" s="302"/>
      <c r="RTB7" s="302"/>
      <c r="RTC7" s="302"/>
      <c r="RTD7" s="302"/>
      <c r="RTE7" s="302"/>
      <c r="RTF7" s="302"/>
      <c r="RTG7" s="302"/>
      <c r="RTH7" s="302"/>
      <c r="RTI7" s="302"/>
      <c r="RTJ7" s="302"/>
      <c r="RTK7" s="302"/>
      <c r="RTL7" s="302"/>
      <c r="RTM7" s="302"/>
      <c r="RTN7" s="302"/>
      <c r="RTO7" s="302"/>
      <c r="RTP7" s="302"/>
      <c r="RTQ7" s="302"/>
      <c r="RTR7" s="302"/>
      <c r="RTS7" s="302"/>
      <c r="RTT7" s="302"/>
      <c r="RTU7" s="302"/>
      <c r="RTV7" s="302"/>
      <c r="RTW7" s="302"/>
      <c r="RTX7" s="302"/>
      <c r="RTY7" s="302"/>
      <c r="RTZ7" s="302"/>
      <c r="RUA7" s="302"/>
      <c r="RUB7" s="302"/>
      <c r="RUC7" s="302"/>
      <c r="RUD7" s="302"/>
      <c r="RUE7" s="302"/>
      <c r="RUF7" s="302"/>
      <c r="RUG7" s="302"/>
      <c r="RUH7" s="302"/>
      <c r="RUI7" s="302"/>
      <c r="RUJ7" s="302"/>
      <c r="RUK7" s="302"/>
      <c r="RUL7" s="302"/>
      <c r="RUM7" s="302"/>
      <c r="RUN7" s="302"/>
      <c r="RUO7" s="302"/>
      <c r="RUP7" s="302"/>
      <c r="RUQ7" s="302"/>
      <c r="RUR7" s="302"/>
      <c r="RUS7" s="302"/>
      <c r="RUT7" s="302"/>
      <c r="RUU7" s="302"/>
      <c r="RUV7" s="302"/>
      <c r="RUW7" s="302"/>
      <c r="RUX7" s="302"/>
      <c r="RUY7" s="302"/>
      <c r="RUZ7" s="302"/>
      <c r="RVA7" s="302"/>
      <c r="RVB7" s="302"/>
      <c r="RVC7" s="302"/>
      <c r="RVD7" s="302"/>
      <c r="RVE7" s="302"/>
      <c r="RVF7" s="302"/>
      <c r="RVG7" s="302"/>
      <c r="RVH7" s="302"/>
      <c r="RVI7" s="302"/>
      <c r="RVJ7" s="302"/>
      <c r="RVK7" s="302"/>
      <c r="RVL7" s="302"/>
      <c r="RVM7" s="302"/>
      <c r="RVN7" s="302"/>
      <c r="RVO7" s="302"/>
      <c r="RVP7" s="302"/>
      <c r="RVQ7" s="302"/>
      <c r="RVR7" s="302"/>
      <c r="RVS7" s="302"/>
      <c r="RVT7" s="302"/>
      <c r="RVU7" s="302"/>
      <c r="RVV7" s="302"/>
      <c r="RVW7" s="302"/>
      <c r="RVX7" s="302"/>
      <c r="RVY7" s="302"/>
      <c r="RVZ7" s="302"/>
      <c r="RWA7" s="302"/>
      <c r="RWB7" s="302"/>
      <c r="RWC7" s="302"/>
      <c r="RWD7" s="302"/>
      <c r="RWE7" s="302"/>
      <c r="RWF7" s="302"/>
      <c r="RWG7" s="302"/>
      <c r="RWH7" s="302"/>
      <c r="RWI7" s="302"/>
      <c r="RWJ7" s="302"/>
      <c r="RWK7" s="302"/>
      <c r="RWL7" s="302"/>
      <c r="RWM7" s="302"/>
      <c r="RWN7" s="302"/>
      <c r="RWO7" s="302"/>
      <c r="RWP7" s="302"/>
      <c r="RWQ7" s="302"/>
      <c r="RWR7" s="302"/>
      <c r="RWS7" s="302"/>
      <c r="RWT7" s="302"/>
      <c r="RWU7" s="302"/>
      <c r="RWV7" s="302"/>
      <c r="RWW7" s="302"/>
      <c r="RWX7" s="302"/>
      <c r="RWY7" s="302"/>
      <c r="RWZ7" s="302"/>
      <c r="RXA7" s="302"/>
      <c r="RXB7" s="302"/>
      <c r="RXC7" s="302"/>
      <c r="RXD7" s="302"/>
      <c r="RXE7" s="302"/>
      <c r="RXF7" s="302"/>
      <c r="RXG7" s="302"/>
      <c r="RXH7" s="302"/>
      <c r="RXI7" s="302"/>
      <c r="RXJ7" s="302"/>
      <c r="RXK7" s="302"/>
      <c r="RXL7" s="302"/>
      <c r="RXM7" s="302"/>
      <c r="RXN7" s="302"/>
      <c r="RXO7" s="302"/>
      <c r="RXP7" s="302"/>
      <c r="RXQ7" s="302"/>
      <c r="RXR7" s="302"/>
      <c r="RXS7" s="302"/>
      <c r="RXT7" s="302"/>
      <c r="RXU7" s="302"/>
      <c r="RXV7" s="302"/>
      <c r="RXW7" s="302"/>
      <c r="RXX7" s="302"/>
      <c r="RXY7" s="302"/>
      <c r="RXZ7" s="302"/>
      <c r="RYA7" s="302"/>
      <c r="RYB7" s="302"/>
      <c r="RYC7" s="302"/>
      <c r="RYD7" s="302"/>
      <c r="RYE7" s="302"/>
      <c r="RYF7" s="302"/>
      <c r="RYG7" s="302"/>
      <c r="RYH7" s="302"/>
      <c r="RYI7" s="302"/>
      <c r="RYJ7" s="302"/>
      <c r="RYK7" s="302"/>
      <c r="RYL7" s="302"/>
      <c r="RYM7" s="302"/>
      <c r="RYN7" s="302"/>
      <c r="RYO7" s="302"/>
      <c r="RYP7" s="302"/>
      <c r="RYQ7" s="302"/>
      <c r="RYR7" s="302"/>
      <c r="RYS7" s="302"/>
      <c r="RYT7" s="302"/>
      <c r="RYU7" s="302"/>
      <c r="RYV7" s="302"/>
      <c r="RYW7" s="302"/>
      <c r="RYX7" s="302"/>
      <c r="RYY7" s="302"/>
      <c r="RYZ7" s="302"/>
      <c r="RZA7" s="302"/>
      <c r="RZB7" s="302"/>
      <c r="RZC7" s="302"/>
      <c r="RZD7" s="302"/>
      <c r="RZE7" s="302"/>
      <c r="RZF7" s="302"/>
      <c r="RZG7" s="302"/>
      <c r="RZH7" s="302"/>
      <c r="RZI7" s="302"/>
      <c r="RZJ7" s="302"/>
      <c r="RZK7" s="302"/>
      <c r="RZL7" s="302"/>
      <c r="RZM7" s="302"/>
      <c r="RZN7" s="302"/>
      <c r="RZO7" s="302"/>
      <c r="RZP7" s="302"/>
      <c r="RZQ7" s="302"/>
      <c r="RZR7" s="302"/>
      <c r="RZS7" s="302"/>
      <c r="RZT7" s="302"/>
      <c r="RZU7" s="302"/>
      <c r="RZV7" s="302"/>
      <c r="RZW7" s="302"/>
      <c r="RZX7" s="302"/>
      <c r="RZY7" s="302"/>
      <c r="RZZ7" s="302"/>
      <c r="SAA7" s="302"/>
      <c r="SAB7" s="302"/>
      <c r="SAC7" s="302"/>
      <c r="SAD7" s="302"/>
      <c r="SAE7" s="302"/>
      <c r="SAF7" s="302"/>
      <c r="SAG7" s="302"/>
      <c r="SAH7" s="302"/>
      <c r="SAI7" s="302"/>
      <c r="SAJ7" s="302"/>
      <c r="SAK7" s="302"/>
      <c r="SAL7" s="302"/>
      <c r="SAM7" s="302"/>
      <c r="SAN7" s="302"/>
      <c r="SAO7" s="302"/>
      <c r="SAP7" s="302"/>
      <c r="SAQ7" s="302"/>
      <c r="SAR7" s="302"/>
      <c r="SAS7" s="302"/>
      <c r="SAT7" s="302"/>
      <c r="SAU7" s="302"/>
      <c r="SAV7" s="302"/>
      <c r="SAW7" s="302"/>
      <c r="SAX7" s="302"/>
      <c r="SAY7" s="302"/>
      <c r="SAZ7" s="302"/>
      <c r="SBA7" s="302"/>
      <c r="SBB7" s="302"/>
      <c r="SBC7" s="302"/>
      <c r="SBD7" s="302"/>
      <c r="SBE7" s="302"/>
      <c r="SBF7" s="302"/>
      <c r="SBG7" s="302"/>
      <c r="SBH7" s="302"/>
      <c r="SBI7" s="302"/>
      <c r="SBJ7" s="302"/>
      <c r="SBK7" s="302"/>
      <c r="SBL7" s="302"/>
      <c r="SBM7" s="302"/>
      <c r="SBN7" s="302"/>
      <c r="SBO7" s="302"/>
      <c r="SBP7" s="302"/>
      <c r="SBQ7" s="302"/>
      <c r="SBR7" s="302"/>
      <c r="SBS7" s="302"/>
      <c r="SBT7" s="302"/>
      <c r="SBU7" s="302"/>
      <c r="SBV7" s="302"/>
      <c r="SBW7" s="302"/>
      <c r="SBX7" s="302"/>
      <c r="SBY7" s="302"/>
      <c r="SBZ7" s="302"/>
      <c r="SCA7" s="302"/>
      <c r="SCB7" s="302"/>
      <c r="SCC7" s="302"/>
      <c r="SCD7" s="302"/>
      <c r="SCE7" s="302"/>
      <c r="SCF7" s="302"/>
      <c r="SCG7" s="302"/>
      <c r="SCH7" s="302"/>
      <c r="SCI7" s="302"/>
      <c r="SCJ7" s="302"/>
      <c r="SCK7" s="302"/>
      <c r="SCL7" s="302"/>
      <c r="SCM7" s="302"/>
      <c r="SCN7" s="302"/>
      <c r="SCO7" s="302"/>
      <c r="SCP7" s="302"/>
      <c r="SCQ7" s="302"/>
      <c r="SCR7" s="302"/>
      <c r="SCS7" s="302"/>
      <c r="SCT7" s="302"/>
      <c r="SCU7" s="302"/>
      <c r="SCV7" s="302"/>
      <c r="SCW7" s="302"/>
      <c r="SCX7" s="302"/>
      <c r="SCY7" s="302"/>
      <c r="SCZ7" s="302"/>
      <c r="SDA7" s="302"/>
      <c r="SDB7" s="302"/>
      <c r="SDC7" s="302"/>
      <c r="SDD7" s="302"/>
      <c r="SDE7" s="302"/>
      <c r="SDF7" s="302"/>
      <c r="SDG7" s="302"/>
      <c r="SDH7" s="302"/>
      <c r="SDI7" s="302"/>
      <c r="SDJ7" s="302"/>
      <c r="SDK7" s="302"/>
      <c r="SDL7" s="302"/>
      <c r="SDM7" s="302"/>
      <c r="SDN7" s="302"/>
      <c r="SDO7" s="302"/>
      <c r="SDP7" s="302"/>
      <c r="SDQ7" s="302"/>
      <c r="SDR7" s="302"/>
      <c r="SDS7" s="302"/>
      <c r="SDT7" s="302"/>
      <c r="SDU7" s="302"/>
      <c r="SDV7" s="302"/>
      <c r="SDW7" s="302"/>
      <c r="SDX7" s="302"/>
      <c r="SDY7" s="302"/>
      <c r="SDZ7" s="302"/>
      <c r="SEA7" s="302"/>
      <c r="SEB7" s="302"/>
      <c r="SEC7" s="302"/>
      <c r="SED7" s="302"/>
      <c r="SEE7" s="302"/>
      <c r="SEF7" s="302"/>
      <c r="SEG7" s="302"/>
      <c r="SEH7" s="302"/>
      <c r="SEI7" s="302"/>
      <c r="SEJ7" s="302"/>
      <c r="SEK7" s="302"/>
      <c r="SEL7" s="302"/>
      <c r="SEM7" s="302"/>
      <c r="SEN7" s="302"/>
      <c r="SEO7" s="302"/>
      <c r="SEP7" s="302"/>
      <c r="SEQ7" s="302"/>
      <c r="SER7" s="302"/>
      <c r="SES7" s="302"/>
      <c r="SET7" s="302"/>
      <c r="SEU7" s="302"/>
      <c r="SEV7" s="302"/>
      <c r="SEW7" s="302"/>
      <c r="SEX7" s="302"/>
      <c r="SEY7" s="302"/>
      <c r="SEZ7" s="302"/>
      <c r="SFA7" s="302"/>
      <c r="SFB7" s="302"/>
      <c r="SFC7" s="302"/>
      <c r="SFD7" s="302"/>
      <c r="SFE7" s="302"/>
      <c r="SFF7" s="302"/>
      <c r="SFG7" s="302"/>
      <c r="SFH7" s="302"/>
      <c r="SFI7" s="302"/>
      <c r="SFJ7" s="302"/>
      <c r="SFK7" s="302"/>
      <c r="SFL7" s="302"/>
      <c r="SFM7" s="302"/>
      <c r="SFN7" s="302"/>
      <c r="SFO7" s="302"/>
      <c r="SFP7" s="302"/>
      <c r="SFQ7" s="302"/>
      <c r="SFR7" s="302"/>
      <c r="SFS7" s="302"/>
      <c r="SFT7" s="302"/>
      <c r="SFU7" s="302"/>
      <c r="SFV7" s="302"/>
      <c r="SFW7" s="302"/>
      <c r="SFX7" s="302"/>
      <c r="SFY7" s="302"/>
      <c r="SFZ7" s="302"/>
      <c r="SGA7" s="302"/>
      <c r="SGB7" s="302"/>
      <c r="SGC7" s="302"/>
      <c r="SGD7" s="302"/>
      <c r="SGE7" s="302"/>
      <c r="SGF7" s="302"/>
      <c r="SGG7" s="302"/>
      <c r="SGH7" s="302"/>
      <c r="SGI7" s="302"/>
      <c r="SGJ7" s="302"/>
      <c r="SGK7" s="302"/>
      <c r="SGL7" s="302"/>
      <c r="SGM7" s="302"/>
      <c r="SGN7" s="302"/>
      <c r="SGO7" s="302"/>
      <c r="SGP7" s="302"/>
      <c r="SGQ7" s="302"/>
      <c r="SGR7" s="302"/>
      <c r="SGS7" s="302"/>
      <c r="SGT7" s="302"/>
      <c r="SGU7" s="302"/>
      <c r="SGV7" s="302"/>
      <c r="SGW7" s="302"/>
      <c r="SGX7" s="302"/>
      <c r="SGY7" s="302"/>
      <c r="SGZ7" s="302"/>
      <c r="SHA7" s="302"/>
      <c r="SHB7" s="302"/>
      <c r="SHC7" s="302"/>
      <c r="SHD7" s="302"/>
      <c r="SHE7" s="302"/>
      <c r="SHF7" s="302"/>
      <c r="SHG7" s="302"/>
      <c r="SHH7" s="302"/>
      <c r="SHI7" s="302"/>
      <c r="SHJ7" s="302"/>
      <c r="SHK7" s="302"/>
      <c r="SHL7" s="302"/>
      <c r="SHM7" s="302"/>
      <c r="SHN7" s="302"/>
      <c r="SHO7" s="302"/>
      <c r="SHP7" s="302"/>
      <c r="SHQ7" s="302"/>
      <c r="SHR7" s="302"/>
      <c r="SHS7" s="302"/>
      <c r="SHT7" s="302"/>
      <c r="SHU7" s="302"/>
      <c r="SHV7" s="302"/>
      <c r="SHW7" s="302"/>
      <c r="SHX7" s="302"/>
      <c r="SHY7" s="302"/>
      <c r="SHZ7" s="302"/>
      <c r="SIA7" s="302"/>
      <c r="SIB7" s="302"/>
      <c r="SIC7" s="302"/>
      <c r="SID7" s="302"/>
      <c r="SIE7" s="302"/>
      <c r="SIF7" s="302"/>
      <c r="SIG7" s="302"/>
      <c r="SIH7" s="302"/>
      <c r="SII7" s="302"/>
      <c r="SIJ7" s="302"/>
      <c r="SIK7" s="302"/>
      <c r="SIL7" s="302"/>
      <c r="SIM7" s="302"/>
      <c r="SIN7" s="302"/>
      <c r="SIO7" s="302"/>
      <c r="SIP7" s="302"/>
      <c r="SIQ7" s="302"/>
      <c r="SIR7" s="302"/>
      <c r="SIS7" s="302"/>
      <c r="SIT7" s="302"/>
      <c r="SIU7" s="302"/>
      <c r="SIV7" s="302"/>
      <c r="SIW7" s="302"/>
      <c r="SIX7" s="302"/>
      <c r="SIY7" s="302"/>
      <c r="SIZ7" s="302"/>
      <c r="SJA7" s="302"/>
      <c r="SJB7" s="302"/>
      <c r="SJC7" s="302"/>
      <c r="SJD7" s="302"/>
      <c r="SJE7" s="302"/>
      <c r="SJF7" s="302"/>
      <c r="SJG7" s="302"/>
      <c r="SJH7" s="302"/>
      <c r="SJI7" s="302"/>
      <c r="SJJ7" s="302"/>
      <c r="SJK7" s="302"/>
      <c r="SJL7" s="302"/>
      <c r="SJM7" s="302"/>
      <c r="SJN7" s="302"/>
      <c r="SJO7" s="302"/>
      <c r="SJP7" s="302"/>
      <c r="SJQ7" s="302"/>
      <c r="SJR7" s="302"/>
      <c r="SJS7" s="302"/>
      <c r="SJT7" s="302"/>
      <c r="SJU7" s="302"/>
      <c r="SJV7" s="302"/>
      <c r="SJW7" s="302"/>
      <c r="SJX7" s="302"/>
      <c r="SJY7" s="302"/>
      <c r="SJZ7" s="302"/>
      <c r="SKA7" s="302"/>
      <c r="SKB7" s="302"/>
      <c r="SKC7" s="302"/>
      <c r="SKD7" s="302"/>
      <c r="SKE7" s="302"/>
      <c r="SKF7" s="302"/>
      <c r="SKG7" s="302"/>
      <c r="SKH7" s="302"/>
      <c r="SKI7" s="302"/>
      <c r="SKJ7" s="302"/>
      <c r="SKK7" s="302"/>
      <c r="SKL7" s="302"/>
      <c r="SKM7" s="302"/>
      <c r="SKN7" s="302"/>
      <c r="SKO7" s="302"/>
      <c r="SKP7" s="302"/>
      <c r="SKQ7" s="302"/>
      <c r="SKR7" s="302"/>
      <c r="SKS7" s="302"/>
      <c r="SKT7" s="302"/>
      <c r="SKU7" s="302"/>
      <c r="SKV7" s="302"/>
      <c r="SKW7" s="302"/>
      <c r="SKX7" s="302"/>
      <c r="SKY7" s="302"/>
      <c r="SKZ7" s="302"/>
      <c r="SLA7" s="302"/>
      <c r="SLB7" s="302"/>
      <c r="SLC7" s="302"/>
      <c r="SLD7" s="302"/>
      <c r="SLE7" s="302"/>
      <c r="SLF7" s="302"/>
      <c r="SLG7" s="302"/>
      <c r="SLH7" s="302"/>
      <c r="SLI7" s="302"/>
      <c r="SLJ7" s="302"/>
      <c r="SLK7" s="302"/>
      <c r="SLL7" s="302"/>
      <c r="SLM7" s="302"/>
      <c r="SLN7" s="302"/>
      <c r="SLO7" s="302"/>
      <c r="SLP7" s="302"/>
      <c r="SLQ7" s="302"/>
      <c r="SLR7" s="302"/>
      <c r="SLS7" s="302"/>
      <c r="SLT7" s="302"/>
      <c r="SLU7" s="302"/>
      <c r="SLV7" s="302"/>
      <c r="SLW7" s="302"/>
      <c r="SLX7" s="302"/>
      <c r="SLY7" s="302"/>
      <c r="SLZ7" s="302"/>
      <c r="SMA7" s="302"/>
      <c r="SMB7" s="302"/>
      <c r="SMC7" s="302"/>
      <c r="SMD7" s="302"/>
      <c r="SME7" s="302"/>
      <c r="SMF7" s="302"/>
      <c r="SMG7" s="302"/>
      <c r="SMH7" s="302"/>
      <c r="SMI7" s="302"/>
      <c r="SMJ7" s="302"/>
      <c r="SMK7" s="302"/>
      <c r="SML7" s="302"/>
      <c r="SMM7" s="302"/>
      <c r="SMN7" s="302"/>
      <c r="SMO7" s="302"/>
      <c r="SMP7" s="302"/>
      <c r="SMQ7" s="302"/>
      <c r="SMR7" s="302"/>
      <c r="SMS7" s="302"/>
      <c r="SMT7" s="302"/>
      <c r="SMU7" s="302"/>
      <c r="SMV7" s="302"/>
      <c r="SMW7" s="302"/>
      <c r="SMX7" s="302"/>
      <c r="SMY7" s="302"/>
      <c r="SMZ7" s="302"/>
      <c r="SNA7" s="302"/>
      <c r="SNB7" s="302"/>
      <c r="SNC7" s="302"/>
      <c r="SND7" s="302"/>
      <c r="SNE7" s="302"/>
      <c r="SNF7" s="302"/>
      <c r="SNG7" s="302"/>
      <c r="SNH7" s="302"/>
      <c r="SNI7" s="302"/>
      <c r="SNJ7" s="302"/>
      <c r="SNK7" s="302"/>
      <c r="SNL7" s="302"/>
      <c r="SNM7" s="302"/>
      <c r="SNN7" s="302"/>
      <c r="SNO7" s="302"/>
      <c r="SNP7" s="302"/>
      <c r="SNQ7" s="302"/>
      <c r="SNR7" s="302"/>
      <c r="SNS7" s="302"/>
      <c r="SNT7" s="302"/>
      <c r="SNU7" s="302"/>
      <c r="SNV7" s="302"/>
      <c r="SNW7" s="302"/>
      <c r="SNX7" s="302"/>
      <c r="SNY7" s="302"/>
      <c r="SNZ7" s="302"/>
      <c r="SOA7" s="302"/>
      <c r="SOB7" s="302"/>
      <c r="SOC7" s="302"/>
      <c r="SOD7" s="302"/>
      <c r="SOE7" s="302"/>
      <c r="SOF7" s="302"/>
      <c r="SOG7" s="302"/>
      <c r="SOH7" s="302"/>
      <c r="SOI7" s="302"/>
      <c r="SOJ7" s="302"/>
      <c r="SOK7" s="302"/>
      <c r="SOL7" s="302"/>
      <c r="SOM7" s="302"/>
      <c r="SON7" s="302"/>
      <c r="SOO7" s="302"/>
      <c r="SOP7" s="302"/>
      <c r="SOQ7" s="302"/>
      <c r="SOR7" s="302"/>
      <c r="SOS7" s="302"/>
      <c r="SOT7" s="302"/>
      <c r="SOU7" s="302"/>
      <c r="SOV7" s="302"/>
      <c r="SOW7" s="302"/>
      <c r="SOX7" s="302"/>
      <c r="SOY7" s="302"/>
      <c r="SOZ7" s="302"/>
      <c r="SPA7" s="302"/>
      <c r="SPB7" s="302"/>
      <c r="SPC7" s="302"/>
      <c r="SPD7" s="302"/>
      <c r="SPE7" s="302"/>
      <c r="SPF7" s="302"/>
      <c r="SPG7" s="302"/>
      <c r="SPH7" s="302"/>
      <c r="SPI7" s="302"/>
      <c r="SPJ7" s="302"/>
      <c r="SPK7" s="302"/>
      <c r="SPL7" s="302"/>
      <c r="SPM7" s="302"/>
      <c r="SPN7" s="302"/>
      <c r="SPO7" s="302"/>
      <c r="SPP7" s="302"/>
      <c r="SPQ7" s="302"/>
      <c r="SPR7" s="302"/>
      <c r="SPS7" s="302"/>
      <c r="SPT7" s="302"/>
      <c r="SPU7" s="302"/>
      <c r="SPV7" s="302"/>
      <c r="SPW7" s="302"/>
      <c r="SPX7" s="302"/>
      <c r="SPY7" s="302"/>
      <c r="SPZ7" s="302"/>
      <c r="SQA7" s="302"/>
      <c r="SQB7" s="302"/>
      <c r="SQC7" s="302"/>
      <c r="SQD7" s="302"/>
      <c r="SQE7" s="302"/>
      <c r="SQF7" s="302"/>
      <c r="SQG7" s="302"/>
      <c r="SQH7" s="302"/>
      <c r="SQI7" s="302"/>
      <c r="SQJ7" s="302"/>
      <c r="SQK7" s="302"/>
      <c r="SQL7" s="302"/>
      <c r="SQM7" s="302"/>
      <c r="SQN7" s="302"/>
      <c r="SQO7" s="302"/>
      <c r="SQP7" s="302"/>
      <c r="SQQ7" s="302"/>
      <c r="SQR7" s="302"/>
      <c r="SQS7" s="302"/>
      <c r="SQT7" s="302"/>
      <c r="SQU7" s="302"/>
      <c r="SQV7" s="302"/>
      <c r="SQW7" s="302"/>
      <c r="SQX7" s="302"/>
      <c r="SQY7" s="302"/>
      <c r="SQZ7" s="302"/>
      <c r="SRA7" s="302"/>
      <c r="SRB7" s="302"/>
      <c r="SRC7" s="302"/>
      <c r="SRD7" s="302"/>
      <c r="SRE7" s="302"/>
      <c r="SRF7" s="302"/>
      <c r="SRG7" s="302"/>
      <c r="SRH7" s="302"/>
      <c r="SRI7" s="302"/>
      <c r="SRJ7" s="302"/>
      <c r="SRK7" s="302"/>
      <c r="SRL7" s="302"/>
      <c r="SRM7" s="302"/>
      <c r="SRN7" s="302"/>
      <c r="SRO7" s="302"/>
      <c r="SRP7" s="302"/>
      <c r="SRQ7" s="302"/>
      <c r="SRR7" s="302"/>
      <c r="SRS7" s="302"/>
      <c r="SRT7" s="302"/>
      <c r="SRU7" s="302"/>
      <c r="SRV7" s="302"/>
      <c r="SRW7" s="302"/>
      <c r="SRX7" s="302"/>
      <c r="SRY7" s="302"/>
      <c r="SRZ7" s="302"/>
      <c r="SSA7" s="302"/>
      <c r="SSB7" s="302"/>
      <c r="SSC7" s="302"/>
      <c r="SSD7" s="302"/>
      <c r="SSE7" s="302"/>
      <c r="SSF7" s="302"/>
      <c r="SSG7" s="302"/>
      <c r="SSH7" s="302"/>
      <c r="SSI7" s="302"/>
      <c r="SSJ7" s="302"/>
      <c r="SSK7" s="302"/>
      <c r="SSL7" s="302"/>
      <c r="SSM7" s="302"/>
      <c r="SSN7" s="302"/>
      <c r="SSO7" s="302"/>
      <c r="SSP7" s="302"/>
      <c r="SSQ7" s="302"/>
      <c r="SSR7" s="302"/>
      <c r="SSS7" s="302"/>
      <c r="SST7" s="302"/>
      <c r="SSU7" s="302"/>
      <c r="SSV7" s="302"/>
      <c r="SSW7" s="302"/>
      <c r="SSX7" s="302"/>
      <c r="SSY7" s="302"/>
      <c r="SSZ7" s="302"/>
      <c r="STA7" s="302"/>
      <c r="STB7" s="302"/>
      <c r="STC7" s="302"/>
      <c r="STD7" s="302"/>
      <c r="STE7" s="302"/>
      <c r="STF7" s="302"/>
      <c r="STG7" s="302"/>
      <c r="STH7" s="302"/>
      <c r="STI7" s="302"/>
      <c r="STJ7" s="302"/>
      <c r="STK7" s="302"/>
      <c r="STL7" s="302"/>
      <c r="STM7" s="302"/>
      <c r="STN7" s="302"/>
      <c r="STO7" s="302"/>
      <c r="STP7" s="302"/>
      <c r="STQ7" s="302"/>
      <c r="STR7" s="302"/>
      <c r="STS7" s="302"/>
      <c r="STT7" s="302"/>
      <c r="STU7" s="302"/>
      <c r="STV7" s="302"/>
      <c r="STW7" s="302"/>
      <c r="STX7" s="302"/>
      <c r="STY7" s="302"/>
      <c r="STZ7" s="302"/>
      <c r="SUA7" s="302"/>
      <c r="SUB7" s="302"/>
      <c r="SUC7" s="302"/>
      <c r="SUD7" s="302"/>
      <c r="SUE7" s="302"/>
      <c r="SUF7" s="302"/>
      <c r="SUG7" s="302"/>
      <c r="SUH7" s="302"/>
      <c r="SUI7" s="302"/>
      <c r="SUJ7" s="302"/>
      <c r="SUK7" s="302"/>
      <c r="SUL7" s="302"/>
      <c r="SUM7" s="302"/>
      <c r="SUN7" s="302"/>
      <c r="SUO7" s="302"/>
      <c r="SUP7" s="302"/>
      <c r="SUQ7" s="302"/>
      <c r="SUR7" s="302"/>
      <c r="SUS7" s="302"/>
      <c r="SUT7" s="302"/>
      <c r="SUU7" s="302"/>
      <c r="SUV7" s="302"/>
      <c r="SUW7" s="302"/>
      <c r="SUX7" s="302"/>
      <c r="SUY7" s="302"/>
      <c r="SUZ7" s="302"/>
      <c r="SVA7" s="302"/>
      <c r="SVB7" s="302"/>
      <c r="SVC7" s="302"/>
      <c r="SVD7" s="302"/>
      <c r="SVE7" s="302"/>
      <c r="SVF7" s="302"/>
      <c r="SVG7" s="302"/>
      <c r="SVH7" s="302"/>
      <c r="SVI7" s="302"/>
      <c r="SVJ7" s="302"/>
      <c r="SVK7" s="302"/>
      <c r="SVL7" s="302"/>
      <c r="SVM7" s="302"/>
      <c r="SVN7" s="302"/>
      <c r="SVO7" s="302"/>
      <c r="SVP7" s="302"/>
      <c r="SVQ7" s="302"/>
      <c r="SVR7" s="302"/>
      <c r="SVS7" s="302"/>
      <c r="SVT7" s="302"/>
      <c r="SVU7" s="302"/>
      <c r="SVV7" s="302"/>
      <c r="SVW7" s="302"/>
      <c r="SVX7" s="302"/>
      <c r="SVY7" s="302"/>
      <c r="SVZ7" s="302"/>
      <c r="SWA7" s="302"/>
      <c r="SWB7" s="302"/>
      <c r="SWC7" s="302"/>
      <c r="SWD7" s="302"/>
      <c r="SWE7" s="302"/>
      <c r="SWF7" s="302"/>
      <c r="SWG7" s="302"/>
      <c r="SWH7" s="302"/>
      <c r="SWI7" s="302"/>
      <c r="SWJ7" s="302"/>
      <c r="SWK7" s="302"/>
      <c r="SWL7" s="302"/>
      <c r="SWM7" s="302"/>
      <c r="SWN7" s="302"/>
      <c r="SWO7" s="302"/>
      <c r="SWP7" s="302"/>
      <c r="SWQ7" s="302"/>
      <c r="SWR7" s="302"/>
      <c r="SWS7" s="302"/>
      <c r="SWT7" s="302"/>
      <c r="SWU7" s="302"/>
      <c r="SWV7" s="302"/>
      <c r="SWW7" s="302"/>
      <c r="SWX7" s="302"/>
      <c r="SWY7" s="302"/>
      <c r="SWZ7" s="302"/>
      <c r="SXA7" s="302"/>
      <c r="SXB7" s="302"/>
      <c r="SXC7" s="302"/>
      <c r="SXD7" s="302"/>
      <c r="SXE7" s="302"/>
      <c r="SXF7" s="302"/>
      <c r="SXG7" s="302"/>
      <c r="SXH7" s="302"/>
      <c r="SXI7" s="302"/>
      <c r="SXJ7" s="302"/>
      <c r="SXK7" s="302"/>
      <c r="SXL7" s="302"/>
      <c r="SXM7" s="302"/>
      <c r="SXN7" s="302"/>
      <c r="SXO7" s="302"/>
      <c r="SXP7" s="302"/>
      <c r="SXQ7" s="302"/>
      <c r="SXR7" s="302"/>
      <c r="SXS7" s="302"/>
      <c r="SXT7" s="302"/>
      <c r="SXU7" s="302"/>
      <c r="SXV7" s="302"/>
      <c r="SXW7" s="302"/>
      <c r="SXX7" s="302"/>
      <c r="SXY7" s="302"/>
      <c r="SXZ7" s="302"/>
      <c r="SYA7" s="302"/>
      <c r="SYB7" s="302"/>
      <c r="SYC7" s="302"/>
      <c r="SYD7" s="302"/>
      <c r="SYE7" s="302"/>
      <c r="SYF7" s="302"/>
      <c r="SYG7" s="302"/>
      <c r="SYH7" s="302"/>
      <c r="SYI7" s="302"/>
      <c r="SYJ7" s="302"/>
      <c r="SYK7" s="302"/>
      <c r="SYL7" s="302"/>
      <c r="SYM7" s="302"/>
      <c r="SYN7" s="302"/>
      <c r="SYO7" s="302"/>
      <c r="SYP7" s="302"/>
      <c r="SYQ7" s="302"/>
      <c r="SYR7" s="302"/>
      <c r="SYS7" s="302"/>
      <c r="SYT7" s="302"/>
      <c r="SYU7" s="302"/>
      <c r="SYV7" s="302"/>
      <c r="SYW7" s="302"/>
      <c r="SYX7" s="302"/>
      <c r="SYY7" s="302"/>
      <c r="SYZ7" s="302"/>
      <c r="SZA7" s="302"/>
      <c r="SZB7" s="302"/>
      <c r="SZC7" s="302"/>
      <c r="SZD7" s="302"/>
      <c r="SZE7" s="302"/>
      <c r="SZF7" s="302"/>
      <c r="SZG7" s="302"/>
      <c r="SZH7" s="302"/>
      <c r="SZI7" s="302"/>
      <c r="SZJ7" s="302"/>
      <c r="SZK7" s="302"/>
      <c r="SZL7" s="302"/>
      <c r="SZM7" s="302"/>
      <c r="SZN7" s="302"/>
      <c r="SZO7" s="302"/>
      <c r="SZP7" s="302"/>
      <c r="SZQ7" s="302"/>
      <c r="SZR7" s="302"/>
      <c r="SZS7" s="302"/>
      <c r="SZT7" s="302"/>
      <c r="SZU7" s="302"/>
      <c r="SZV7" s="302"/>
      <c r="SZW7" s="302"/>
      <c r="SZX7" s="302"/>
      <c r="SZY7" s="302"/>
      <c r="SZZ7" s="302"/>
      <c r="TAA7" s="302"/>
      <c r="TAB7" s="302"/>
      <c r="TAC7" s="302"/>
      <c r="TAD7" s="302"/>
      <c r="TAE7" s="302"/>
      <c r="TAF7" s="302"/>
      <c r="TAG7" s="302"/>
      <c r="TAH7" s="302"/>
      <c r="TAI7" s="302"/>
      <c r="TAJ7" s="302"/>
      <c r="TAK7" s="302"/>
      <c r="TAL7" s="302"/>
      <c r="TAM7" s="302"/>
      <c r="TAN7" s="302"/>
      <c r="TAO7" s="302"/>
      <c r="TAP7" s="302"/>
      <c r="TAQ7" s="302"/>
      <c r="TAR7" s="302"/>
      <c r="TAS7" s="302"/>
      <c r="TAT7" s="302"/>
      <c r="TAU7" s="302"/>
      <c r="TAV7" s="302"/>
      <c r="TAW7" s="302"/>
      <c r="TAX7" s="302"/>
      <c r="TAY7" s="302"/>
      <c r="TAZ7" s="302"/>
      <c r="TBA7" s="302"/>
      <c r="TBB7" s="302"/>
      <c r="TBC7" s="302"/>
      <c r="TBD7" s="302"/>
      <c r="TBE7" s="302"/>
      <c r="TBF7" s="302"/>
      <c r="TBG7" s="302"/>
      <c r="TBH7" s="302"/>
      <c r="TBI7" s="302"/>
      <c r="TBJ7" s="302"/>
      <c r="TBK7" s="302"/>
      <c r="TBL7" s="302"/>
      <c r="TBM7" s="302"/>
      <c r="TBN7" s="302"/>
      <c r="TBO7" s="302"/>
      <c r="TBP7" s="302"/>
      <c r="TBQ7" s="302"/>
      <c r="TBR7" s="302"/>
      <c r="TBS7" s="302"/>
      <c r="TBT7" s="302"/>
      <c r="TBU7" s="302"/>
      <c r="TBV7" s="302"/>
      <c r="TBW7" s="302"/>
      <c r="TBX7" s="302"/>
      <c r="TBY7" s="302"/>
      <c r="TBZ7" s="302"/>
      <c r="TCA7" s="302"/>
      <c r="TCB7" s="302"/>
      <c r="TCC7" s="302"/>
      <c r="TCD7" s="302"/>
      <c r="TCE7" s="302"/>
      <c r="TCF7" s="302"/>
      <c r="TCG7" s="302"/>
      <c r="TCH7" s="302"/>
      <c r="TCI7" s="302"/>
      <c r="TCJ7" s="302"/>
      <c r="TCK7" s="302"/>
      <c r="TCL7" s="302"/>
      <c r="TCM7" s="302"/>
      <c r="TCN7" s="302"/>
      <c r="TCO7" s="302"/>
      <c r="TCP7" s="302"/>
      <c r="TCQ7" s="302"/>
      <c r="TCR7" s="302"/>
      <c r="TCS7" s="302"/>
      <c r="TCT7" s="302"/>
      <c r="TCU7" s="302"/>
      <c r="TCV7" s="302"/>
      <c r="TCW7" s="302"/>
      <c r="TCX7" s="302"/>
      <c r="TCY7" s="302"/>
      <c r="TCZ7" s="302"/>
      <c r="TDA7" s="302"/>
      <c r="TDB7" s="302"/>
      <c r="TDC7" s="302"/>
      <c r="TDD7" s="302"/>
      <c r="TDE7" s="302"/>
      <c r="TDF7" s="302"/>
      <c r="TDG7" s="302"/>
      <c r="TDH7" s="302"/>
      <c r="TDI7" s="302"/>
      <c r="TDJ7" s="302"/>
      <c r="TDK7" s="302"/>
      <c r="TDL7" s="302"/>
      <c r="TDM7" s="302"/>
      <c r="TDN7" s="302"/>
      <c r="TDO7" s="302"/>
      <c r="TDP7" s="302"/>
      <c r="TDQ7" s="302"/>
      <c r="TDR7" s="302"/>
      <c r="TDS7" s="302"/>
      <c r="TDT7" s="302"/>
      <c r="TDU7" s="302"/>
      <c r="TDV7" s="302"/>
      <c r="TDW7" s="302"/>
      <c r="TDX7" s="302"/>
      <c r="TDY7" s="302"/>
      <c r="TDZ7" s="302"/>
      <c r="TEA7" s="302"/>
      <c r="TEB7" s="302"/>
      <c r="TEC7" s="302"/>
      <c r="TED7" s="302"/>
      <c r="TEE7" s="302"/>
      <c r="TEF7" s="302"/>
      <c r="TEG7" s="302"/>
      <c r="TEH7" s="302"/>
      <c r="TEI7" s="302"/>
      <c r="TEJ7" s="302"/>
      <c r="TEK7" s="302"/>
      <c r="TEL7" s="302"/>
      <c r="TEM7" s="302"/>
      <c r="TEN7" s="302"/>
      <c r="TEO7" s="302"/>
      <c r="TEP7" s="302"/>
      <c r="TEQ7" s="302"/>
      <c r="TER7" s="302"/>
      <c r="TES7" s="302"/>
      <c r="TET7" s="302"/>
      <c r="TEU7" s="302"/>
      <c r="TEV7" s="302"/>
      <c r="TEW7" s="302"/>
      <c r="TEX7" s="302"/>
      <c r="TEY7" s="302"/>
      <c r="TEZ7" s="302"/>
      <c r="TFA7" s="302"/>
      <c r="TFB7" s="302"/>
      <c r="TFC7" s="302"/>
      <c r="TFD7" s="302"/>
      <c r="TFE7" s="302"/>
      <c r="TFF7" s="302"/>
      <c r="TFG7" s="302"/>
      <c r="TFH7" s="302"/>
      <c r="TFI7" s="302"/>
      <c r="TFJ7" s="302"/>
      <c r="TFK7" s="302"/>
      <c r="TFL7" s="302"/>
      <c r="TFM7" s="302"/>
      <c r="TFN7" s="302"/>
      <c r="TFO7" s="302"/>
      <c r="TFP7" s="302"/>
      <c r="TFQ7" s="302"/>
      <c r="TFR7" s="302"/>
      <c r="TFS7" s="302"/>
      <c r="TFT7" s="302"/>
      <c r="TFU7" s="302"/>
      <c r="TFV7" s="302"/>
      <c r="TFW7" s="302"/>
      <c r="TFX7" s="302"/>
      <c r="TFY7" s="302"/>
      <c r="TFZ7" s="302"/>
      <c r="TGA7" s="302"/>
      <c r="TGB7" s="302"/>
      <c r="TGC7" s="302"/>
      <c r="TGD7" s="302"/>
      <c r="TGE7" s="302"/>
      <c r="TGF7" s="302"/>
      <c r="TGG7" s="302"/>
      <c r="TGH7" s="302"/>
      <c r="TGI7" s="302"/>
      <c r="TGJ7" s="302"/>
      <c r="TGK7" s="302"/>
      <c r="TGL7" s="302"/>
      <c r="TGM7" s="302"/>
      <c r="TGN7" s="302"/>
      <c r="TGO7" s="302"/>
      <c r="TGP7" s="302"/>
      <c r="TGQ7" s="302"/>
      <c r="TGR7" s="302"/>
      <c r="TGS7" s="302"/>
      <c r="TGT7" s="302"/>
      <c r="TGU7" s="302"/>
      <c r="TGV7" s="302"/>
      <c r="TGW7" s="302"/>
      <c r="TGX7" s="302"/>
      <c r="TGY7" s="302"/>
      <c r="TGZ7" s="302"/>
      <c r="THA7" s="302"/>
      <c r="THB7" s="302"/>
      <c r="THC7" s="302"/>
      <c r="THD7" s="302"/>
      <c r="THE7" s="302"/>
      <c r="THF7" s="302"/>
      <c r="THG7" s="302"/>
      <c r="THH7" s="302"/>
      <c r="THI7" s="302"/>
      <c r="THJ7" s="302"/>
      <c r="THK7" s="302"/>
      <c r="THL7" s="302"/>
      <c r="THM7" s="302"/>
      <c r="THN7" s="302"/>
      <c r="THO7" s="302"/>
      <c r="THP7" s="302"/>
      <c r="THQ7" s="302"/>
      <c r="THR7" s="302"/>
      <c r="THS7" s="302"/>
      <c r="THT7" s="302"/>
      <c r="THU7" s="302"/>
      <c r="THV7" s="302"/>
      <c r="THW7" s="302"/>
      <c r="THX7" s="302"/>
      <c r="THY7" s="302"/>
      <c r="THZ7" s="302"/>
      <c r="TIA7" s="302"/>
      <c r="TIB7" s="302"/>
      <c r="TIC7" s="302"/>
      <c r="TID7" s="302"/>
      <c r="TIE7" s="302"/>
      <c r="TIF7" s="302"/>
      <c r="TIG7" s="302"/>
      <c r="TIH7" s="302"/>
      <c r="TII7" s="302"/>
      <c r="TIJ7" s="302"/>
      <c r="TIK7" s="302"/>
      <c r="TIL7" s="302"/>
      <c r="TIM7" s="302"/>
      <c r="TIN7" s="302"/>
      <c r="TIO7" s="302"/>
      <c r="TIP7" s="302"/>
      <c r="TIQ7" s="302"/>
      <c r="TIR7" s="302"/>
      <c r="TIS7" s="302"/>
      <c r="TIT7" s="302"/>
      <c r="TIU7" s="302"/>
      <c r="TIV7" s="302"/>
      <c r="TIW7" s="302"/>
      <c r="TIX7" s="302"/>
      <c r="TIY7" s="302"/>
      <c r="TIZ7" s="302"/>
      <c r="TJA7" s="302"/>
      <c r="TJB7" s="302"/>
      <c r="TJC7" s="302"/>
      <c r="TJD7" s="302"/>
      <c r="TJE7" s="302"/>
      <c r="TJF7" s="302"/>
      <c r="TJG7" s="302"/>
      <c r="TJH7" s="302"/>
      <c r="TJI7" s="302"/>
      <c r="TJJ7" s="302"/>
      <c r="TJK7" s="302"/>
      <c r="TJL7" s="302"/>
      <c r="TJM7" s="302"/>
      <c r="TJN7" s="302"/>
      <c r="TJO7" s="302"/>
      <c r="TJP7" s="302"/>
      <c r="TJQ7" s="302"/>
      <c r="TJR7" s="302"/>
      <c r="TJS7" s="302"/>
      <c r="TJT7" s="302"/>
      <c r="TJU7" s="302"/>
      <c r="TJV7" s="302"/>
      <c r="TJW7" s="302"/>
      <c r="TJX7" s="302"/>
      <c r="TJY7" s="302"/>
      <c r="TJZ7" s="302"/>
      <c r="TKA7" s="302"/>
      <c r="TKB7" s="302"/>
      <c r="TKC7" s="302"/>
      <c r="TKD7" s="302"/>
      <c r="TKE7" s="302"/>
      <c r="TKF7" s="302"/>
      <c r="TKG7" s="302"/>
      <c r="TKH7" s="302"/>
      <c r="TKI7" s="302"/>
      <c r="TKJ7" s="302"/>
      <c r="TKK7" s="302"/>
      <c r="TKL7" s="302"/>
      <c r="TKM7" s="302"/>
      <c r="TKN7" s="302"/>
      <c r="TKO7" s="302"/>
      <c r="TKP7" s="302"/>
      <c r="TKQ7" s="302"/>
      <c r="TKR7" s="302"/>
      <c r="TKS7" s="302"/>
      <c r="TKT7" s="302"/>
      <c r="TKU7" s="302"/>
      <c r="TKV7" s="302"/>
      <c r="TKW7" s="302"/>
      <c r="TKX7" s="302"/>
      <c r="TKY7" s="302"/>
      <c r="TKZ7" s="302"/>
      <c r="TLA7" s="302"/>
      <c r="TLB7" s="302"/>
      <c r="TLC7" s="302"/>
      <c r="TLD7" s="302"/>
      <c r="TLE7" s="302"/>
      <c r="TLF7" s="302"/>
      <c r="TLG7" s="302"/>
      <c r="TLH7" s="302"/>
      <c r="TLI7" s="302"/>
      <c r="TLJ7" s="302"/>
      <c r="TLK7" s="302"/>
      <c r="TLL7" s="302"/>
      <c r="TLM7" s="302"/>
      <c r="TLN7" s="302"/>
      <c r="TLO7" s="302"/>
      <c r="TLP7" s="302"/>
      <c r="TLQ7" s="302"/>
      <c r="TLR7" s="302"/>
      <c r="TLS7" s="302"/>
      <c r="TLT7" s="302"/>
      <c r="TLU7" s="302"/>
      <c r="TLV7" s="302"/>
      <c r="TLW7" s="302"/>
      <c r="TLX7" s="302"/>
      <c r="TLY7" s="302"/>
      <c r="TLZ7" s="302"/>
      <c r="TMA7" s="302"/>
      <c r="TMB7" s="302"/>
      <c r="TMC7" s="302"/>
      <c r="TMD7" s="302"/>
      <c r="TME7" s="302"/>
      <c r="TMF7" s="302"/>
      <c r="TMG7" s="302"/>
      <c r="TMH7" s="302"/>
      <c r="TMI7" s="302"/>
      <c r="TMJ7" s="302"/>
      <c r="TMK7" s="302"/>
      <c r="TML7" s="302"/>
      <c r="TMM7" s="302"/>
      <c r="TMN7" s="302"/>
      <c r="TMO7" s="302"/>
      <c r="TMP7" s="302"/>
      <c r="TMQ7" s="302"/>
      <c r="TMR7" s="302"/>
      <c r="TMS7" s="302"/>
      <c r="TMT7" s="302"/>
      <c r="TMU7" s="302"/>
      <c r="TMV7" s="302"/>
      <c r="TMW7" s="302"/>
      <c r="TMX7" s="302"/>
      <c r="TMY7" s="302"/>
      <c r="TMZ7" s="302"/>
      <c r="TNA7" s="302"/>
      <c r="TNB7" s="302"/>
      <c r="TNC7" s="302"/>
      <c r="TND7" s="302"/>
      <c r="TNE7" s="302"/>
      <c r="TNF7" s="302"/>
      <c r="TNG7" s="302"/>
      <c r="TNH7" s="302"/>
      <c r="TNI7" s="302"/>
      <c r="TNJ7" s="302"/>
      <c r="TNK7" s="302"/>
      <c r="TNL7" s="302"/>
      <c r="TNM7" s="302"/>
      <c r="TNN7" s="302"/>
      <c r="TNO7" s="302"/>
      <c r="TNP7" s="302"/>
      <c r="TNQ7" s="302"/>
      <c r="TNR7" s="302"/>
      <c r="TNS7" s="302"/>
      <c r="TNT7" s="302"/>
      <c r="TNU7" s="302"/>
      <c r="TNV7" s="302"/>
      <c r="TNW7" s="302"/>
      <c r="TNX7" s="302"/>
      <c r="TNY7" s="302"/>
      <c r="TNZ7" s="302"/>
      <c r="TOA7" s="302"/>
      <c r="TOB7" s="302"/>
      <c r="TOC7" s="302"/>
      <c r="TOD7" s="302"/>
      <c r="TOE7" s="302"/>
      <c r="TOF7" s="302"/>
      <c r="TOG7" s="302"/>
      <c r="TOH7" s="302"/>
      <c r="TOI7" s="302"/>
      <c r="TOJ7" s="302"/>
      <c r="TOK7" s="302"/>
      <c r="TOL7" s="302"/>
      <c r="TOM7" s="302"/>
      <c r="TON7" s="302"/>
      <c r="TOO7" s="302"/>
      <c r="TOP7" s="302"/>
      <c r="TOQ7" s="302"/>
      <c r="TOR7" s="302"/>
      <c r="TOS7" s="302"/>
      <c r="TOT7" s="302"/>
      <c r="TOU7" s="302"/>
      <c r="TOV7" s="302"/>
      <c r="TOW7" s="302"/>
      <c r="TOX7" s="302"/>
      <c r="TOY7" s="302"/>
      <c r="TOZ7" s="302"/>
      <c r="TPA7" s="302"/>
      <c r="TPB7" s="302"/>
      <c r="TPC7" s="302"/>
      <c r="TPD7" s="302"/>
      <c r="TPE7" s="302"/>
      <c r="TPF7" s="302"/>
      <c r="TPG7" s="302"/>
      <c r="TPH7" s="302"/>
      <c r="TPI7" s="302"/>
      <c r="TPJ7" s="302"/>
      <c r="TPK7" s="302"/>
      <c r="TPL7" s="302"/>
      <c r="TPM7" s="302"/>
      <c r="TPN7" s="302"/>
      <c r="TPO7" s="302"/>
      <c r="TPP7" s="302"/>
      <c r="TPQ7" s="302"/>
      <c r="TPR7" s="302"/>
      <c r="TPS7" s="302"/>
      <c r="TPT7" s="302"/>
      <c r="TPU7" s="302"/>
      <c r="TPV7" s="302"/>
      <c r="TPW7" s="302"/>
      <c r="TPX7" s="302"/>
      <c r="TPY7" s="302"/>
      <c r="TPZ7" s="302"/>
      <c r="TQA7" s="302"/>
      <c r="TQB7" s="302"/>
      <c r="TQC7" s="302"/>
      <c r="TQD7" s="302"/>
      <c r="TQE7" s="302"/>
      <c r="TQF7" s="302"/>
      <c r="TQG7" s="302"/>
      <c r="TQH7" s="302"/>
      <c r="TQI7" s="302"/>
      <c r="TQJ7" s="302"/>
      <c r="TQK7" s="302"/>
      <c r="TQL7" s="302"/>
      <c r="TQM7" s="302"/>
      <c r="TQN7" s="302"/>
      <c r="TQO7" s="302"/>
      <c r="TQP7" s="302"/>
      <c r="TQQ7" s="302"/>
      <c r="TQR7" s="302"/>
      <c r="TQS7" s="302"/>
      <c r="TQT7" s="302"/>
      <c r="TQU7" s="302"/>
      <c r="TQV7" s="302"/>
      <c r="TQW7" s="302"/>
      <c r="TQX7" s="302"/>
      <c r="TQY7" s="302"/>
      <c r="TQZ7" s="302"/>
      <c r="TRA7" s="302"/>
      <c r="TRB7" s="302"/>
      <c r="TRC7" s="302"/>
      <c r="TRD7" s="302"/>
      <c r="TRE7" s="302"/>
      <c r="TRF7" s="302"/>
      <c r="TRG7" s="302"/>
      <c r="TRH7" s="302"/>
      <c r="TRI7" s="302"/>
      <c r="TRJ7" s="302"/>
      <c r="TRK7" s="302"/>
      <c r="TRL7" s="302"/>
      <c r="TRM7" s="302"/>
      <c r="TRN7" s="302"/>
      <c r="TRO7" s="302"/>
      <c r="TRP7" s="302"/>
      <c r="TRQ7" s="302"/>
      <c r="TRR7" s="302"/>
      <c r="TRS7" s="302"/>
      <c r="TRT7" s="302"/>
      <c r="TRU7" s="302"/>
      <c r="TRV7" s="302"/>
      <c r="TRW7" s="302"/>
      <c r="TRX7" s="302"/>
      <c r="TRY7" s="302"/>
      <c r="TRZ7" s="302"/>
      <c r="TSA7" s="302"/>
      <c r="TSB7" s="302"/>
      <c r="TSC7" s="302"/>
      <c r="TSD7" s="302"/>
      <c r="TSE7" s="302"/>
      <c r="TSF7" s="302"/>
      <c r="TSG7" s="302"/>
      <c r="TSH7" s="302"/>
      <c r="TSI7" s="302"/>
      <c r="TSJ7" s="302"/>
      <c r="TSK7" s="302"/>
      <c r="TSL7" s="302"/>
      <c r="TSM7" s="302"/>
      <c r="TSN7" s="302"/>
      <c r="TSO7" s="302"/>
      <c r="TSP7" s="302"/>
      <c r="TSQ7" s="302"/>
      <c r="TSR7" s="302"/>
      <c r="TSS7" s="302"/>
      <c r="TST7" s="302"/>
      <c r="TSU7" s="302"/>
      <c r="TSV7" s="302"/>
      <c r="TSW7" s="302"/>
      <c r="TSX7" s="302"/>
      <c r="TSY7" s="302"/>
      <c r="TSZ7" s="302"/>
      <c r="TTA7" s="302"/>
      <c r="TTB7" s="302"/>
      <c r="TTC7" s="302"/>
      <c r="TTD7" s="302"/>
      <c r="TTE7" s="302"/>
      <c r="TTF7" s="302"/>
      <c r="TTG7" s="302"/>
      <c r="TTH7" s="302"/>
      <c r="TTI7" s="302"/>
      <c r="TTJ7" s="302"/>
      <c r="TTK7" s="302"/>
      <c r="TTL7" s="302"/>
      <c r="TTM7" s="302"/>
      <c r="TTN7" s="302"/>
      <c r="TTO7" s="302"/>
      <c r="TTP7" s="302"/>
      <c r="TTQ7" s="302"/>
      <c r="TTR7" s="302"/>
      <c r="TTS7" s="302"/>
      <c r="TTT7" s="302"/>
      <c r="TTU7" s="302"/>
      <c r="TTV7" s="302"/>
      <c r="TTW7" s="302"/>
      <c r="TTX7" s="302"/>
      <c r="TTY7" s="302"/>
      <c r="TTZ7" s="302"/>
      <c r="TUA7" s="302"/>
      <c r="TUB7" s="302"/>
      <c r="TUC7" s="302"/>
      <c r="TUD7" s="302"/>
      <c r="TUE7" s="302"/>
      <c r="TUF7" s="302"/>
      <c r="TUG7" s="302"/>
      <c r="TUH7" s="302"/>
      <c r="TUI7" s="302"/>
      <c r="TUJ7" s="302"/>
      <c r="TUK7" s="302"/>
      <c r="TUL7" s="302"/>
      <c r="TUM7" s="302"/>
      <c r="TUN7" s="302"/>
      <c r="TUO7" s="302"/>
      <c r="TUP7" s="302"/>
      <c r="TUQ7" s="302"/>
      <c r="TUR7" s="302"/>
      <c r="TUS7" s="302"/>
      <c r="TUT7" s="302"/>
      <c r="TUU7" s="302"/>
      <c r="TUV7" s="302"/>
      <c r="TUW7" s="302"/>
      <c r="TUX7" s="302"/>
      <c r="TUY7" s="302"/>
      <c r="TUZ7" s="302"/>
      <c r="TVA7" s="302"/>
      <c r="TVB7" s="302"/>
      <c r="TVC7" s="302"/>
      <c r="TVD7" s="302"/>
      <c r="TVE7" s="302"/>
      <c r="TVF7" s="302"/>
      <c r="TVG7" s="302"/>
      <c r="TVH7" s="302"/>
      <c r="TVI7" s="302"/>
      <c r="TVJ7" s="302"/>
      <c r="TVK7" s="302"/>
      <c r="TVL7" s="302"/>
      <c r="TVM7" s="302"/>
      <c r="TVN7" s="302"/>
      <c r="TVO7" s="302"/>
      <c r="TVP7" s="302"/>
      <c r="TVQ7" s="302"/>
      <c r="TVR7" s="302"/>
      <c r="TVS7" s="302"/>
      <c r="TVT7" s="302"/>
      <c r="TVU7" s="302"/>
      <c r="TVV7" s="302"/>
      <c r="TVW7" s="302"/>
      <c r="TVX7" s="302"/>
      <c r="TVY7" s="302"/>
      <c r="TVZ7" s="302"/>
      <c r="TWA7" s="302"/>
      <c r="TWB7" s="302"/>
      <c r="TWC7" s="302"/>
      <c r="TWD7" s="302"/>
      <c r="TWE7" s="302"/>
      <c r="TWF7" s="302"/>
      <c r="TWG7" s="302"/>
      <c r="TWH7" s="302"/>
      <c r="TWI7" s="302"/>
      <c r="TWJ7" s="302"/>
      <c r="TWK7" s="302"/>
      <c r="TWL7" s="302"/>
      <c r="TWM7" s="302"/>
      <c r="TWN7" s="302"/>
      <c r="TWO7" s="302"/>
      <c r="TWP7" s="302"/>
      <c r="TWQ7" s="302"/>
      <c r="TWR7" s="302"/>
      <c r="TWS7" s="302"/>
      <c r="TWT7" s="302"/>
      <c r="TWU7" s="302"/>
      <c r="TWV7" s="302"/>
      <c r="TWW7" s="302"/>
      <c r="TWX7" s="302"/>
      <c r="TWY7" s="302"/>
      <c r="TWZ7" s="302"/>
      <c r="TXA7" s="302"/>
      <c r="TXB7" s="302"/>
      <c r="TXC7" s="302"/>
      <c r="TXD7" s="302"/>
      <c r="TXE7" s="302"/>
      <c r="TXF7" s="302"/>
      <c r="TXG7" s="302"/>
      <c r="TXH7" s="302"/>
      <c r="TXI7" s="302"/>
      <c r="TXJ7" s="302"/>
      <c r="TXK7" s="302"/>
      <c r="TXL7" s="302"/>
      <c r="TXM7" s="302"/>
      <c r="TXN7" s="302"/>
      <c r="TXO7" s="302"/>
      <c r="TXP7" s="302"/>
      <c r="TXQ7" s="302"/>
      <c r="TXR7" s="302"/>
      <c r="TXS7" s="302"/>
      <c r="TXT7" s="302"/>
      <c r="TXU7" s="302"/>
      <c r="TXV7" s="302"/>
      <c r="TXW7" s="302"/>
      <c r="TXX7" s="302"/>
      <c r="TXY7" s="302"/>
      <c r="TXZ7" s="302"/>
      <c r="TYA7" s="302"/>
      <c r="TYB7" s="302"/>
      <c r="TYC7" s="302"/>
      <c r="TYD7" s="302"/>
      <c r="TYE7" s="302"/>
      <c r="TYF7" s="302"/>
      <c r="TYG7" s="302"/>
      <c r="TYH7" s="302"/>
      <c r="TYI7" s="302"/>
      <c r="TYJ7" s="302"/>
      <c r="TYK7" s="302"/>
      <c r="TYL7" s="302"/>
      <c r="TYM7" s="302"/>
      <c r="TYN7" s="302"/>
      <c r="TYO7" s="302"/>
      <c r="TYP7" s="302"/>
      <c r="TYQ7" s="302"/>
      <c r="TYR7" s="302"/>
      <c r="TYS7" s="302"/>
      <c r="TYT7" s="302"/>
      <c r="TYU7" s="302"/>
      <c r="TYV7" s="302"/>
      <c r="TYW7" s="302"/>
      <c r="TYX7" s="302"/>
      <c r="TYY7" s="302"/>
      <c r="TYZ7" s="302"/>
      <c r="TZA7" s="302"/>
      <c r="TZB7" s="302"/>
      <c r="TZC7" s="302"/>
      <c r="TZD7" s="302"/>
      <c r="TZE7" s="302"/>
      <c r="TZF7" s="302"/>
      <c r="TZG7" s="302"/>
      <c r="TZH7" s="302"/>
      <c r="TZI7" s="302"/>
      <c r="TZJ7" s="302"/>
      <c r="TZK7" s="302"/>
      <c r="TZL7" s="302"/>
      <c r="TZM7" s="302"/>
      <c r="TZN7" s="302"/>
      <c r="TZO7" s="302"/>
      <c r="TZP7" s="302"/>
      <c r="TZQ7" s="302"/>
      <c r="TZR7" s="302"/>
      <c r="TZS7" s="302"/>
      <c r="TZT7" s="302"/>
      <c r="TZU7" s="302"/>
      <c r="TZV7" s="302"/>
      <c r="TZW7" s="302"/>
      <c r="TZX7" s="302"/>
      <c r="TZY7" s="302"/>
      <c r="TZZ7" s="302"/>
      <c r="UAA7" s="302"/>
      <c r="UAB7" s="302"/>
      <c r="UAC7" s="302"/>
      <c r="UAD7" s="302"/>
      <c r="UAE7" s="302"/>
      <c r="UAF7" s="302"/>
      <c r="UAG7" s="302"/>
      <c r="UAH7" s="302"/>
      <c r="UAI7" s="302"/>
      <c r="UAJ7" s="302"/>
      <c r="UAK7" s="302"/>
      <c r="UAL7" s="302"/>
      <c r="UAM7" s="302"/>
      <c r="UAN7" s="302"/>
      <c r="UAO7" s="302"/>
      <c r="UAP7" s="302"/>
      <c r="UAQ7" s="302"/>
      <c r="UAR7" s="302"/>
      <c r="UAS7" s="302"/>
      <c r="UAT7" s="302"/>
      <c r="UAU7" s="302"/>
      <c r="UAV7" s="302"/>
      <c r="UAW7" s="302"/>
      <c r="UAX7" s="302"/>
      <c r="UAY7" s="302"/>
      <c r="UAZ7" s="302"/>
      <c r="UBA7" s="302"/>
      <c r="UBB7" s="302"/>
      <c r="UBC7" s="302"/>
      <c r="UBD7" s="302"/>
      <c r="UBE7" s="302"/>
      <c r="UBF7" s="302"/>
      <c r="UBG7" s="302"/>
      <c r="UBH7" s="302"/>
      <c r="UBI7" s="302"/>
      <c r="UBJ7" s="302"/>
      <c r="UBK7" s="302"/>
      <c r="UBL7" s="302"/>
      <c r="UBM7" s="302"/>
      <c r="UBN7" s="302"/>
      <c r="UBO7" s="302"/>
      <c r="UBP7" s="302"/>
      <c r="UBQ7" s="302"/>
      <c r="UBR7" s="302"/>
      <c r="UBS7" s="302"/>
      <c r="UBT7" s="302"/>
      <c r="UBU7" s="302"/>
      <c r="UBV7" s="302"/>
      <c r="UBW7" s="302"/>
      <c r="UBX7" s="302"/>
      <c r="UBY7" s="302"/>
      <c r="UBZ7" s="302"/>
      <c r="UCA7" s="302"/>
      <c r="UCB7" s="302"/>
      <c r="UCC7" s="302"/>
      <c r="UCD7" s="302"/>
      <c r="UCE7" s="302"/>
      <c r="UCF7" s="302"/>
      <c r="UCG7" s="302"/>
      <c r="UCH7" s="302"/>
      <c r="UCI7" s="302"/>
      <c r="UCJ7" s="302"/>
      <c r="UCK7" s="302"/>
      <c r="UCL7" s="302"/>
      <c r="UCM7" s="302"/>
      <c r="UCN7" s="302"/>
      <c r="UCO7" s="302"/>
      <c r="UCP7" s="302"/>
      <c r="UCQ7" s="302"/>
      <c r="UCR7" s="302"/>
      <c r="UCS7" s="302"/>
      <c r="UCT7" s="302"/>
      <c r="UCU7" s="302"/>
      <c r="UCV7" s="302"/>
      <c r="UCW7" s="302"/>
      <c r="UCX7" s="302"/>
      <c r="UCY7" s="302"/>
      <c r="UCZ7" s="302"/>
      <c r="UDA7" s="302"/>
      <c r="UDB7" s="302"/>
      <c r="UDC7" s="302"/>
      <c r="UDD7" s="302"/>
      <c r="UDE7" s="302"/>
      <c r="UDF7" s="302"/>
      <c r="UDG7" s="302"/>
      <c r="UDH7" s="302"/>
      <c r="UDI7" s="302"/>
      <c r="UDJ7" s="302"/>
      <c r="UDK7" s="302"/>
      <c r="UDL7" s="302"/>
      <c r="UDM7" s="302"/>
      <c r="UDN7" s="302"/>
      <c r="UDO7" s="302"/>
      <c r="UDP7" s="302"/>
      <c r="UDQ7" s="302"/>
      <c r="UDR7" s="302"/>
      <c r="UDS7" s="302"/>
      <c r="UDT7" s="302"/>
      <c r="UDU7" s="302"/>
      <c r="UDV7" s="302"/>
      <c r="UDW7" s="302"/>
      <c r="UDX7" s="302"/>
      <c r="UDY7" s="302"/>
      <c r="UDZ7" s="302"/>
      <c r="UEA7" s="302"/>
      <c r="UEB7" s="302"/>
      <c r="UEC7" s="302"/>
      <c r="UED7" s="302"/>
      <c r="UEE7" s="302"/>
      <c r="UEF7" s="302"/>
      <c r="UEG7" s="302"/>
      <c r="UEH7" s="302"/>
      <c r="UEI7" s="302"/>
      <c r="UEJ7" s="302"/>
      <c r="UEK7" s="302"/>
      <c r="UEL7" s="302"/>
      <c r="UEM7" s="302"/>
      <c r="UEN7" s="302"/>
      <c r="UEO7" s="302"/>
      <c r="UEP7" s="302"/>
      <c r="UEQ7" s="302"/>
      <c r="UER7" s="302"/>
      <c r="UES7" s="302"/>
      <c r="UET7" s="302"/>
      <c r="UEU7" s="302"/>
      <c r="UEV7" s="302"/>
      <c r="UEW7" s="302"/>
      <c r="UEX7" s="302"/>
      <c r="UEY7" s="302"/>
      <c r="UEZ7" s="302"/>
      <c r="UFA7" s="302"/>
      <c r="UFB7" s="302"/>
      <c r="UFC7" s="302"/>
      <c r="UFD7" s="302"/>
      <c r="UFE7" s="302"/>
      <c r="UFF7" s="302"/>
      <c r="UFG7" s="302"/>
      <c r="UFH7" s="302"/>
      <c r="UFI7" s="302"/>
      <c r="UFJ7" s="302"/>
      <c r="UFK7" s="302"/>
      <c r="UFL7" s="302"/>
      <c r="UFM7" s="302"/>
      <c r="UFN7" s="302"/>
      <c r="UFO7" s="302"/>
      <c r="UFP7" s="302"/>
      <c r="UFQ7" s="302"/>
      <c r="UFR7" s="302"/>
      <c r="UFS7" s="302"/>
      <c r="UFT7" s="302"/>
      <c r="UFU7" s="302"/>
      <c r="UFV7" s="302"/>
      <c r="UFW7" s="302"/>
      <c r="UFX7" s="302"/>
      <c r="UFY7" s="302"/>
      <c r="UFZ7" s="302"/>
      <c r="UGA7" s="302"/>
      <c r="UGB7" s="302"/>
      <c r="UGC7" s="302"/>
      <c r="UGD7" s="302"/>
      <c r="UGE7" s="302"/>
      <c r="UGF7" s="302"/>
      <c r="UGG7" s="302"/>
      <c r="UGH7" s="302"/>
      <c r="UGI7" s="302"/>
      <c r="UGJ7" s="302"/>
      <c r="UGK7" s="302"/>
      <c r="UGL7" s="302"/>
      <c r="UGM7" s="302"/>
      <c r="UGN7" s="302"/>
      <c r="UGO7" s="302"/>
      <c r="UGP7" s="302"/>
      <c r="UGQ7" s="302"/>
      <c r="UGR7" s="302"/>
      <c r="UGS7" s="302"/>
      <c r="UGT7" s="302"/>
      <c r="UGU7" s="302"/>
      <c r="UGV7" s="302"/>
      <c r="UGW7" s="302"/>
      <c r="UGX7" s="302"/>
      <c r="UGY7" s="302"/>
      <c r="UGZ7" s="302"/>
      <c r="UHA7" s="302"/>
      <c r="UHB7" s="302"/>
      <c r="UHC7" s="302"/>
      <c r="UHD7" s="302"/>
      <c r="UHE7" s="302"/>
      <c r="UHF7" s="302"/>
      <c r="UHG7" s="302"/>
      <c r="UHH7" s="302"/>
      <c r="UHI7" s="302"/>
      <c r="UHJ7" s="302"/>
      <c r="UHK7" s="302"/>
      <c r="UHL7" s="302"/>
      <c r="UHM7" s="302"/>
      <c r="UHN7" s="302"/>
      <c r="UHO7" s="302"/>
      <c r="UHP7" s="302"/>
      <c r="UHQ7" s="302"/>
      <c r="UHR7" s="302"/>
      <c r="UHS7" s="302"/>
      <c r="UHT7" s="302"/>
      <c r="UHU7" s="302"/>
      <c r="UHV7" s="302"/>
      <c r="UHW7" s="302"/>
      <c r="UHX7" s="302"/>
      <c r="UHY7" s="302"/>
      <c r="UHZ7" s="302"/>
      <c r="UIA7" s="302"/>
      <c r="UIB7" s="302"/>
      <c r="UIC7" s="302"/>
      <c r="UID7" s="302"/>
      <c r="UIE7" s="302"/>
      <c r="UIF7" s="302"/>
      <c r="UIG7" s="302"/>
      <c r="UIH7" s="302"/>
      <c r="UII7" s="302"/>
      <c r="UIJ7" s="302"/>
      <c r="UIK7" s="302"/>
      <c r="UIL7" s="302"/>
      <c r="UIM7" s="302"/>
      <c r="UIN7" s="302"/>
      <c r="UIO7" s="302"/>
      <c r="UIP7" s="302"/>
      <c r="UIQ7" s="302"/>
      <c r="UIR7" s="302"/>
      <c r="UIS7" s="302"/>
      <c r="UIT7" s="302"/>
      <c r="UIU7" s="302"/>
      <c r="UIV7" s="302"/>
      <c r="UIW7" s="302"/>
      <c r="UIX7" s="302"/>
      <c r="UIY7" s="302"/>
      <c r="UIZ7" s="302"/>
      <c r="UJA7" s="302"/>
      <c r="UJB7" s="302"/>
      <c r="UJC7" s="302"/>
      <c r="UJD7" s="302"/>
      <c r="UJE7" s="302"/>
      <c r="UJF7" s="302"/>
      <c r="UJG7" s="302"/>
      <c r="UJH7" s="302"/>
      <c r="UJI7" s="302"/>
      <c r="UJJ7" s="302"/>
      <c r="UJK7" s="302"/>
      <c r="UJL7" s="302"/>
      <c r="UJM7" s="302"/>
      <c r="UJN7" s="302"/>
      <c r="UJO7" s="302"/>
      <c r="UJP7" s="302"/>
      <c r="UJQ7" s="302"/>
      <c r="UJR7" s="302"/>
      <c r="UJS7" s="302"/>
      <c r="UJT7" s="302"/>
      <c r="UJU7" s="302"/>
      <c r="UJV7" s="302"/>
      <c r="UJW7" s="302"/>
      <c r="UJX7" s="302"/>
      <c r="UJY7" s="302"/>
      <c r="UJZ7" s="302"/>
      <c r="UKA7" s="302"/>
      <c r="UKB7" s="302"/>
      <c r="UKC7" s="302"/>
      <c r="UKD7" s="302"/>
      <c r="UKE7" s="302"/>
      <c r="UKF7" s="302"/>
      <c r="UKG7" s="302"/>
      <c r="UKH7" s="302"/>
      <c r="UKI7" s="302"/>
      <c r="UKJ7" s="302"/>
      <c r="UKK7" s="302"/>
      <c r="UKL7" s="302"/>
      <c r="UKM7" s="302"/>
      <c r="UKN7" s="302"/>
      <c r="UKO7" s="302"/>
      <c r="UKP7" s="302"/>
      <c r="UKQ7" s="302"/>
      <c r="UKR7" s="302"/>
      <c r="UKS7" s="302"/>
      <c r="UKT7" s="302"/>
      <c r="UKU7" s="302"/>
      <c r="UKV7" s="302"/>
      <c r="UKW7" s="302"/>
      <c r="UKX7" s="302"/>
      <c r="UKY7" s="302"/>
      <c r="UKZ7" s="302"/>
      <c r="ULA7" s="302"/>
      <c r="ULB7" s="302"/>
      <c r="ULC7" s="302"/>
      <c r="ULD7" s="302"/>
      <c r="ULE7" s="302"/>
      <c r="ULF7" s="302"/>
      <c r="ULG7" s="302"/>
      <c r="ULH7" s="302"/>
      <c r="ULI7" s="302"/>
      <c r="ULJ7" s="302"/>
      <c r="ULK7" s="302"/>
      <c r="ULL7" s="302"/>
      <c r="ULM7" s="302"/>
      <c r="ULN7" s="302"/>
      <c r="ULO7" s="302"/>
      <c r="ULP7" s="302"/>
      <c r="ULQ7" s="302"/>
      <c r="ULR7" s="302"/>
      <c r="ULS7" s="302"/>
      <c r="ULT7" s="302"/>
      <c r="ULU7" s="302"/>
      <c r="ULV7" s="302"/>
      <c r="ULW7" s="302"/>
      <c r="ULX7" s="302"/>
      <c r="ULY7" s="302"/>
      <c r="ULZ7" s="302"/>
      <c r="UMA7" s="302"/>
      <c r="UMB7" s="302"/>
      <c r="UMC7" s="302"/>
      <c r="UMD7" s="302"/>
      <c r="UME7" s="302"/>
      <c r="UMF7" s="302"/>
      <c r="UMG7" s="302"/>
      <c r="UMH7" s="302"/>
      <c r="UMI7" s="302"/>
      <c r="UMJ7" s="302"/>
      <c r="UMK7" s="302"/>
      <c r="UML7" s="302"/>
      <c r="UMM7" s="302"/>
      <c r="UMN7" s="302"/>
      <c r="UMO7" s="302"/>
      <c r="UMP7" s="302"/>
      <c r="UMQ7" s="302"/>
      <c r="UMR7" s="302"/>
      <c r="UMS7" s="302"/>
      <c r="UMT7" s="302"/>
      <c r="UMU7" s="302"/>
      <c r="UMV7" s="302"/>
      <c r="UMW7" s="302"/>
      <c r="UMX7" s="302"/>
      <c r="UMY7" s="302"/>
      <c r="UMZ7" s="302"/>
      <c r="UNA7" s="302"/>
      <c r="UNB7" s="302"/>
      <c r="UNC7" s="302"/>
      <c r="UND7" s="302"/>
      <c r="UNE7" s="302"/>
      <c r="UNF7" s="302"/>
      <c r="UNG7" s="302"/>
      <c r="UNH7" s="302"/>
      <c r="UNI7" s="302"/>
      <c r="UNJ7" s="302"/>
      <c r="UNK7" s="302"/>
      <c r="UNL7" s="302"/>
      <c r="UNM7" s="302"/>
      <c r="UNN7" s="302"/>
      <c r="UNO7" s="302"/>
      <c r="UNP7" s="302"/>
      <c r="UNQ7" s="302"/>
      <c r="UNR7" s="302"/>
      <c r="UNS7" s="302"/>
      <c r="UNT7" s="302"/>
      <c r="UNU7" s="302"/>
      <c r="UNV7" s="302"/>
      <c r="UNW7" s="302"/>
      <c r="UNX7" s="302"/>
      <c r="UNY7" s="302"/>
      <c r="UNZ7" s="302"/>
      <c r="UOA7" s="302"/>
      <c r="UOB7" s="302"/>
      <c r="UOC7" s="302"/>
      <c r="UOD7" s="302"/>
      <c r="UOE7" s="302"/>
      <c r="UOF7" s="302"/>
      <c r="UOG7" s="302"/>
      <c r="UOH7" s="302"/>
      <c r="UOI7" s="302"/>
      <c r="UOJ7" s="302"/>
      <c r="UOK7" s="302"/>
      <c r="UOL7" s="302"/>
      <c r="UOM7" s="302"/>
      <c r="UON7" s="302"/>
      <c r="UOO7" s="302"/>
      <c r="UOP7" s="302"/>
      <c r="UOQ7" s="302"/>
      <c r="UOR7" s="302"/>
      <c r="UOS7" s="302"/>
      <c r="UOT7" s="302"/>
      <c r="UOU7" s="302"/>
      <c r="UOV7" s="302"/>
      <c r="UOW7" s="302"/>
      <c r="UOX7" s="302"/>
      <c r="UOY7" s="302"/>
      <c r="UOZ7" s="302"/>
      <c r="UPA7" s="302"/>
      <c r="UPB7" s="302"/>
      <c r="UPC7" s="302"/>
      <c r="UPD7" s="302"/>
      <c r="UPE7" s="302"/>
      <c r="UPF7" s="302"/>
      <c r="UPG7" s="302"/>
      <c r="UPH7" s="302"/>
      <c r="UPI7" s="302"/>
      <c r="UPJ7" s="302"/>
      <c r="UPK7" s="302"/>
      <c r="UPL7" s="302"/>
      <c r="UPM7" s="302"/>
      <c r="UPN7" s="302"/>
      <c r="UPO7" s="302"/>
      <c r="UPP7" s="302"/>
      <c r="UPQ7" s="302"/>
      <c r="UPR7" s="302"/>
      <c r="UPS7" s="302"/>
      <c r="UPT7" s="302"/>
      <c r="UPU7" s="302"/>
      <c r="UPV7" s="302"/>
      <c r="UPW7" s="302"/>
      <c r="UPX7" s="302"/>
      <c r="UPY7" s="302"/>
      <c r="UPZ7" s="302"/>
      <c r="UQA7" s="302"/>
      <c r="UQB7" s="302"/>
      <c r="UQC7" s="302"/>
      <c r="UQD7" s="302"/>
      <c r="UQE7" s="302"/>
      <c r="UQF7" s="302"/>
      <c r="UQG7" s="302"/>
      <c r="UQH7" s="302"/>
      <c r="UQI7" s="302"/>
      <c r="UQJ7" s="302"/>
      <c r="UQK7" s="302"/>
      <c r="UQL7" s="302"/>
      <c r="UQM7" s="302"/>
      <c r="UQN7" s="302"/>
      <c r="UQO7" s="302"/>
      <c r="UQP7" s="302"/>
      <c r="UQQ7" s="302"/>
      <c r="UQR7" s="302"/>
      <c r="UQS7" s="302"/>
      <c r="UQT7" s="302"/>
      <c r="UQU7" s="302"/>
      <c r="UQV7" s="302"/>
      <c r="UQW7" s="302"/>
      <c r="UQX7" s="302"/>
      <c r="UQY7" s="302"/>
      <c r="UQZ7" s="302"/>
      <c r="URA7" s="302"/>
      <c r="URB7" s="302"/>
      <c r="URC7" s="302"/>
      <c r="URD7" s="302"/>
      <c r="URE7" s="302"/>
      <c r="URF7" s="302"/>
      <c r="URG7" s="302"/>
      <c r="URH7" s="302"/>
      <c r="URI7" s="302"/>
      <c r="URJ7" s="302"/>
      <c r="URK7" s="302"/>
      <c r="URL7" s="302"/>
      <c r="URM7" s="302"/>
      <c r="URN7" s="302"/>
      <c r="URO7" s="302"/>
      <c r="URP7" s="302"/>
      <c r="URQ7" s="302"/>
      <c r="URR7" s="302"/>
      <c r="URS7" s="302"/>
      <c r="URT7" s="302"/>
      <c r="URU7" s="302"/>
      <c r="URV7" s="302"/>
      <c r="URW7" s="302"/>
      <c r="URX7" s="302"/>
      <c r="URY7" s="302"/>
      <c r="URZ7" s="302"/>
      <c r="USA7" s="302"/>
      <c r="USB7" s="302"/>
      <c r="USC7" s="302"/>
      <c r="USD7" s="302"/>
      <c r="USE7" s="302"/>
      <c r="USF7" s="302"/>
      <c r="USG7" s="302"/>
      <c r="USH7" s="302"/>
      <c r="USI7" s="302"/>
      <c r="USJ7" s="302"/>
      <c r="USK7" s="302"/>
      <c r="USL7" s="302"/>
      <c r="USM7" s="302"/>
      <c r="USN7" s="302"/>
      <c r="USO7" s="302"/>
      <c r="USP7" s="302"/>
      <c r="USQ7" s="302"/>
      <c r="USR7" s="302"/>
      <c r="USS7" s="302"/>
      <c r="UST7" s="302"/>
      <c r="USU7" s="302"/>
      <c r="USV7" s="302"/>
      <c r="USW7" s="302"/>
      <c r="USX7" s="302"/>
      <c r="USY7" s="302"/>
      <c r="USZ7" s="302"/>
      <c r="UTA7" s="302"/>
      <c r="UTB7" s="302"/>
      <c r="UTC7" s="302"/>
      <c r="UTD7" s="302"/>
      <c r="UTE7" s="302"/>
      <c r="UTF7" s="302"/>
      <c r="UTG7" s="302"/>
      <c r="UTH7" s="302"/>
      <c r="UTI7" s="302"/>
      <c r="UTJ7" s="302"/>
      <c r="UTK7" s="302"/>
      <c r="UTL7" s="302"/>
      <c r="UTM7" s="302"/>
      <c r="UTN7" s="302"/>
      <c r="UTO7" s="302"/>
      <c r="UTP7" s="302"/>
      <c r="UTQ7" s="302"/>
      <c r="UTR7" s="302"/>
      <c r="UTS7" s="302"/>
      <c r="UTT7" s="302"/>
      <c r="UTU7" s="302"/>
      <c r="UTV7" s="302"/>
      <c r="UTW7" s="302"/>
      <c r="UTX7" s="302"/>
      <c r="UTY7" s="302"/>
      <c r="UTZ7" s="302"/>
      <c r="UUA7" s="302"/>
      <c r="UUB7" s="302"/>
      <c r="UUC7" s="302"/>
      <c r="UUD7" s="302"/>
      <c r="UUE7" s="302"/>
      <c r="UUF7" s="302"/>
      <c r="UUG7" s="302"/>
      <c r="UUH7" s="302"/>
      <c r="UUI7" s="302"/>
      <c r="UUJ7" s="302"/>
      <c r="UUK7" s="302"/>
      <c r="UUL7" s="302"/>
      <c r="UUM7" s="302"/>
      <c r="UUN7" s="302"/>
      <c r="UUO7" s="302"/>
      <c r="UUP7" s="302"/>
      <c r="UUQ7" s="302"/>
      <c r="UUR7" s="302"/>
      <c r="UUS7" s="302"/>
      <c r="UUT7" s="302"/>
      <c r="UUU7" s="302"/>
      <c r="UUV7" s="302"/>
      <c r="UUW7" s="302"/>
      <c r="UUX7" s="302"/>
      <c r="UUY7" s="302"/>
      <c r="UUZ7" s="302"/>
      <c r="UVA7" s="302"/>
      <c r="UVB7" s="302"/>
      <c r="UVC7" s="302"/>
      <c r="UVD7" s="302"/>
      <c r="UVE7" s="302"/>
      <c r="UVF7" s="302"/>
      <c r="UVG7" s="302"/>
      <c r="UVH7" s="302"/>
      <c r="UVI7" s="302"/>
      <c r="UVJ7" s="302"/>
      <c r="UVK7" s="302"/>
      <c r="UVL7" s="302"/>
      <c r="UVM7" s="302"/>
      <c r="UVN7" s="302"/>
      <c r="UVO7" s="302"/>
      <c r="UVP7" s="302"/>
      <c r="UVQ7" s="302"/>
      <c r="UVR7" s="302"/>
      <c r="UVS7" s="302"/>
      <c r="UVT7" s="302"/>
      <c r="UVU7" s="302"/>
      <c r="UVV7" s="302"/>
      <c r="UVW7" s="302"/>
      <c r="UVX7" s="302"/>
      <c r="UVY7" s="302"/>
      <c r="UVZ7" s="302"/>
      <c r="UWA7" s="302"/>
      <c r="UWB7" s="302"/>
      <c r="UWC7" s="302"/>
      <c r="UWD7" s="302"/>
      <c r="UWE7" s="302"/>
      <c r="UWF7" s="302"/>
      <c r="UWG7" s="302"/>
      <c r="UWH7" s="302"/>
      <c r="UWI7" s="302"/>
      <c r="UWJ7" s="302"/>
      <c r="UWK7" s="302"/>
      <c r="UWL7" s="302"/>
      <c r="UWM7" s="302"/>
      <c r="UWN7" s="302"/>
      <c r="UWO7" s="302"/>
      <c r="UWP7" s="302"/>
      <c r="UWQ7" s="302"/>
      <c r="UWR7" s="302"/>
      <c r="UWS7" s="302"/>
      <c r="UWT7" s="302"/>
      <c r="UWU7" s="302"/>
      <c r="UWV7" s="302"/>
      <c r="UWW7" s="302"/>
      <c r="UWX7" s="302"/>
      <c r="UWY7" s="302"/>
      <c r="UWZ7" s="302"/>
      <c r="UXA7" s="302"/>
      <c r="UXB7" s="302"/>
      <c r="UXC7" s="302"/>
      <c r="UXD7" s="302"/>
      <c r="UXE7" s="302"/>
      <c r="UXF7" s="302"/>
      <c r="UXG7" s="302"/>
      <c r="UXH7" s="302"/>
      <c r="UXI7" s="302"/>
      <c r="UXJ7" s="302"/>
      <c r="UXK7" s="302"/>
      <c r="UXL7" s="302"/>
      <c r="UXM7" s="302"/>
      <c r="UXN7" s="302"/>
      <c r="UXO7" s="302"/>
      <c r="UXP7" s="302"/>
      <c r="UXQ7" s="302"/>
      <c r="UXR7" s="302"/>
      <c r="UXS7" s="302"/>
      <c r="UXT7" s="302"/>
      <c r="UXU7" s="302"/>
      <c r="UXV7" s="302"/>
      <c r="UXW7" s="302"/>
      <c r="UXX7" s="302"/>
      <c r="UXY7" s="302"/>
      <c r="UXZ7" s="302"/>
      <c r="UYA7" s="302"/>
      <c r="UYB7" s="302"/>
      <c r="UYC7" s="302"/>
      <c r="UYD7" s="302"/>
      <c r="UYE7" s="302"/>
      <c r="UYF7" s="302"/>
      <c r="UYG7" s="302"/>
      <c r="UYH7" s="302"/>
      <c r="UYI7" s="302"/>
      <c r="UYJ7" s="302"/>
      <c r="UYK7" s="302"/>
      <c r="UYL7" s="302"/>
      <c r="UYM7" s="302"/>
      <c r="UYN7" s="302"/>
      <c r="UYO7" s="302"/>
      <c r="UYP7" s="302"/>
      <c r="UYQ7" s="302"/>
      <c r="UYR7" s="302"/>
      <c r="UYS7" s="302"/>
      <c r="UYT7" s="302"/>
      <c r="UYU7" s="302"/>
      <c r="UYV7" s="302"/>
      <c r="UYW7" s="302"/>
      <c r="UYX7" s="302"/>
      <c r="UYY7" s="302"/>
      <c r="UYZ7" s="302"/>
      <c r="UZA7" s="302"/>
      <c r="UZB7" s="302"/>
      <c r="UZC7" s="302"/>
      <c r="UZD7" s="302"/>
      <c r="UZE7" s="302"/>
      <c r="UZF7" s="302"/>
      <c r="UZG7" s="302"/>
      <c r="UZH7" s="302"/>
      <c r="UZI7" s="302"/>
      <c r="UZJ7" s="302"/>
      <c r="UZK7" s="302"/>
      <c r="UZL7" s="302"/>
      <c r="UZM7" s="302"/>
      <c r="UZN7" s="302"/>
      <c r="UZO7" s="302"/>
      <c r="UZP7" s="302"/>
      <c r="UZQ7" s="302"/>
      <c r="UZR7" s="302"/>
      <c r="UZS7" s="302"/>
      <c r="UZT7" s="302"/>
      <c r="UZU7" s="302"/>
      <c r="UZV7" s="302"/>
      <c r="UZW7" s="302"/>
      <c r="UZX7" s="302"/>
      <c r="UZY7" s="302"/>
      <c r="UZZ7" s="302"/>
      <c r="VAA7" s="302"/>
      <c r="VAB7" s="302"/>
      <c r="VAC7" s="302"/>
      <c r="VAD7" s="302"/>
      <c r="VAE7" s="302"/>
      <c r="VAF7" s="302"/>
      <c r="VAG7" s="302"/>
      <c r="VAH7" s="302"/>
      <c r="VAI7" s="302"/>
      <c r="VAJ7" s="302"/>
      <c r="VAK7" s="302"/>
      <c r="VAL7" s="302"/>
      <c r="VAM7" s="302"/>
      <c r="VAN7" s="302"/>
      <c r="VAO7" s="302"/>
      <c r="VAP7" s="302"/>
      <c r="VAQ7" s="302"/>
      <c r="VAR7" s="302"/>
      <c r="VAS7" s="302"/>
      <c r="VAT7" s="302"/>
      <c r="VAU7" s="302"/>
      <c r="VAV7" s="302"/>
      <c r="VAW7" s="302"/>
      <c r="VAX7" s="302"/>
      <c r="VAY7" s="302"/>
      <c r="VAZ7" s="302"/>
      <c r="VBA7" s="302"/>
      <c r="VBB7" s="302"/>
      <c r="VBC7" s="302"/>
      <c r="VBD7" s="302"/>
      <c r="VBE7" s="302"/>
      <c r="VBF7" s="302"/>
      <c r="VBG7" s="302"/>
      <c r="VBH7" s="302"/>
      <c r="VBI7" s="302"/>
      <c r="VBJ7" s="302"/>
      <c r="VBK7" s="302"/>
      <c r="VBL7" s="302"/>
      <c r="VBM7" s="302"/>
      <c r="VBN7" s="302"/>
      <c r="VBO7" s="302"/>
      <c r="VBP7" s="302"/>
      <c r="VBQ7" s="302"/>
      <c r="VBR7" s="302"/>
      <c r="VBS7" s="302"/>
      <c r="VBT7" s="302"/>
      <c r="VBU7" s="302"/>
      <c r="VBV7" s="302"/>
      <c r="VBW7" s="302"/>
      <c r="VBX7" s="302"/>
      <c r="VBY7" s="302"/>
      <c r="VBZ7" s="302"/>
      <c r="VCA7" s="302"/>
      <c r="VCB7" s="302"/>
      <c r="VCC7" s="302"/>
      <c r="VCD7" s="302"/>
      <c r="VCE7" s="302"/>
      <c r="VCF7" s="302"/>
      <c r="VCG7" s="302"/>
      <c r="VCH7" s="302"/>
      <c r="VCI7" s="302"/>
      <c r="VCJ7" s="302"/>
      <c r="VCK7" s="302"/>
      <c r="VCL7" s="302"/>
      <c r="VCM7" s="302"/>
      <c r="VCN7" s="302"/>
      <c r="VCO7" s="302"/>
      <c r="VCP7" s="302"/>
      <c r="VCQ7" s="302"/>
      <c r="VCR7" s="302"/>
      <c r="VCS7" s="302"/>
      <c r="VCT7" s="302"/>
      <c r="VCU7" s="302"/>
      <c r="VCV7" s="302"/>
      <c r="VCW7" s="302"/>
      <c r="VCX7" s="302"/>
      <c r="VCY7" s="302"/>
      <c r="VCZ7" s="302"/>
      <c r="VDA7" s="302"/>
      <c r="VDB7" s="302"/>
      <c r="VDC7" s="302"/>
      <c r="VDD7" s="302"/>
      <c r="VDE7" s="302"/>
      <c r="VDF7" s="302"/>
      <c r="VDG7" s="302"/>
      <c r="VDH7" s="302"/>
      <c r="VDI7" s="302"/>
      <c r="VDJ7" s="302"/>
      <c r="VDK7" s="302"/>
      <c r="VDL7" s="302"/>
      <c r="VDM7" s="302"/>
      <c r="VDN7" s="302"/>
      <c r="VDO7" s="302"/>
      <c r="VDP7" s="302"/>
      <c r="VDQ7" s="302"/>
      <c r="VDR7" s="302"/>
      <c r="VDS7" s="302"/>
      <c r="VDT7" s="302"/>
      <c r="VDU7" s="302"/>
      <c r="VDV7" s="302"/>
      <c r="VDW7" s="302"/>
      <c r="VDX7" s="302"/>
      <c r="VDY7" s="302"/>
      <c r="VDZ7" s="302"/>
      <c r="VEA7" s="302"/>
      <c r="VEB7" s="302"/>
      <c r="VEC7" s="302"/>
      <c r="VED7" s="302"/>
      <c r="VEE7" s="302"/>
      <c r="VEF7" s="302"/>
      <c r="VEG7" s="302"/>
      <c r="VEH7" s="302"/>
      <c r="VEI7" s="302"/>
      <c r="VEJ7" s="302"/>
      <c r="VEK7" s="302"/>
      <c r="VEL7" s="302"/>
      <c r="VEM7" s="302"/>
      <c r="VEN7" s="302"/>
      <c r="VEO7" s="302"/>
      <c r="VEP7" s="302"/>
      <c r="VEQ7" s="302"/>
      <c r="VER7" s="302"/>
      <c r="VES7" s="302"/>
      <c r="VET7" s="302"/>
      <c r="VEU7" s="302"/>
      <c r="VEV7" s="302"/>
      <c r="VEW7" s="302"/>
      <c r="VEX7" s="302"/>
      <c r="VEY7" s="302"/>
      <c r="VEZ7" s="302"/>
      <c r="VFA7" s="302"/>
      <c r="VFB7" s="302"/>
      <c r="VFC7" s="302"/>
      <c r="VFD7" s="302"/>
      <c r="VFE7" s="302"/>
      <c r="VFF7" s="302"/>
      <c r="VFG7" s="302"/>
      <c r="VFH7" s="302"/>
      <c r="VFI7" s="302"/>
      <c r="VFJ7" s="302"/>
      <c r="VFK7" s="302"/>
      <c r="VFL7" s="302"/>
      <c r="VFM7" s="302"/>
      <c r="VFN7" s="302"/>
      <c r="VFO7" s="302"/>
      <c r="VFP7" s="302"/>
      <c r="VFQ7" s="302"/>
      <c r="VFR7" s="302"/>
      <c r="VFS7" s="302"/>
      <c r="VFT7" s="302"/>
      <c r="VFU7" s="302"/>
      <c r="VFV7" s="302"/>
      <c r="VFW7" s="302"/>
      <c r="VFX7" s="302"/>
      <c r="VFY7" s="302"/>
      <c r="VFZ7" s="302"/>
      <c r="VGA7" s="302"/>
      <c r="VGB7" s="302"/>
      <c r="VGC7" s="302"/>
      <c r="VGD7" s="302"/>
      <c r="VGE7" s="302"/>
      <c r="VGF7" s="302"/>
      <c r="VGG7" s="302"/>
      <c r="VGH7" s="302"/>
      <c r="VGI7" s="302"/>
      <c r="VGJ7" s="302"/>
      <c r="VGK7" s="302"/>
      <c r="VGL7" s="302"/>
      <c r="VGM7" s="302"/>
      <c r="VGN7" s="302"/>
      <c r="VGO7" s="302"/>
      <c r="VGP7" s="302"/>
      <c r="VGQ7" s="302"/>
      <c r="VGR7" s="302"/>
      <c r="VGS7" s="302"/>
      <c r="VGT7" s="302"/>
      <c r="VGU7" s="302"/>
      <c r="VGV7" s="302"/>
      <c r="VGW7" s="302"/>
      <c r="VGX7" s="302"/>
      <c r="VGY7" s="302"/>
      <c r="VGZ7" s="302"/>
      <c r="VHA7" s="302"/>
      <c r="VHB7" s="302"/>
      <c r="VHC7" s="302"/>
      <c r="VHD7" s="302"/>
      <c r="VHE7" s="302"/>
      <c r="VHF7" s="302"/>
      <c r="VHG7" s="302"/>
      <c r="VHH7" s="302"/>
      <c r="VHI7" s="302"/>
      <c r="VHJ7" s="302"/>
      <c r="VHK7" s="302"/>
      <c r="VHL7" s="302"/>
      <c r="VHM7" s="302"/>
      <c r="VHN7" s="302"/>
      <c r="VHO7" s="302"/>
      <c r="VHP7" s="302"/>
      <c r="VHQ7" s="302"/>
      <c r="VHR7" s="302"/>
      <c r="VHS7" s="302"/>
      <c r="VHT7" s="302"/>
      <c r="VHU7" s="302"/>
      <c r="VHV7" s="302"/>
      <c r="VHW7" s="302"/>
      <c r="VHX7" s="302"/>
      <c r="VHY7" s="302"/>
      <c r="VHZ7" s="302"/>
      <c r="VIA7" s="302"/>
      <c r="VIB7" s="302"/>
      <c r="VIC7" s="302"/>
      <c r="VID7" s="302"/>
      <c r="VIE7" s="302"/>
      <c r="VIF7" s="302"/>
      <c r="VIG7" s="302"/>
      <c r="VIH7" s="302"/>
      <c r="VII7" s="302"/>
      <c r="VIJ7" s="302"/>
      <c r="VIK7" s="302"/>
      <c r="VIL7" s="302"/>
      <c r="VIM7" s="302"/>
      <c r="VIN7" s="302"/>
      <c r="VIO7" s="302"/>
      <c r="VIP7" s="302"/>
      <c r="VIQ7" s="302"/>
      <c r="VIR7" s="302"/>
      <c r="VIS7" s="302"/>
      <c r="VIT7" s="302"/>
      <c r="VIU7" s="302"/>
      <c r="VIV7" s="302"/>
      <c r="VIW7" s="302"/>
      <c r="VIX7" s="302"/>
      <c r="VIY7" s="302"/>
      <c r="VIZ7" s="302"/>
      <c r="VJA7" s="302"/>
      <c r="VJB7" s="302"/>
      <c r="VJC7" s="302"/>
      <c r="VJD7" s="302"/>
      <c r="VJE7" s="302"/>
      <c r="VJF7" s="302"/>
      <c r="VJG7" s="302"/>
      <c r="VJH7" s="302"/>
      <c r="VJI7" s="302"/>
      <c r="VJJ7" s="302"/>
      <c r="VJK7" s="302"/>
      <c r="VJL7" s="302"/>
      <c r="VJM7" s="302"/>
      <c r="VJN7" s="302"/>
      <c r="VJO7" s="302"/>
      <c r="VJP7" s="302"/>
      <c r="VJQ7" s="302"/>
      <c r="VJR7" s="302"/>
      <c r="VJS7" s="302"/>
      <c r="VJT7" s="302"/>
      <c r="VJU7" s="302"/>
      <c r="VJV7" s="302"/>
      <c r="VJW7" s="302"/>
      <c r="VJX7" s="302"/>
      <c r="VJY7" s="302"/>
      <c r="VJZ7" s="302"/>
      <c r="VKA7" s="302"/>
      <c r="VKB7" s="302"/>
      <c r="VKC7" s="302"/>
      <c r="VKD7" s="302"/>
      <c r="VKE7" s="302"/>
      <c r="VKF7" s="302"/>
      <c r="VKG7" s="302"/>
      <c r="VKH7" s="302"/>
      <c r="VKI7" s="302"/>
      <c r="VKJ7" s="302"/>
      <c r="VKK7" s="302"/>
      <c r="VKL7" s="302"/>
      <c r="VKM7" s="302"/>
      <c r="VKN7" s="302"/>
      <c r="VKO7" s="302"/>
      <c r="VKP7" s="302"/>
      <c r="VKQ7" s="302"/>
      <c r="VKR7" s="302"/>
      <c r="VKS7" s="302"/>
      <c r="VKT7" s="302"/>
      <c r="VKU7" s="302"/>
      <c r="VKV7" s="302"/>
      <c r="VKW7" s="302"/>
      <c r="VKX7" s="302"/>
      <c r="VKY7" s="302"/>
      <c r="VKZ7" s="302"/>
      <c r="VLA7" s="302"/>
      <c r="VLB7" s="302"/>
      <c r="VLC7" s="302"/>
      <c r="VLD7" s="302"/>
      <c r="VLE7" s="302"/>
      <c r="VLF7" s="302"/>
      <c r="VLG7" s="302"/>
      <c r="VLH7" s="302"/>
      <c r="VLI7" s="302"/>
      <c r="VLJ7" s="302"/>
      <c r="VLK7" s="302"/>
      <c r="VLL7" s="302"/>
      <c r="VLM7" s="302"/>
      <c r="VLN7" s="302"/>
      <c r="VLO7" s="302"/>
      <c r="VLP7" s="302"/>
      <c r="VLQ7" s="302"/>
      <c r="VLR7" s="302"/>
      <c r="VLS7" s="302"/>
      <c r="VLT7" s="302"/>
      <c r="VLU7" s="302"/>
      <c r="VLV7" s="302"/>
      <c r="VLW7" s="302"/>
      <c r="VLX7" s="302"/>
      <c r="VLY7" s="302"/>
      <c r="VLZ7" s="302"/>
      <c r="VMA7" s="302"/>
      <c r="VMB7" s="302"/>
      <c r="VMC7" s="302"/>
      <c r="VMD7" s="302"/>
      <c r="VME7" s="302"/>
      <c r="VMF7" s="302"/>
      <c r="VMG7" s="302"/>
      <c r="VMH7" s="302"/>
      <c r="VMI7" s="302"/>
      <c r="VMJ7" s="302"/>
      <c r="VMK7" s="302"/>
      <c r="VML7" s="302"/>
      <c r="VMM7" s="302"/>
      <c r="VMN7" s="302"/>
      <c r="VMO7" s="302"/>
      <c r="VMP7" s="302"/>
      <c r="VMQ7" s="302"/>
      <c r="VMR7" s="302"/>
      <c r="VMS7" s="302"/>
      <c r="VMT7" s="302"/>
      <c r="VMU7" s="302"/>
      <c r="VMV7" s="302"/>
      <c r="VMW7" s="302"/>
      <c r="VMX7" s="302"/>
      <c r="VMY7" s="302"/>
      <c r="VMZ7" s="302"/>
      <c r="VNA7" s="302"/>
      <c r="VNB7" s="302"/>
      <c r="VNC7" s="302"/>
      <c r="VND7" s="302"/>
      <c r="VNE7" s="302"/>
      <c r="VNF7" s="302"/>
      <c r="VNG7" s="302"/>
      <c r="VNH7" s="302"/>
      <c r="VNI7" s="302"/>
      <c r="VNJ7" s="302"/>
      <c r="VNK7" s="302"/>
      <c r="VNL7" s="302"/>
      <c r="VNM7" s="302"/>
      <c r="VNN7" s="302"/>
      <c r="VNO7" s="302"/>
      <c r="VNP7" s="302"/>
      <c r="VNQ7" s="302"/>
      <c r="VNR7" s="302"/>
      <c r="VNS7" s="302"/>
      <c r="VNT7" s="302"/>
      <c r="VNU7" s="302"/>
      <c r="VNV7" s="302"/>
      <c r="VNW7" s="302"/>
      <c r="VNX7" s="302"/>
      <c r="VNY7" s="302"/>
      <c r="VNZ7" s="302"/>
      <c r="VOA7" s="302"/>
      <c r="VOB7" s="302"/>
      <c r="VOC7" s="302"/>
      <c r="VOD7" s="302"/>
      <c r="VOE7" s="302"/>
      <c r="VOF7" s="302"/>
      <c r="VOG7" s="302"/>
      <c r="VOH7" s="302"/>
      <c r="VOI7" s="302"/>
      <c r="VOJ7" s="302"/>
      <c r="VOK7" s="302"/>
      <c r="VOL7" s="302"/>
      <c r="VOM7" s="302"/>
      <c r="VON7" s="302"/>
      <c r="VOO7" s="302"/>
      <c r="VOP7" s="302"/>
      <c r="VOQ7" s="302"/>
      <c r="VOR7" s="302"/>
      <c r="VOS7" s="302"/>
      <c r="VOT7" s="302"/>
      <c r="VOU7" s="302"/>
      <c r="VOV7" s="302"/>
      <c r="VOW7" s="302"/>
      <c r="VOX7" s="302"/>
      <c r="VOY7" s="302"/>
      <c r="VOZ7" s="302"/>
      <c r="VPA7" s="302"/>
      <c r="VPB7" s="302"/>
      <c r="VPC7" s="302"/>
      <c r="VPD7" s="302"/>
      <c r="VPE7" s="302"/>
      <c r="VPF7" s="302"/>
      <c r="VPG7" s="302"/>
      <c r="VPH7" s="302"/>
      <c r="VPI7" s="302"/>
      <c r="VPJ7" s="302"/>
      <c r="VPK7" s="302"/>
      <c r="VPL7" s="302"/>
      <c r="VPM7" s="302"/>
      <c r="VPN7" s="302"/>
      <c r="VPO7" s="302"/>
      <c r="VPP7" s="302"/>
      <c r="VPQ7" s="302"/>
      <c r="VPR7" s="302"/>
      <c r="VPS7" s="302"/>
      <c r="VPT7" s="302"/>
      <c r="VPU7" s="302"/>
      <c r="VPV7" s="302"/>
      <c r="VPW7" s="302"/>
      <c r="VPX7" s="302"/>
      <c r="VPY7" s="302"/>
      <c r="VPZ7" s="302"/>
      <c r="VQA7" s="302"/>
      <c r="VQB7" s="302"/>
      <c r="VQC7" s="302"/>
      <c r="VQD7" s="302"/>
      <c r="VQE7" s="302"/>
      <c r="VQF7" s="302"/>
      <c r="VQG7" s="302"/>
      <c r="VQH7" s="302"/>
      <c r="VQI7" s="302"/>
      <c r="VQJ7" s="302"/>
      <c r="VQK7" s="302"/>
      <c r="VQL7" s="302"/>
      <c r="VQM7" s="302"/>
      <c r="VQN7" s="302"/>
      <c r="VQO7" s="302"/>
      <c r="VQP7" s="302"/>
      <c r="VQQ7" s="302"/>
      <c r="VQR7" s="302"/>
      <c r="VQS7" s="302"/>
      <c r="VQT7" s="302"/>
      <c r="VQU7" s="302"/>
      <c r="VQV7" s="302"/>
      <c r="VQW7" s="302"/>
      <c r="VQX7" s="302"/>
      <c r="VQY7" s="302"/>
      <c r="VQZ7" s="302"/>
      <c r="VRA7" s="302"/>
      <c r="VRB7" s="302"/>
      <c r="VRC7" s="302"/>
      <c r="VRD7" s="302"/>
      <c r="VRE7" s="302"/>
      <c r="VRF7" s="302"/>
      <c r="VRG7" s="302"/>
      <c r="VRH7" s="302"/>
      <c r="VRI7" s="302"/>
      <c r="VRJ7" s="302"/>
      <c r="VRK7" s="302"/>
      <c r="VRL7" s="302"/>
      <c r="VRM7" s="302"/>
      <c r="VRN7" s="302"/>
      <c r="VRO7" s="302"/>
      <c r="VRP7" s="302"/>
      <c r="VRQ7" s="302"/>
      <c r="VRR7" s="302"/>
      <c r="VRS7" s="302"/>
      <c r="VRT7" s="302"/>
      <c r="VRU7" s="302"/>
      <c r="VRV7" s="302"/>
      <c r="VRW7" s="302"/>
      <c r="VRX7" s="302"/>
      <c r="VRY7" s="302"/>
      <c r="VRZ7" s="302"/>
      <c r="VSA7" s="302"/>
      <c r="VSB7" s="302"/>
      <c r="VSC7" s="302"/>
      <c r="VSD7" s="302"/>
      <c r="VSE7" s="302"/>
      <c r="VSF7" s="302"/>
      <c r="VSG7" s="302"/>
      <c r="VSH7" s="302"/>
      <c r="VSI7" s="302"/>
      <c r="VSJ7" s="302"/>
      <c r="VSK7" s="302"/>
      <c r="VSL7" s="302"/>
      <c r="VSM7" s="302"/>
      <c r="VSN7" s="302"/>
      <c r="VSO7" s="302"/>
      <c r="VSP7" s="302"/>
      <c r="VSQ7" s="302"/>
      <c r="VSR7" s="302"/>
      <c r="VSS7" s="302"/>
      <c r="VST7" s="302"/>
      <c r="VSU7" s="302"/>
      <c r="VSV7" s="302"/>
      <c r="VSW7" s="302"/>
      <c r="VSX7" s="302"/>
      <c r="VSY7" s="302"/>
      <c r="VSZ7" s="302"/>
      <c r="VTA7" s="302"/>
      <c r="VTB7" s="302"/>
      <c r="VTC7" s="302"/>
      <c r="VTD7" s="302"/>
      <c r="VTE7" s="302"/>
      <c r="VTF7" s="302"/>
      <c r="VTG7" s="302"/>
      <c r="VTH7" s="302"/>
      <c r="VTI7" s="302"/>
      <c r="VTJ7" s="302"/>
      <c r="VTK7" s="302"/>
      <c r="VTL7" s="302"/>
      <c r="VTM7" s="302"/>
      <c r="VTN7" s="302"/>
      <c r="VTO7" s="302"/>
      <c r="VTP7" s="302"/>
      <c r="VTQ7" s="302"/>
      <c r="VTR7" s="302"/>
      <c r="VTS7" s="302"/>
      <c r="VTT7" s="302"/>
      <c r="VTU7" s="302"/>
      <c r="VTV7" s="302"/>
      <c r="VTW7" s="302"/>
      <c r="VTX7" s="302"/>
      <c r="VTY7" s="302"/>
      <c r="VTZ7" s="302"/>
      <c r="VUA7" s="302"/>
      <c r="VUB7" s="302"/>
      <c r="VUC7" s="302"/>
      <c r="VUD7" s="302"/>
      <c r="VUE7" s="302"/>
      <c r="VUF7" s="302"/>
      <c r="VUG7" s="302"/>
      <c r="VUH7" s="302"/>
      <c r="VUI7" s="302"/>
      <c r="VUJ7" s="302"/>
      <c r="VUK7" s="302"/>
      <c r="VUL7" s="302"/>
      <c r="VUM7" s="302"/>
      <c r="VUN7" s="302"/>
      <c r="VUO7" s="302"/>
      <c r="VUP7" s="302"/>
      <c r="VUQ7" s="302"/>
      <c r="VUR7" s="302"/>
      <c r="VUS7" s="302"/>
      <c r="VUT7" s="302"/>
      <c r="VUU7" s="302"/>
      <c r="VUV7" s="302"/>
      <c r="VUW7" s="302"/>
      <c r="VUX7" s="302"/>
      <c r="VUY7" s="302"/>
      <c r="VUZ7" s="302"/>
      <c r="VVA7" s="302"/>
      <c r="VVB7" s="302"/>
      <c r="VVC7" s="302"/>
      <c r="VVD7" s="302"/>
      <c r="VVE7" s="302"/>
      <c r="VVF7" s="302"/>
      <c r="VVG7" s="302"/>
      <c r="VVH7" s="302"/>
      <c r="VVI7" s="302"/>
      <c r="VVJ7" s="302"/>
      <c r="VVK7" s="302"/>
      <c r="VVL7" s="302"/>
      <c r="VVM7" s="302"/>
      <c r="VVN7" s="302"/>
      <c r="VVO7" s="302"/>
      <c r="VVP7" s="302"/>
      <c r="VVQ7" s="302"/>
      <c r="VVR7" s="302"/>
      <c r="VVS7" s="302"/>
      <c r="VVT7" s="302"/>
      <c r="VVU7" s="302"/>
      <c r="VVV7" s="302"/>
      <c r="VVW7" s="302"/>
      <c r="VVX7" s="302"/>
      <c r="VVY7" s="302"/>
      <c r="VVZ7" s="302"/>
      <c r="VWA7" s="302"/>
      <c r="VWB7" s="302"/>
      <c r="VWC7" s="302"/>
      <c r="VWD7" s="302"/>
      <c r="VWE7" s="302"/>
      <c r="VWF7" s="302"/>
      <c r="VWG7" s="302"/>
      <c r="VWH7" s="302"/>
      <c r="VWI7" s="302"/>
      <c r="VWJ7" s="302"/>
      <c r="VWK7" s="302"/>
      <c r="VWL7" s="302"/>
      <c r="VWM7" s="302"/>
      <c r="VWN7" s="302"/>
      <c r="VWO7" s="302"/>
      <c r="VWP7" s="302"/>
      <c r="VWQ7" s="302"/>
      <c r="VWR7" s="302"/>
      <c r="VWS7" s="302"/>
      <c r="VWT7" s="302"/>
      <c r="VWU7" s="302"/>
      <c r="VWV7" s="302"/>
      <c r="VWW7" s="302"/>
      <c r="VWX7" s="302"/>
      <c r="VWY7" s="302"/>
      <c r="VWZ7" s="302"/>
      <c r="VXA7" s="302"/>
      <c r="VXB7" s="302"/>
      <c r="VXC7" s="302"/>
      <c r="VXD7" s="302"/>
      <c r="VXE7" s="302"/>
      <c r="VXF7" s="302"/>
      <c r="VXG7" s="302"/>
      <c r="VXH7" s="302"/>
      <c r="VXI7" s="302"/>
      <c r="VXJ7" s="302"/>
      <c r="VXK7" s="302"/>
      <c r="VXL7" s="302"/>
      <c r="VXM7" s="302"/>
      <c r="VXN7" s="302"/>
      <c r="VXO7" s="302"/>
      <c r="VXP7" s="302"/>
      <c r="VXQ7" s="302"/>
      <c r="VXR7" s="302"/>
      <c r="VXS7" s="302"/>
      <c r="VXT7" s="302"/>
      <c r="VXU7" s="302"/>
      <c r="VXV7" s="302"/>
      <c r="VXW7" s="302"/>
      <c r="VXX7" s="302"/>
      <c r="VXY7" s="302"/>
      <c r="VXZ7" s="302"/>
      <c r="VYA7" s="302"/>
      <c r="VYB7" s="302"/>
      <c r="VYC7" s="302"/>
      <c r="VYD7" s="302"/>
      <c r="VYE7" s="302"/>
      <c r="VYF7" s="302"/>
      <c r="VYG7" s="302"/>
      <c r="VYH7" s="302"/>
      <c r="VYI7" s="302"/>
      <c r="VYJ7" s="302"/>
      <c r="VYK7" s="302"/>
      <c r="VYL7" s="302"/>
      <c r="VYM7" s="302"/>
      <c r="VYN7" s="302"/>
      <c r="VYO7" s="302"/>
      <c r="VYP7" s="302"/>
      <c r="VYQ7" s="302"/>
      <c r="VYR7" s="302"/>
      <c r="VYS7" s="302"/>
      <c r="VYT7" s="302"/>
      <c r="VYU7" s="302"/>
      <c r="VYV7" s="302"/>
      <c r="VYW7" s="302"/>
      <c r="VYX7" s="302"/>
      <c r="VYY7" s="302"/>
      <c r="VYZ7" s="302"/>
      <c r="VZA7" s="302"/>
      <c r="VZB7" s="302"/>
      <c r="VZC7" s="302"/>
      <c r="VZD7" s="302"/>
      <c r="VZE7" s="302"/>
      <c r="VZF7" s="302"/>
      <c r="VZG7" s="302"/>
      <c r="VZH7" s="302"/>
      <c r="VZI7" s="302"/>
      <c r="VZJ7" s="302"/>
      <c r="VZK7" s="302"/>
      <c r="VZL7" s="302"/>
      <c r="VZM7" s="302"/>
      <c r="VZN7" s="302"/>
      <c r="VZO7" s="302"/>
      <c r="VZP7" s="302"/>
      <c r="VZQ7" s="302"/>
      <c r="VZR7" s="302"/>
      <c r="VZS7" s="302"/>
      <c r="VZT7" s="302"/>
      <c r="VZU7" s="302"/>
      <c r="VZV7" s="302"/>
      <c r="VZW7" s="302"/>
      <c r="VZX7" s="302"/>
      <c r="VZY7" s="302"/>
      <c r="VZZ7" s="302"/>
      <c r="WAA7" s="302"/>
      <c r="WAB7" s="302"/>
      <c r="WAC7" s="302"/>
      <c r="WAD7" s="302"/>
      <c r="WAE7" s="302"/>
      <c r="WAF7" s="302"/>
      <c r="WAG7" s="302"/>
      <c r="WAH7" s="302"/>
      <c r="WAI7" s="302"/>
      <c r="WAJ7" s="302"/>
      <c r="WAK7" s="302"/>
      <c r="WAL7" s="302"/>
      <c r="WAM7" s="302"/>
      <c r="WAN7" s="302"/>
      <c r="WAO7" s="302"/>
      <c r="WAP7" s="302"/>
      <c r="WAQ7" s="302"/>
      <c r="WAR7" s="302"/>
      <c r="WAS7" s="302"/>
      <c r="WAT7" s="302"/>
      <c r="WAU7" s="302"/>
      <c r="WAV7" s="302"/>
      <c r="WAW7" s="302"/>
      <c r="WAX7" s="302"/>
      <c r="WAY7" s="302"/>
      <c r="WAZ7" s="302"/>
      <c r="WBA7" s="302"/>
      <c r="WBB7" s="302"/>
      <c r="WBC7" s="302"/>
      <c r="WBD7" s="302"/>
      <c r="WBE7" s="302"/>
      <c r="WBF7" s="302"/>
      <c r="WBG7" s="302"/>
      <c r="WBH7" s="302"/>
      <c r="WBI7" s="302"/>
      <c r="WBJ7" s="302"/>
      <c r="WBK7" s="302"/>
      <c r="WBL7" s="302"/>
      <c r="WBM7" s="302"/>
      <c r="WBN7" s="302"/>
      <c r="WBO7" s="302"/>
      <c r="WBP7" s="302"/>
      <c r="WBQ7" s="302"/>
      <c r="WBR7" s="302"/>
      <c r="WBS7" s="302"/>
      <c r="WBT7" s="302"/>
      <c r="WBU7" s="302"/>
      <c r="WBV7" s="302"/>
      <c r="WBW7" s="302"/>
      <c r="WBX7" s="302"/>
      <c r="WBY7" s="302"/>
      <c r="WBZ7" s="302"/>
      <c r="WCA7" s="302"/>
      <c r="WCB7" s="302"/>
      <c r="WCC7" s="302"/>
      <c r="WCD7" s="302"/>
      <c r="WCE7" s="302"/>
      <c r="WCF7" s="302"/>
      <c r="WCG7" s="302"/>
      <c r="WCH7" s="302"/>
      <c r="WCI7" s="302"/>
      <c r="WCJ7" s="302"/>
      <c r="WCK7" s="302"/>
      <c r="WCL7" s="302"/>
      <c r="WCM7" s="302"/>
      <c r="WCN7" s="302"/>
      <c r="WCO7" s="302"/>
      <c r="WCP7" s="302"/>
      <c r="WCQ7" s="302"/>
      <c r="WCR7" s="302"/>
      <c r="WCS7" s="302"/>
      <c r="WCT7" s="302"/>
      <c r="WCU7" s="302"/>
      <c r="WCV7" s="302"/>
      <c r="WCW7" s="302"/>
      <c r="WCX7" s="302"/>
      <c r="WCY7" s="302"/>
      <c r="WCZ7" s="302"/>
      <c r="WDA7" s="302"/>
      <c r="WDB7" s="302"/>
      <c r="WDC7" s="302"/>
      <c r="WDD7" s="302"/>
      <c r="WDE7" s="302"/>
      <c r="WDF7" s="302"/>
      <c r="WDG7" s="302"/>
      <c r="WDH7" s="302"/>
      <c r="WDI7" s="302"/>
      <c r="WDJ7" s="302"/>
      <c r="WDK7" s="302"/>
      <c r="WDL7" s="302"/>
      <c r="WDM7" s="302"/>
      <c r="WDN7" s="302"/>
      <c r="WDO7" s="302"/>
      <c r="WDP7" s="302"/>
      <c r="WDQ7" s="302"/>
      <c r="WDR7" s="302"/>
      <c r="WDS7" s="302"/>
      <c r="WDT7" s="302"/>
      <c r="WDU7" s="302"/>
      <c r="WDV7" s="302"/>
      <c r="WDW7" s="302"/>
      <c r="WDX7" s="302"/>
      <c r="WDY7" s="302"/>
      <c r="WDZ7" s="302"/>
      <c r="WEA7" s="302"/>
      <c r="WEB7" s="302"/>
      <c r="WEC7" s="302"/>
      <c r="WED7" s="302"/>
      <c r="WEE7" s="302"/>
      <c r="WEF7" s="302"/>
      <c r="WEG7" s="302"/>
      <c r="WEH7" s="302"/>
      <c r="WEI7" s="302"/>
      <c r="WEJ7" s="302"/>
      <c r="WEK7" s="302"/>
      <c r="WEL7" s="302"/>
      <c r="WEM7" s="302"/>
      <c r="WEN7" s="302"/>
      <c r="WEO7" s="302"/>
      <c r="WEP7" s="302"/>
      <c r="WEQ7" s="302"/>
      <c r="WER7" s="302"/>
      <c r="WES7" s="302"/>
      <c r="WET7" s="302"/>
      <c r="WEU7" s="302"/>
      <c r="WEV7" s="302"/>
      <c r="WEW7" s="302"/>
      <c r="WEX7" s="302"/>
      <c r="WEY7" s="302"/>
      <c r="WEZ7" s="302"/>
      <c r="WFA7" s="302"/>
      <c r="WFB7" s="302"/>
      <c r="WFC7" s="302"/>
      <c r="WFD7" s="302"/>
      <c r="WFE7" s="302"/>
      <c r="WFF7" s="302"/>
      <c r="WFG7" s="302"/>
      <c r="WFH7" s="302"/>
      <c r="WFI7" s="302"/>
      <c r="WFJ7" s="302"/>
      <c r="WFK7" s="302"/>
      <c r="WFL7" s="302"/>
      <c r="WFM7" s="302"/>
      <c r="WFN7" s="302"/>
      <c r="WFO7" s="302"/>
      <c r="WFP7" s="302"/>
      <c r="WFQ7" s="302"/>
      <c r="WFR7" s="302"/>
      <c r="WFS7" s="302"/>
      <c r="WFT7" s="302"/>
      <c r="WFU7" s="302"/>
      <c r="WFV7" s="302"/>
      <c r="WFW7" s="302"/>
      <c r="WFX7" s="302"/>
      <c r="WFY7" s="302"/>
      <c r="WFZ7" s="302"/>
      <c r="WGA7" s="302"/>
      <c r="WGB7" s="302"/>
      <c r="WGC7" s="302"/>
      <c r="WGD7" s="302"/>
      <c r="WGE7" s="302"/>
      <c r="WGF7" s="302"/>
      <c r="WGG7" s="302"/>
      <c r="WGH7" s="302"/>
      <c r="WGI7" s="302"/>
      <c r="WGJ7" s="302"/>
      <c r="WGK7" s="302"/>
      <c r="WGL7" s="302"/>
      <c r="WGM7" s="302"/>
      <c r="WGN7" s="302"/>
      <c r="WGO7" s="302"/>
      <c r="WGP7" s="302"/>
      <c r="WGQ7" s="302"/>
      <c r="WGR7" s="302"/>
      <c r="WGS7" s="302"/>
      <c r="WGT7" s="302"/>
      <c r="WGU7" s="302"/>
      <c r="WGV7" s="302"/>
      <c r="WGW7" s="302"/>
      <c r="WGX7" s="302"/>
      <c r="WGY7" s="302"/>
      <c r="WGZ7" s="302"/>
      <c r="WHA7" s="302"/>
      <c r="WHB7" s="302"/>
      <c r="WHC7" s="302"/>
      <c r="WHD7" s="302"/>
      <c r="WHE7" s="302"/>
      <c r="WHF7" s="302"/>
      <c r="WHG7" s="302"/>
      <c r="WHH7" s="302"/>
      <c r="WHI7" s="302"/>
      <c r="WHJ7" s="302"/>
      <c r="WHK7" s="302"/>
      <c r="WHL7" s="302"/>
      <c r="WHM7" s="302"/>
      <c r="WHN7" s="302"/>
      <c r="WHO7" s="302"/>
      <c r="WHP7" s="302"/>
      <c r="WHQ7" s="302"/>
      <c r="WHR7" s="302"/>
      <c r="WHS7" s="302"/>
      <c r="WHT7" s="302"/>
      <c r="WHU7" s="302"/>
      <c r="WHV7" s="302"/>
      <c r="WHW7" s="302"/>
      <c r="WHX7" s="302"/>
      <c r="WHY7" s="302"/>
      <c r="WHZ7" s="302"/>
      <c r="WIA7" s="302"/>
      <c r="WIB7" s="302"/>
      <c r="WIC7" s="302"/>
      <c r="WID7" s="302"/>
      <c r="WIE7" s="302"/>
      <c r="WIF7" s="302"/>
      <c r="WIG7" s="302"/>
      <c r="WIH7" s="302"/>
      <c r="WII7" s="302"/>
      <c r="WIJ7" s="302"/>
      <c r="WIK7" s="302"/>
      <c r="WIL7" s="302"/>
      <c r="WIM7" s="302"/>
      <c r="WIN7" s="302"/>
      <c r="WIO7" s="302"/>
      <c r="WIP7" s="302"/>
      <c r="WIQ7" s="302"/>
      <c r="WIR7" s="302"/>
      <c r="WIS7" s="302"/>
      <c r="WIT7" s="302"/>
      <c r="WIU7" s="302"/>
      <c r="WIV7" s="302"/>
      <c r="WIW7" s="302"/>
      <c r="WIX7" s="302"/>
      <c r="WIY7" s="302"/>
      <c r="WIZ7" s="302"/>
      <c r="WJA7" s="302"/>
      <c r="WJB7" s="302"/>
      <c r="WJC7" s="302"/>
      <c r="WJD7" s="302"/>
      <c r="WJE7" s="302"/>
      <c r="WJF7" s="302"/>
      <c r="WJG7" s="302"/>
      <c r="WJH7" s="302"/>
      <c r="WJI7" s="302"/>
      <c r="WJJ7" s="302"/>
      <c r="WJK7" s="302"/>
      <c r="WJL7" s="302"/>
      <c r="WJM7" s="302"/>
      <c r="WJN7" s="302"/>
      <c r="WJO7" s="302"/>
      <c r="WJP7" s="302"/>
      <c r="WJQ7" s="302"/>
      <c r="WJR7" s="302"/>
      <c r="WJS7" s="302"/>
      <c r="WJT7" s="302"/>
      <c r="WJU7" s="302"/>
      <c r="WJV7" s="302"/>
      <c r="WJW7" s="302"/>
      <c r="WJX7" s="302"/>
      <c r="WJY7" s="302"/>
      <c r="WJZ7" s="302"/>
      <c r="WKA7" s="302"/>
      <c r="WKB7" s="302"/>
      <c r="WKC7" s="302"/>
      <c r="WKD7" s="302"/>
      <c r="WKE7" s="302"/>
      <c r="WKF7" s="302"/>
      <c r="WKG7" s="302"/>
      <c r="WKH7" s="302"/>
      <c r="WKI7" s="302"/>
      <c r="WKJ7" s="302"/>
      <c r="WKK7" s="302"/>
      <c r="WKL7" s="302"/>
      <c r="WKM7" s="302"/>
      <c r="WKN7" s="302"/>
      <c r="WKO7" s="302"/>
      <c r="WKP7" s="302"/>
      <c r="WKQ7" s="302"/>
      <c r="WKR7" s="302"/>
      <c r="WKS7" s="302"/>
      <c r="WKT7" s="302"/>
      <c r="WKU7" s="302"/>
      <c r="WKV7" s="302"/>
      <c r="WKW7" s="302"/>
      <c r="WKX7" s="302"/>
      <c r="WKY7" s="302"/>
      <c r="WKZ7" s="302"/>
      <c r="WLA7" s="302"/>
      <c r="WLB7" s="302"/>
      <c r="WLC7" s="302"/>
      <c r="WLD7" s="302"/>
      <c r="WLE7" s="302"/>
      <c r="WLF7" s="302"/>
      <c r="WLG7" s="302"/>
      <c r="WLH7" s="302"/>
      <c r="WLI7" s="302"/>
      <c r="WLJ7" s="302"/>
      <c r="WLK7" s="302"/>
      <c r="WLL7" s="302"/>
      <c r="WLM7" s="302"/>
      <c r="WLN7" s="302"/>
      <c r="WLO7" s="302"/>
      <c r="WLP7" s="302"/>
      <c r="WLQ7" s="302"/>
      <c r="WLR7" s="302"/>
      <c r="WLS7" s="302"/>
      <c r="WLT7" s="302"/>
      <c r="WLU7" s="302"/>
      <c r="WLV7" s="302"/>
      <c r="WLW7" s="302"/>
      <c r="WLX7" s="302"/>
      <c r="WLY7" s="302"/>
      <c r="WLZ7" s="302"/>
      <c r="WMA7" s="302"/>
      <c r="WMB7" s="302"/>
      <c r="WMC7" s="302"/>
      <c r="WMD7" s="302"/>
      <c r="WME7" s="302"/>
      <c r="WMF7" s="302"/>
      <c r="WMG7" s="302"/>
      <c r="WMH7" s="302"/>
      <c r="WMI7" s="302"/>
      <c r="WMJ7" s="302"/>
      <c r="WMK7" s="302"/>
      <c r="WML7" s="302"/>
      <c r="WMM7" s="302"/>
      <c r="WMN7" s="302"/>
      <c r="WMO7" s="302"/>
      <c r="WMP7" s="302"/>
      <c r="WMQ7" s="302"/>
      <c r="WMR7" s="302"/>
      <c r="WMS7" s="302"/>
      <c r="WMT7" s="302"/>
      <c r="WMU7" s="302"/>
      <c r="WMV7" s="302"/>
      <c r="WMW7" s="302"/>
      <c r="WMX7" s="302"/>
      <c r="WMY7" s="302"/>
      <c r="WMZ7" s="302"/>
      <c r="WNA7" s="302"/>
      <c r="WNB7" s="302"/>
      <c r="WNC7" s="302"/>
      <c r="WND7" s="302"/>
      <c r="WNE7" s="302"/>
      <c r="WNF7" s="302"/>
      <c r="WNG7" s="302"/>
      <c r="WNH7" s="302"/>
      <c r="WNI7" s="302"/>
      <c r="WNJ7" s="302"/>
      <c r="WNK7" s="302"/>
      <c r="WNL7" s="302"/>
      <c r="WNM7" s="302"/>
      <c r="WNN7" s="302"/>
      <c r="WNO7" s="302"/>
      <c r="WNP7" s="302"/>
      <c r="WNQ7" s="302"/>
      <c r="WNR7" s="302"/>
      <c r="WNS7" s="302"/>
      <c r="WNT7" s="302"/>
      <c r="WNU7" s="302"/>
      <c r="WNV7" s="302"/>
      <c r="WNW7" s="302"/>
      <c r="WNX7" s="302"/>
      <c r="WNY7" s="302"/>
      <c r="WNZ7" s="302"/>
      <c r="WOA7" s="302"/>
      <c r="WOB7" s="302"/>
      <c r="WOC7" s="302"/>
      <c r="WOD7" s="302"/>
      <c r="WOE7" s="302"/>
      <c r="WOF7" s="302"/>
      <c r="WOG7" s="302"/>
      <c r="WOH7" s="302"/>
      <c r="WOI7" s="302"/>
      <c r="WOJ7" s="302"/>
      <c r="WOK7" s="302"/>
      <c r="WOL7" s="302"/>
      <c r="WOM7" s="302"/>
      <c r="WON7" s="302"/>
      <c r="WOO7" s="302"/>
      <c r="WOP7" s="302"/>
      <c r="WOQ7" s="302"/>
      <c r="WOR7" s="302"/>
      <c r="WOS7" s="302"/>
      <c r="WOT7" s="302"/>
      <c r="WOU7" s="302"/>
      <c r="WOV7" s="302"/>
      <c r="WOW7" s="302"/>
      <c r="WOX7" s="302"/>
      <c r="WOY7" s="302"/>
      <c r="WOZ7" s="302"/>
      <c r="WPA7" s="302"/>
      <c r="WPB7" s="302"/>
      <c r="WPC7" s="302"/>
      <c r="WPD7" s="302"/>
      <c r="WPE7" s="302"/>
      <c r="WPF7" s="302"/>
      <c r="WPG7" s="302"/>
      <c r="WPH7" s="302"/>
      <c r="WPI7" s="302"/>
      <c r="WPJ7" s="302"/>
      <c r="WPK7" s="302"/>
      <c r="WPL7" s="302"/>
      <c r="WPM7" s="302"/>
      <c r="WPN7" s="302"/>
      <c r="WPO7" s="302"/>
      <c r="WPP7" s="302"/>
      <c r="WPQ7" s="302"/>
      <c r="WPR7" s="302"/>
      <c r="WPS7" s="302"/>
      <c r="WPT7" s="302"/>
      <c r="WPU7" s="302"/>
      <c r="WPV7" s="302"/>
      <c r="WPW7" s="302"/>
      <c r="WPX7" s="302"/>
      <c r="WPY7" s="302"/>
      <c r="WPZ7" s="302"/>
      <c r="WQA7" s="302"/>
      <c r="WQB7" s="302"/>
      <c r="WQC7" s="302"/>
      <c r="WQD7" s="302"/>
      <c r="WQE7" s="302"/>
      <c r="WQF7" s="302"/>
      <c r="WQG7" s="302"/>
      <c r="WQH7" s="302"/>
      <c r="WQI7" s="302"/>
      <c r="WQJ7" s="302"/>
      <c r="WQK7" s="302"/>
      <c r="WQL7" s="302"/>
      <c r="WQM7" s="302"/>
      <c r="WQN7" s="302"/>
      <c r="WQO7" s="302"/>
      <c r="WQP7" s="302"/>
      <c r="WQQ7" s="302"/>
      <c r="WQR7" s="302"/>
      <c r="WQS7" s="302"/>
      <c r="WQT7" s="302"/>
      <c r="WQU7" s="302"/>
      <c r="WQV7" s="302"/>
      <c r="WQW7" s="302"/>
      <c r="WQX7" s="302"/>
      <c r="WQY7" s="302"/>
      <c r="WQZ7" s="302"/>
      <c r="WRA7" s="302"/>
      <c r="WRB7" s="302"/>
      <c r="WRC7" s="302"/>
      <c r="WRD7" s="302"/>
      <c r="WRE7" s="302"/>
      <c r="WRF7" s="302"/>
      <c r="WRG7" s="302"/>
      <c r="WRH7" s="302"/>
      <c r="WRI7" s="302"/>
      <c r="WRJ7" s="302"/>
      <c r="WRK7" s="302"/>
      <c r="WRL7" s="302"/>
      <c r="WRM7" s="302"/>
      <c r="WRN7" s="302"/>
      <c r="WRO7" s="302"/>
      <c r="WRP7" s="302"/>
      <c r="WRQ7" s="302"/>
      <c r="WRR7" s="302"/>
      <c r="WRS7" s="302"/>
      <c r="WRT7" s="302"/>
      <c r="WRU7" s="302"/>
      <c r="WRV7" s="302"/>
      <c r="WRW7" s="302"/>
      <c r="WRX7" s="302"/>
      <c r="WRY7" s="302"/>
      <c r="WRZ7" s="302"/>
      <c r="WSA7" s="302"/>
      <c r="WSB7" s="302"/>
      <c r="WSC7" s="302"/>
      <c r="WSD7" s="302"/>
      <c r="WSE7" s="302"/>
      <c r="WSF7" s="302"/>
      <c r="WSG7" s="302"/>
      <c r="WSH7" s="302"/>
      <c r="WSI7" s="302"/>
      <c r="WSJ7" s="302"/>
      <c r="WSK7" s="302"/>
      <c r="WSL7" s="302"/>
      <c r="WSM7" s="302"/>
      <c r="WSN7" s="302"/>
      <c r="WSO7" s="302"/>
      <c r="WSP7" s="302"/>
      <c r="WSQ7" s="302"/>
      <c r="WSR7" s="302"/>
      <c r="WSS7" s="302"/>
      <c r="WST7" s="302"/>
      <c r="WSU7" s="302"/>
      <c r="WSV7" s="302"/>
      <c r="WSW7" s="302"/>
      <c r="WSX7" s="302"/>
      <c r="WSY7" s="302"/>
      <c r="WSZ7" s="302"/>
      <c r="WTA7" s="302"/>
      <c r="WTB7" s="302"/>
      <c r="WTC7" s="302"/>
      <c r="WTD7" s="302"/>
      <c r="WTE7" s="302"/>
      <c r="WTF7" s="302"/>
      <c r="WTG7" s="302"/>
      <c r="WTH7" s="302"/>
      <c r="WTI7" s="302"/>
      <c r="WTJ7" s="302"/>
      <c r="WTK7" s="302"/>
      <c r="WTL7" s="302"/>
      <c r="WTM7" s="302"/>
      <c r="WTN7" s="302"/>
      <c r="WTO7" s="302"/>
      <c r="WTP7" s="302"/>
      <c r="WTQ7" s="302"/>
      <c r="WTR7" s="302"/>
      <c r="WTS7" s="302"/>
      <c r="WTT7" s="302"/>
      <c r="WTU7" s="302"/>
      <c r="WTV7" s="302"/>
      <c r="WTW7" s="302"/>
      <c r="WTX7" s="302"/>
      <c r="WTY7" s="302"/>
      <c r="WTZ7" s="302"/>
      <c r="WUA7" s="302"/>
      <c r="WUB7" s="302"/>
      <c r="WUC7" s="302"/>
      <c r="WUD7" s="302"/>
      <c r="WUE7" s="302"/>
      <c r="WUF7" s="302"/>
      <c r="WUG7" s="302"/>
      <c r="WUH7" s="302"/>
      <c r="WUI7" s="302"/>
      <c r="WUJ7" s="302"/>
      <c r="WUK7" s="302"/>
      <c r="WUL7" s="302"/>
      <c r="WUM7" s="302"/>
      <c r="WUN7" s="302"/>
      <c r="WUO7" s="302"/>
      <c r="WUP7" s="302"/>
      <c r="WUQ7" s="302"/>
      <c r="WUR7" s="302"/>
      <c r="WUS7" s="302"/>
      <c r="WUT7" s="302"/>
      <c r="WUU7" s="302"/>
      <c r="WUV7" s="302"/>
      <c r="WUW7" s="302"/>
      <c r="WUX7" s="302"/>
      <c r="WUY7" s="302"/>
      <c r="WUZ7" s="302"/>
      <c r="WVA7" s="302"/>
      <c r="WVB7" s="302"/>
      <c r="WVC7" s="302"/>
      <c r="WVD7" s="302"/>
      <c r="WVE7" s="302"/>
      <c r="WVF7" s="302"/>
      <c r="WVG7" s="302"/>
      <c r="WVH7" s="302"/>
      <c r="WVI7" s="302"/>
      <c r="WVJ7" s="302"/>
      <c r="WVK7" s="302"/>
      <c r="WVL7" s="302"/>
      <c r="WVM7" s="302"/>
      <c r="WVN7" s="302"/>
      <c r="WVO7" s="302"/>
      <c r="WVP7" s="302"/>
      <c r="WVQ7" s="302"/>
      <c r="WVR7" s="302"/>
      <c r="WVS7" s="302"/>
      <c r="WVT7" s="302"/>
      <c r="WVU7" s="302"/>
      <c r="WVV7" s="302"/>
      <c r="WVW7" s="302"/>
      <c r="WVX7" s="302"/>
      <c r="WVY7" s="302"/>
      <c r="WVZ7" s="302"/>
      <c r="WWA7" s="302"/>
      <c r="WWB7" s="302"/>
      <c r="WWC7" s="302"/>
      <c r="WWD7" s="302"/>
      <c r="WWE7" s="302"/>
      <c r="WWF7" s="302"/>
      <c r="WWG7" s="302"/>
      <c r="WWH7" s="302"/>
      <c r="WWI7" s="302"/>
      <c r="WWJ7" s="302"/>
      <c r="WWK7" s="302"/>
      <c r="WWL7" s="302"/>
      <c r="WWM7" s="302"/>
      <c r="WWN7" s="302"/>
      <c r="WWO7" s="302"/>
      <c r="WWP7" s="302"/>
      <c r="WWQ7" s="302"/>
      <c r="WWR7" s="302"/>
      <c r="WWS7" s="302"/>
      <c r="WWT7" s="302"/>
      <c r="WWU7" s="302"/>
      <c r="WWV7" s="302"/>
      <c r="WWW7" s="302"/>
      <c r="WWX7" s="302"/>
      <c r="WWY7" s="302"/>
      <c r="WWZ7" s="302"/>
      <c r="WXA7" s="302"/>
      <c r="WXB7" s="302"/>
      <c r="WXC7" s="302"/>
      <c r="WXD7" s="302"/>
      <c r="WXE7" s="302"/>
      <c r="WXF7" s="302"/>
      <c r="WXG7" s="302"/>
      <c r="WXH7" s="302"/>
      <c r="WXI7" s="302"/>
      <c r="WXJ7" s="302"/>
      <c r="WXK7" s="302"/>
      <c r="WXL7" s="302"/>
      <c r="WXM7" s="302"/>
      <c r="WXN7" s="302"/>
      <c r="WXO7" s="302"/>
      <c r="WXP7" s="302"/>
      <c r="WXQ7" s="302"/>
      <c r="WXR7" s="302"/>
      <c r="WXS7" s="302"/>
      <c r="WXT7" s="302"/>
      <c r="WXU7" s="302"/>
      <c r="WXV7" s="302"/>
      <c r="WXW7" s="302"/>
      <c r="WXX7" s="302"/>
      <c r="WXY7" s="302"/>
      <c r="WXZ7" s="302"/>
      <c r="WYA7" s="302"/>
      <c r="WYB7" s="302"/>
      <c r="WYC7" s="302"/>
      <c r="WYD7" s="302"/>
      <c r="WYE7" s="302"/>
      <c r="WYF7" s="302"/>
      <c r="WYG7" s="302"/>
      <c r="WYH7" s="302"/>
      <c r="WYI7" s="302"/>
      <c r="WYJ7" s="302"/>
      <c r="WYK7" s="302"/>
      <c r="WYL7" s="302"/>
      <c r="WYM7" s="302"/>
      <c r="WYN7" s="302"/>
      <c r="WYO7" s="302"/>
      <c r="WYP7" s="302"/>
      <c r="WYQ7" s="302"/>
      <c r="WYR7" s="302"/>
      <c r="WYS7" s="302"/>
      <c r="WYT7" s="302"/>
      <c r="WYU7" s="302"/>
      <c r="WYV7" s="302"/>
      <c r="WYW7" s="302"/>
      <c r="WYX7" s="302"/>
      <c r="WYY7" s="302"/>
      <c r="WYZ7" s="302"/>
      <c r="WZA7" s="302"/>
      <c r="WZB7" s="302"/>
      <c r="WZC7" s="302"/>
      <c r="WZD7" s="302"/>
      <c r="WZE7" s="302"/>
      <c r="WZF7" s="302"/>
      <c r="WZG7" s="302"/>
      <c r="WZH7" s="302"/>
      <c r="WZI7" s="302"/>
      <c r="WZJ7" s="302"/>
      <c r="WZK7" s="302"/>
      <c r="WZL7" s="302"/>
      <c r="WZM7" s="302"/>
      <c r="WZN7" s="302"/>
      <c r="WZO7" s="302"/>
      <c r="WZP7" s="302"/>
      <c r="WZQ7" s="302"/>
      <c r="WZR7" s="302"/>
      <c r="WZS7" s="302"/>
      <c r="WZT7" s="302"/>
      <c r="WZU7" s="302"/>
      <c r="WZV7" s="302"/>
      <c r="WZW7" s="302"/>
      <c r="WZX7" s="302"/>
      <c r="WZY7" s="302"/>
      <c r="WZZ7" s="302"/>
      <c r="XAA7" s="302"/>
      <c r="XAB7" s="302"/>
      <c r="XAC7" s="302"/>
      <c r="XAD7" s="302"/>
      <c r="XAE7" s="302"/>
      <c r="XAF7" s="302"/>
      <c r="XAG7" s="302"/>
      <c r="XAH7" s="302"/>
      <c r="XAI7" s="302"/>
      <c r="XAJ7" s="302"/>
      <c r="XAK7" s="302"/>
      <c r="XAL7" s="302"/>
      <c r="XAM7" s="302"/>
      <c r="XAN7" s="302"/>
      <c r="XAO7" s="302"/>
      <c r="XAP7" s="302"/>
      <c r="XAQ7" s="302"/>
      <c r="XAR7" s="302"/>
      <c r="XAS7" s="302"/>
      <c r="XAT7" s="302"/>
      <c r="XAU7" s="302"/>
      <c r="XAV7" s="302"/>
      <c r="XAW7" s="302"/>
      <c r="XAX7" s="302"/>
      <c r="XAY7" s="302"/>
      <c r="XAZ7" s="302"/>
      <c r="XBA7" s="302"/>
      <c r="XBB7" s="302"/>
      <c r="XBC7" s="302"/>
      <c r="XBD7" s="302"/>
      <c r="XBE7" s="302"/>
      <c r="XBF7" s="302"/>
      <c r="XBG7" s="302"/>
      <c r="XBH7" s="302"/>
      <c r="XBI7" s="302"/>
      <c r="XBJ7" s="302"/>
      <c r="XBK7" s="302"/>
      <c r="XBL7" s="302"/>
      <c r="XBM7" s="302"/>
      <c r="XBN7" s="302"/>
      <c r="XBO7" s="302"/>
      <c r="XBP7" s="302"/>
      <c r="XBQ7" s="302"/>
      <c r="XBR7" s="302"/>
      <c r="XBS7" s="302"/>
      <c r="XBT7" s="302"/>
      <c r="XBU7" s="302"/>
      <c r="XBV7" s="302"/>
      <c r="XBW7" s="302"/>
      <c r="XBX7" s="302"/>
      <c r="XBY7" s="302"/>
      <c r="XBZ7" s="302"/>
      <c r="XCA7" s="302"/>
      <c r="XCB7" s="302"/>
      <c r="XCC7" s="302"/>
      <c r="XCD7" s="302"/>
      <c r="XCE7" s="302"/>
      <c r="XCF7" s="302"/>
      <c r="XCG7" s="302"/>
      <c r="XCH7" s="302"/>
      <c r="XCI7" s="302"/>
      <c r="XCJ7" s="302"/>
      <c r="XCK7" s="302"/>
      <c r="XCL7" s="302"/>
      <c r="XCM7" s="302"/>
      <c r="XCN7" s="302"/>
      <c r="XCO7" s="302"/>
      <c r="XCP7" s="302"/>
      <c r="XCQ7" s="302"/>
      <c r="XCR7" s="302"/>
      <c r="XCS7" s="302"/>
      <c r="XCT7" s="302"/>
      <c r="XCU7" s="302"/>
      <c r="XCV7" s="302"/>
      <c r="XCW7" s="302"/>
      <c r="XCX7" s="302"/>
      <c r="XCY7" s="302"/>
      <c r="XCZ7" s="302"/>
    </row>
    <row r="8" spans="1:16328" s="136" customFormat="1" ht="13.5">
      <c r="A8" s="207" t="s">
        <v>5009</v>
      </c>
      <c r="B8" s="308" t="s">
        <v>5115</v>
      </c>
      <c r="C8" s="207" t="s">
        <v>5098</v>
      </c>
      <c r="D8" s="208" t="s">
        <v>1175</v>
      </c>
      <c r="E8" s="209">
        <f>3+88+720</f>
        <v>811</v>
      </c>
      <c r="F8" s="300" t="s">
        <v>7041</v>
      </c>
      <c r="G8" s="209">
        <f>3*10+7.66*88+7.66*720</f>
        <v>6219.28</v>
      </c>
    </row>
    <row r="9" spans="1:16328" ht="15" customHeight="1">
      <c r="A9" s="211" t="s">
        <v>5010</v>
      </c>
      <c r="B9" s="308" t="s">
        <v>5115</v>
      </c>
      <c r="C9" s="207" t="s">
        <v>5098</v>
      </c>
      <c r="D9" s="210" t="s">
        <v>1806</v>
      </c>
      <c r="E9" s="209">
        <f>144-3-2-12-12-12-100</f>
        <v>3</v>
      </c>
      <c r="F9" s="299">
        <v>0</v>
      </c>
      <c r="G9" s="217"/>
    </row>
    <row r="10" spans="1:16328" ht="15" customHeight="1">
      <c r="A10" s="211" t="s">
        <v>5019</v>
      </c>
      <c r="B10" s="308" t="s">
        <v>5115</v>
      </c>
      <c r="C10" s="207" t="s">
        <v>5098</v>
      </c>
      <c r="D10" s="210" t="s">
        <v>5343</v>
      </c>
      <c r="E10" s="209">
        <f>144-24-12</f>
        <v>108</v>
      </c>
      <c r="F10" s="299">
        <v>0</v>
      </c>
      <c r="G10" s="209"/>
    </row>
    <row r="11" spans="1:16328" ht="15" customHeight="1">
      <c r="A11" s="207" t="s">
        <v>5025</v>
      </c>
      <c r="B11" s="308" t="s">
        <v>5115</v>
      </c>
      <c r="C11" s="207" t="s">
        <v>5099</v>
      </c>
      <c r="D11" s="210">
        <v>2245</v>
      </c>
      <c r="E11" s="209">
        <f>288-3-12-12</f>
        <v>261</v>
      </c>
      <c r="F11" s="299">
        <v>0</v>
      </c>
      <c r="G11" s="217"/>
    </row>
    <row r="12" spans="1:16328" ht="15" customHeight="1">
      <c r="A12" s="207" t="s">
        <v>5026</v>
      </c>
      <c r="B12" s="308" t="s">
        <v>5115</v>
      </c>
      <c r="C12" s="207" t="s">
        <v>5100</v>
      </c>
      <c r="D12" s="210">
        <v>3983</v>
      </c>
      <c r="E12" s="209">
        <f>250-3-10-10-10-100-10</f>
        <v>107</v>
      </c>
      <c r="F12" s="299">
        <v>0</v>
      </c>
      <c r="G12" s="217"/>
    </row>
    <row r="13" spans="1:16328" ht="15" customHeight="1">
      <c r="A13" s="211" t="s">
        <v>5012</v>
      </c>
      <c r="B13" s="308" t="s">
        <v>5115</v>
      </c>
      <c r="C13" s="207" t="s">
        <v>5100</v>
      </c>
      <c r="D13" s="210">
        <v>3985</v>
      </c>
      <c r="E13" s="209">
        <f>250-1-150-99</f>
        <v>0</v>
      </c>
      <c r="F13" s="299">
        <v>0</v>
      </c>
      <c r="G13" s="209"/>
    </row>
    <row r="14" spans="1:16328" ht="15" customHeight="1">
      <c r="A14" s="207" t="s">
        <v>5023</v>
      </c>
      <c r="B14" s="307"/>
      <c r="C14" s="207"/>
      <c r="D14" s="210" t="s">
        <v>5339</v>
      </c>
      <c r="E14" s="209">
        <v>0</v>
      </c>
      <c r="F14" s="209"/>
      <c r="G14" s="209"/>
    </row>
    <row r="15" spans="1:16328" ht="15" customHeight="1">
      <c r="A15" s="207" t="s">
        <v>5022</v>
      </c>
      <c r="B15" s="307"/>
      <c r="C15" s="207"/>
      <c r="D15" s="210" t="s">
        <v>5340</v>
      </c>
      <c r="E15" s="209">
        <v>0</v>
      </c>
      <c r="F15" s="209"/>
      <c r="G15" s="209"/>
    </row>
    <row r="16" spans="1:16328" ht="15" customHeight="1">
      <c r="A16" s="207" t="s">
        <v>5024</v>
      </c>
      <c r="B16" s="307"/>
      <c r="C16" s="207"/>
      <c r="D16" s="210" t="s">
        <v>5341</v>
      </c>
      <c r="E16" s="209">
        <v>0</v>
      </c>
      <c r="F16" s="209"/>
      <c r="G16" s="209"/>
    </row>
    <row r="17" spans="1:7" ht="15" customHeight="1">
      <c r="A17" s="207" t="s">
        <v>5021</v>
      </c>
      <c r="B17" s="307"/>
      <c r="C17" s="207"/>
      <c r="D17" s="210" t="s">
        <v>5342</v>
      </c>
      <c r="E17" s="209">
        <v>0</v>
      </c>
      <c r="F17" s="209"/>
      <c r="G17" s="209"/>
    </row>
    <row r="18" spans="1:7" ht="15" customHeight="1">
      <c r="A18" s="207" t="s">
        <v>5020</v>
      </c>
      <c r="B18" s="308" t="s">
        <v>5116</v>
      </c>
      <c r="C18" s="207" t="s">
        <v>5101</v>
      </c>
      <c r="D18" s="210" t="s">
        <v>1805</v>
      </c>
      <c r="E18" s="209">
        <f>288-3-12-12</f>
        <v>261</v>
      </c>
      <c r="F18" s="299">
        <v>0</v>
      </c>
      <c r="G18" s="217"/>
    </row>
    <row r="19" spans="1:7" ht="15" customHeight="1">
      <c r="A19" s="211" t="s">
        <v>5013</v>
      </c>
      <c r="B19" s="308" t="s">
        <v>5116</v>
      </c>
      <c r="C19" s="211" t="s">
        <v>5104</v>
      </c>
      <c r="D19" s="210" t="s">
        <v>1807</v>
      </c>
      <c r="E19" s="209">
        <f>288-3-1-12-12-12-12</f>
        <v>236</v>
      </c>
      <c r="F19" s="299">
        <v>0</v>
      </c>
      <c r="G19" s="217"/>
    </row>
    <row r="20" spans="1:7" ht="15" customHeight="1">
      <c r="A20" s="207" t="s">
        <v>5014</v>
      </c>
      <c r="B20" s="308" t="s">
        <v>5116</v>
      </c>
      <c r="C20" s="211" t="s">
        <v>5104</v>
      </c>
      <c r="D20" s="210" t="s">
        <v>1807</v>
      </c>
      <c r="E20" s="209">
        <v>288</v>
      </c>
      <c r="F20" s="299">
        <v>0</v>
      </c>
      <c r="G20" s="209"/>
    </row>
    <row r="21" spans="1:7" ht="15" customHeight="1">
      <c r="A21" s="207" t="s">
        <v>5013</v>
      </c>
      <c r="B21" s="308" t="s">
        <v>5116</v>
      </c>
      <c r="C21" s="211" t="s">
        <v>5103</v>
      </c>
      <c r="D21" s="210" t="s">
        <v>1808</v>
      </c>
      <c r="E21" s="209">
        <f>288-3-12-12-12</f>
        <v>249</v>
      </c>
      <c r="F21" s="299">
        <v>0</v>
      </c>
      <c r="G21" s="217"/>
    </row>
    <row r="22" spans="1:7" ht="15" customHeight="1">
      <c r="A22" s="207" t="s">
        <v>5014</v>
      </c>
      <c r="B22" s="308" t="s">
        <v>5116</v>
      </c>
      <c r="C22" s="207" t="s">
        <v>5102</v>
      </c>
      <c r="D22" s="210" t="s">
        <v>1808</v>
      </c>
      <c r="E22" s="209">
        <v>288</v>
      </c>
      <c r="F22" s="299">
        <v>0</v>
      </c>
      <c r="G22" s="209"/>
    </row>
    <row r="23" spans="1:7" ht="15" customHeight="1">
      <c r="A23" s="207" t="s">
        <v>5014</v>
      </c>
      <c r="B23" s="308" t="s">
        <v>5116</v>
      </c>
      <c r="C23" s="207" t="s">
        <v>5105</v>
      </c>
      <c r="D23" s="210" t="s">
        <v>1809</v>
      </c>
      <c r="E23" s="209">
        <f>576-3-12-12-12-12-12-12</f>
        <v>501</v>
      </c>
      <c r="F23" s="299">
        <v>0</v>
      </c>
      <c r="G23" s="217"/>
    </row>
    <row r="24" spans="1:7" ht="15" customHeight="1">
      <c r="A24" s="207" t="s">
        <v>5014</v>
      </c>
      <c r="B24" s="308" t="s">
        <v>5116</v>
      </c>
      <c r="C24" s="207" t="s">
        <v>5106</v>
      </c>
      <c r="D24" s="210" t="s">
        <v>1810</v>
      </c>
      <c r="E24" s="209">
        <f>720-3-12-12-12-30</f>
        <v>651</v>
      </c>
      <c r="F24" s="299">
        <v>0</v>
      </c>
      <c r="G24" s="217"/>
    </row>
    <row r="25" spans="1:7" ht="15" customHeight="1">
      <c r="A25" s="207" t="s">
        <v>5014</v>
      </c>
      <c r="B25" s="308" t="s">
        <v>5116</v>
      </c>
      <c r="C25" s="207" t="s">
        <v>5107</v>
      </c>
      <c r="D25" s="210" t="s">
        <v>1811</v>
      </c>
      <c r="E25" s="209">
        <f>576-3-10-4+3-12-12-12-1</f>
        <v>525</v>
      </c>
      <c r="F25" s="299">
        <v>0</v>
      </c>
      <c r="G25" s="217"/>
    </row>
    <row r="26" spans="1:7" ht="15" customHeight="1">
      <c r="A26" s="207" t="s">
        <v>5013</v>
      </c>
      <c r="B26" s="308" t="s">
        <v>5116</v>
      </c>
      <c r="C26" s="207" t="s">
        <v>5108</v>
      </c>
      <c r="D26" s="210" t="s">
        <v>1812</v>
      </c>
      <c r="E26" s="209">
        <f>288-3-12-12-12-12-12</f>
        <v>225</v>
      </c>
      <c r="F26" s="299">
        <v>0</v>
      </c>
      <c r="G26" s="217"/>
    </row>
    <row r="27" spans="1:7" ht="15" customHeight="1">
      <c r="A27" s="207" t="s">
        <v>5015</v>
      </c>
      <c r="B27" s="308" t="s">
        <v>5116</v>
      </c>
      <c r="C27" s="211" t="s">
        <v>5110</v>
      </c>
      <c r="D27" s="210" t="s">
        <v>1813</v>
      </c>
      <c r="E27" s="209">
        <f>144-60-12-12-12-12-12</f>
        <v>24</v>
      </c>
      <c r="F27" s="299">
        <v>0</v>
      </c>
      <c r="G27" s="217"/>
    </row>
    <row r="28" spans="1:7" ht="15" customHeight="1">
      <c r="A28" s="207" t="s">
        <v>5018</v>
      </c>
      <c r="B28" s="308" t="s">
        <v>5116</v>
      </c>
      <c r="C28" s="207" t="s">
        <v>5109</v>
      </c>
      <c r="D28" s="210" t="s">
        <v>1813</v>
      </c>
      <c r="E28" s="209">
        <f>144-3-140</f>
        <v>1</v>
      </c>
      <c r="F28" s="299">
        <v>0</v>
      </c>
      <c r="G28" s="209"/>
    </row>
    <row r="29" spans="1:7" ht="15" customHeight="1">
      <c r="A29" s="207" t="s">
        <v>5016</v>
      </c>
      <c r="B29" s="307"/>
      <c r="C29" s="207"/>
      <c r="D29" s="210" t="s">
        <v>5344</v>
      </c>
      <c r="E29" s="209">
        <v>0</v>
      </c>
      <c r="F29" s="209"/>
      <c r="G29" s="209"/>
    </row>
    <row r="30" spans="1:7" ht="15" customHeight="1">
      <c r="A30" s="207" t="s">
        <v>5018</v>
      </c>
      <c r="B30" s="307"/>
      <c r="C30" s="207"/>
      <c r="D30" s="210" t="s">
        <v>5344</v>
      </c>
      <c r="E30" s="209">
        <v>0</v>
      </c>
      <c r="F30" s="209"/>
      <c r="G30" s="209"/>
    </row>
    <row r="31" spans="1:7" ht="15" customHeight="1">
      <c r="A31" s="207" t="s">
        <v>5017</v>
      </c>
      <c r="B31" s="308" t="s">
        <v>5116</v>
      </c>
      <c r="C31" s="207" t="s">
        <v>5111</v>
      </c>
      <c r="D31" s="210" t="s">
        <v>1814</v>
      </c>
      <c r="E31" s="209">
        <f>288-3-12-12</f>
        <v>261</v>
      </c>
      <c r="F31" s="299">
        <v>0</v>
      </c>
      <c r="G31" s="209"/>
    </row>
    <row r="32" spans="1:7" ht="15" customHeight="1">
      <c r="A32" s="211" t="s">
        <v>5027</v>
      </c>
      <c r="B32" s="308" t="s">
        <v>5115</v>
      </c>
      <c r="C32" s="211" t="s">
        <v>5112</v>
      </c>
      <c r="D32" s="210" t="s">
        <v>1815</v>
      </c>
      <c r="E32" s="209">
        <f>288-2-1-12-12-12-50-1-198</f>
        <v>0</v>
      </c>
      <c r="F32" s="299">
        <v>0</v>
      </c>
      <c r="G32" s="217"/>
    </row>
    <row r="33" spans="1:7" ht="15" customHeight="1">
      <c r="A33" s="211" t="s">
        <v>7032</v>
      </c>
      <c r="B33" s="307" t="s">
        <v>5115</v>
      </c>
      <c r="C33" s="207" t="s">
        <v>5112</v>
      </c>
      <c r="D33" s="210" t="s">
        <v>1815</v>
      </c>
      <c r="E33" s="209">
        <f>288-3-1-10-2-100</f>
        <v>172</v>
      </c>
      <c r="F33" s="299">
        <v>0</v>
      </c>
      <c r="G33" s="209"/>
    </row>
    <row r="34" spans="1:7" ht="15" customHeight="1">
      <c r="A34" s="211" t="s">
        <v>5376</v>
      </c>
      <c r="B34" s="307" t="s">
        <v>5115</v>
      </c>
      <c r="C34" s="207" t="s">
        <v>5113</v>
      </c>
      <c r="D34" s="210" t="s">
        <v>1816</v>
      </c>
      <c r="E34" s="209">
        <f>144-3-12-12-12-12-12</f>
        <v>81</v>
      </c>
      <c r="F34" s="299">
        <v>0</v>
      </c>
      <c r="G34" s="217"/>
    </row>
    <row r="35" spans="1:7" ht="15" customHeight="1">
      <c r="A35" s="211" t="s">
        <v>5375</v>
      </c>
      <c r="B35" s="307" t="s">
        <v>5115</v>
      </c>
      <c r="C35" s="207" t="s">
        <v>5113</v>
      </c>
      <c r="D35" s="210" t="s">
        <v>1816</v>
      </c>
      <c r="E35" s="209">
        <v>144</v>
      </c>
      <c r="F35" s="299">
        <v>0</v>
      </c>
      <c r="G35" s="209"/>
    </row>
    <row r="36" spans="1:7" ht="15" customHeight="1">
      <c r="A36" s="207" t="s">
        <v>5028</v>
      </c>
      <c r="B36" s="307" t="s">
        <v>5115</v>
      </c>
      <c r="C36" s="207" t="s">
        <v>5374</v>
      </c>
      <c r="D36" s="210" t="s">
        <v>5345</v>
      </c>
      <c r="E36" s="323">
        <f>400-100</f>
        <v>300</v>
      </c>
      <c r="F36" s="299">
        <v>0</v>
      </c>
      <c r="G36" s="217"/>
    </row>
    <row r="37" spans="1:7" ht="15" customHeight="1">
      <c r="A37" s="207" t="s">
        <v>5028</v>
      </c>
      <c r="B37" s="307" t="s">
        <v>5115</v>
      </c>
      <c r="C37" s="207" t="s">
        <v>5374</v>
      </c>
      <c r="D37" s="210" t="s">
        <v>5345</v>
      </c>
      <c r="E37" s="323">
        <f>500-500+2000-1000+2500</f>
        <v>3500</v>
      </c>
      <c r="F37" s="374">
        <v>1.32</v>
      </c>
      <c r="G37" s="374">
        <f>F37*E37</f>
        <v>4620</v>
      </c>
    </row>
    <row r="38" spans="1:7" ht="15" customHeight="1">
      <c r="A38" s="207" t="s">
        <v>5029</v>
      </c>
      <c r="B38" s="307"/>
      <c r="C38" s="207"/>
      <c r="D38" s="210" t="s">
        <v>5346</v>
      </c>
      <c r="E38" s="209">
        <v>0</v>
      </c>
      <c r="F38" s="209"/>
      <c r="G38" s="209"/>
    </row>
    <row r="39" spans="1:7" ht="15" customHeight="1">
      <c r="A39" s="211" t="s">
        <v>1836</v>
      </c>
      <c r="B39" s="308"/>
      <c r="C39" s="211"/>
      <c r="D39" s="208"/>
      <c r="E39" s="300">
        <f>398-1</f>
        <v>397</v>
      </c>
      <c r="F39" s="299">
        <v>0</v>
      </c>
      <c r="G39" s="209"/>
    </row>
    <row r="40" spans="1:7" ht="15" customHeight="1">
      <c r="A40" s="216" t="s">
        <v>1838</v>
      </c>
      <c r="B40" s="216"/>
      <c r="C40" s="216"/>
      <c r="D40" s="218"/>
      <c r="E40" s="217"/>
      <c r="F40" s="217"/>
      <c r="G40" s="217">
        <f>SUM(G2:G39)</f>
        <v>46853.799999999996</v>
      </c>
    </row>
  </sheetData>
  <autoFilter ref="A1:G40">
    <filterColumn colId="0"/>
    <filterColumn colId="1"/>
    <filterColumn colId="2"/>
  </autoFilter>
  <phoneticPr fontId="22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3"/>
  <sheetViews>
    <sheetView zoomScaleSheetLayoutView="100" workbookViewId="0">
      <pane ySplit="1" topLeftCell="A259" activePane="bottomLeft" state="frozen"/>
      <selection pane="bottomLeft" activeCell="B297" sqref="B297"/>
    </sheetView>
  </sheetViews>
  <sheetFormatPr defaultRowHeight="13.5" customHeight="1"/>
  <cols>
    <col min="1" max="1" width="13.375" style="6" customWidth="1"/>
    <col min="2" max="2" width="28.75" style="3" customWidth="1"/>
    <col min="3" max="3" width="12.375" style="3" customWidth="1"/>
    <col min="4" max="4" width="9.375" style="3" customWidth="1"/>
    <col min="5" max="5" width="7.375" style="3" customWidth="1"/>
    <col min="6" max="6" width="19.75" style="3" customWidth="1"/>
    <col min="7" max="7" width="8" style="3" customWidth="1"/>
    <col min="8" max="8" width="11" style="3" customWidth="1"/>
    <col min="9" max="9" width="18.5" style="3" customWidth="1"/>
    <col min="10" max="16384" width="9" style="3"/>
  </cols>
  <sheetData>
    <row r="1" spans="1:9" ht="13.5" customHeight="1">
      <c r="A1" s="6" t="s">
        <v>215</v>
      </c>
      <c r="B1" s="3" t="s">
        <v>217</v>
      </c>
      <c r="C1" s="3" t="s">
        <v>646</v>
      </c>
      <c r="D1" s="3" t="s">
        <v>218</v>
      </c>
      <c r="E1" s="3" t="s">
        <v>219</v>
      </c>
      <c r="F1" s="10" t="s">
        <v>1657</v>
      </c>
      <c r="G1" s="3" t="s">
        <v>227</v>
      </c>
      <c r="H1" s="3" t="s">
        <v>375</v>
      </c>
      <c r="I1" s="10" t="s">
        <v>1619</v>
      </c>
    </row>
    <row r="2" spans="1:9" ht="13.5" customHeight="1">
      <c r="A2" s="4">
        <v>40969</v>
      </c>
      <c r="B2" s="3" t="s">
        <v>305</v>
      </c>
      <c r="C2" s="3">
        <v>1270</v>
      </c>
      <c r="D2" s="3">
        <v>2</v>
      </c>
      <c r="E2" s="3" t="s">
        <v>690</v>
      </c>
      <c r="G2" s="2" t="s">
        <v>703</v>
      </c>
      <c r="H2" s="2" t="s">
        <v>683</v>
      </c>
    </row>
    <row r="3" spans="1:9" ht="13.5" customHeight="1">
      <c r="A3" s="4">
        <v>40969</v>
      </c>
      <c r="B3" s="3" t="s">
        <v>700</v>
      </c>
      <c r="C3" s="3" t="s">
        <v>379</v>
      </c>
      <c r="D3" s="3">
        <v>1</v>
      </c>
      <c r="E3" s="3" t="s">
        <v>684</v>
      </c>
      <c r="G3" s="2" t="s">
        <v>703</v>
      </c>
      <c r="H3" s="2" t="s">
        <v>683</v>
      </c>
    </row>
    <row r="4" spans="1:9" ht="13.5" customHeight="1">
      <c r="A4" s="4">
        <v>40969</v>
      </c>
      <c r="B4" s="2" t="s">
        <v>704</v>
      </c>
      <c r="C4" s="2">
        <v>10436</v>
      </c>
      <c r="D4" s="2" t="s">
        <v>690</v>
      </c>
      <c r="E4" s="5">
        <v>1</v>
      </c>
      <c r="G4" s="2" t="s">
        <v>703</v>
      </c>
      <c r="H4" s="2" t="s">
        <v>683</v>
      </c>
    </row>
    <row r="5" spans="1:9" ht="13.5" customHeight="1">
      <c r="A5" s="4">
        <v>40969</v>
      </c>
      <c r="B5" s="3" t="s">
        <v>702</v>
      </c>
      <c r="C5" s="3" t="s">
        <v>722</v>
      </c>
      <c r="D5" s="3">
        <v>1</v>
      </c>
      <c r="E5" s="3" t="s">
        <v>684</v>
      </c>
      <c r="G5" s="2" t="s">
        <v>703</v>
      </c>
      <c r="H5" s="2" t="s">
        <v>683</v>
      </c>
    </row>
    <row r="6" spans="1:9" ht="13.5" customHeight="1">
      <c r="A6" s="4">
        <v>40969</v>
      </c>
      <c r="B6" s="3" t="s">
        <v>353</v>
      </c>
      <c r="C6" s="3" t="s">
        <v>259</v>
      </c>
      <c r="D6" s="2">
        <v>2</v>
      </c>
      <c r="E6" s="2" t="s">
        <v>684</v>
      </c>
      <c r="F6" s="2"/>
      <c r="G6" s="2" t="s">
        <v>703</v>
      </c>
      <c r="H6" s="2" t="s">
        <v>683</v>
      </c>
    </row>
    <row r="7" spans="1:9" ht="13.5" customHeight="1">
      <c r="A7" s="4">
        <v>40969</v>
      </c>
      <c r="B7" s="11" t="s">
        <v>810</v>
      </c>
      <c r="C7" s="11">
        <v>8511</v>
      </c>
      <c r="D7" s="5">
        <f>2+10</f>
        <v>12</v>
      </c>
      <c r="E7" s="13" t="s">
        <v>684</v>
      </c>
      <c r="F7" s="2"/>
      <c r="G7" s="2" t="s">
        <v>703</v>
      </c>
      <c r="H7" s="2" t="s">
        <v>683</v>
      </c>
    </row>
    <row r="8" spans="1:9" ht="13.5" customHeight="1">
      <c r="A8" s="4">
        <v>40969</v>
      </c>
      <c r="B8" s="1" t="s">
        <v>732</v>
      </c>
      <c r="C8" s="11">
        <v>8822</v>
      </c>
      <c r="D8" s="12">
        <v>10</v>
      </c>
      <c r="E8" s="13" t="s">
        <v>684</v>
      </c>
      <c r="F8" s="2"/>
      <c r="G8" s="2" t="s">
        <v>703</v>
      </c>
      <c r="H8" s="2" t="s">
        <v>683</v>
      </c>
    </row>
    <row r="9" spans="1:9" ht="13.5" customHeight="1">
      <c r="A9" s="4">
        <v>40969</v>
      </c>
      <c r="B9" s="2" t="s">
        <v>237</v>
      </c>
      <c r="C9" s="2" t="s">
        <v>238</v>
      </c>
      <c r="D9" s="2">
        <v>10</v>
      </c>
      <c r="E9" s="2" t="s">
        <v>735</v>
      </c>
      <c r="F9" s="2"/>
      <c r="G9" s="2" t="s">
        <v>649</v>
      </c>
      <c r="H9" s="2" t="s">
        <v>648</v>
      </c>
    </row>
    <row r="10" spans="1:9" ht="13.5" customHeight="1">
      <c r="A10" s="4">
        <v>40969</v>
      </c>
      <c r="B10" s="2" t="s">
        <v>667</v>
      </c>
      <c r="C10" s="2">
        <v>8577</v>
      </c>
      <c r="D10" s="2">
        <v>3</v>
      </c>
      <c r="E10" s="9" t="s">
        <v>684</v>
      </c>
      <c r="F10" s="2"/>
      <c r="G10" s="2" t="s">
        <v>649</v>
      </c>
      <c r="H10" s="2" t="s">
        <v>648</v>
      </c>
    </row>
    <row r="11" spans="1:9" ht="13.5" customHeight="1">
      <c r="A11" s="4">
        <v>40969</v>
      </c>
      <c r="B11" s="2" t="s">
        <v>263</v>
      </c>
      <c r="C11" s="2">
        <v>501</v>
      </c>
      <c r="D11" s="2">
        <v>10</v>
      </c>
      <c r="E11" s="2" t="s">
        <v>229</v>
      </c>
      <c r="F11" s="2"/>
      <c r="G11" s="2" t="s">
        <v>649</v>
      </c>
      <c r="H11" s="2" t="s">
        <v>648</v>
      </c>
    </row>
    <row r="12" spans="1:9" ht="13.5" customHeight="1">
      <c r="A12" s="4">
        <v>40969</v>
      </c>
      <c r="B12" s="2" t="s">
        <v>293</v>
      </c>
      <c r="C12" s="1">
        <v>7744</v>
      </c>
      <c r="D12" s="2">
        <v>10</v>
      </c>
      <c r="E12" s="1" t="s">
        <v>689</v>
      </c>
      <c r="F12" s="2"/>
      <c r="G12" s="1" t="s">
        <v>703</v>
      </c>
      <c r="H12" s="1" t="s">
        <v>683</v>
      </c>
    </row>
    <row r="13" spans="1:9" ht="13.5" customHeight="1">
      <c r="A13" s="4">
        <v>40969</v>
      </c>
      <c r="B13" s="2" t="s">
        <v>287</v>
      </c>
      <c r="C13" s="2">
        <v>10434</v>
      </c>
      <c r="D13" s="2">
        <v>10</v>
      </c>
      <c r="E13" s="2" t="s">
        <v>229</v>
      </c>
      <c r="F13" s="2"/>
      <c r="G13" s="2" t="s">
        <v>649</v>
      </c>
      <c r="H13" s="2" t="s">
        <v>648</v>
      </c>
    </row>
    <row r="14" spans="1:9" ht="13.5" customHeight="1">
      <c r="A14" s="4">
        <v>40969</v>
      </c>
      <c r="B14" s="2" t="s">
        <v>247</v>
      </c>
      <c r="C14" s="2">
        <v>11228</v>
      </c>
      <c r="D14" s="2">
        <v>2</v>
      </c>
      <c r="E14" s="2" t="s">
        <v>229</v>
      </c>
      <c r="F14" s="2"/>
      <c r="G14" s="2" t="s">
        <v>649</v>
      </c>
      <c r="H14" s="2" t="s">
        <v>648</v>
      </c>
    </row>
    <row r="15" spans="1:9" ht="13.5" customHeight="1">
      <c r="A15" s="4">
        <v>40969</v>
      </c>
      <c r="B15" s="2" t="s">
        <v>232</v>
      </c>
      <c r="C15" s="2" t="s">
        <v>233</v>
      </c>
      <c r="D15" s="2">
        <v>84</v>
      </c>
      <c r="E15" s="2" t="s">
        <v>229</v>
      </c>
      <c r="F15" s="2"/>
      <c r="G15" s="2" t="s">
        <v>649</v>
      </c>
      <c r="H15" s="2" t="s">
        <v>648</v>
      </c>
    </row>
    <row r="16" spans="1:9" ht="13.5" customHeight="1">
      <c r="A16" s="4">
        <v>40969</v>
      </c>
      <c r="B16" s="11" t="s">
        <v>618</v>
      </c>
      <c r="C16" s="11" t="s">
        <v>619</v>
      </c>
      <c r="D16" s="11">
        <v>3</v>
      </c>
      <c r="E16" s="15" t="s">
        <v>684</v>
      </c>
      <c r="F16" s="2"/>
      <c r="G16" s="2" t="s">
        <v>649</v>
      </c>
      <c r="H16" s="2" t="s">
        <v>648</v>
      </c>
    </row>
    <row r="17" spans="1:8" ht="13.5" customHeight="1">
      <c r="A17" s="6">
        <v>40969</v>
      </c>
      <c r="B17" s="3" t="s">
        <v>692</v>
      </c>
      <c r="C17" s="3" t="s">
        <v>769</v>
      </c>
      <c r="D17" s="2">
        <v>8</v>
      </c>
      <c r="E17" s="2" t="s">
        <v>690</v>
      </c>
      <c r="F17" s="2"/>
      <c r="G17" s="2" t="s">
        <v>703</v>
      </c>
      <c r="H17" s="2" t="s">
        <v>683</v>
      </c>
    </row>
    <row r="18" spans="1:8" s="8" customFormat="1" ht="13.5" customHeight="1">
      <c r="A18" s="7">
        <v>40969</v>
      </c>
      <c r="B18" s="5" t="s">
        <v>544</v>
      </c>
      <c r="C18" s="5">
        <v>7502</v>
      </c>
      <c r="D18" s="5">
        <v>4</v>
      </c>
      <c r="E18" s="5" t="s">
        <v>229</v>
      </c>
      <c r="F18" s="5"/>
      <c r="G18" s="5" t="s">
        <v>649</v>
      </c>
      <c r="H18" s="5" t="s">
        <v>648</v>
      </c>
    </row>
    <row r="19" spans="1:8" ht="13.5" customHeight="1">
      <c r="A19" s="4">
        <v>40969</v>
      </c>
      <c r="B19" s="2" t="s">
        <v>340</v>
      </c>
      <c r="C19" s="2" t="s">
        <v>262</v>
      </c>
      <c r="D19" s="2">
        <v>1</v>
      </c>
      <c r="E19" s="2" t="s">
        <v>239</v>
      </c>
      <c r="F19" s="2"/>
      <c r="G19" s="2" t="s">
        <v>649</v>
      </c>
      <c r="H19" s="2" t="s">
        <v>648</v>
      </c>
    </row>
    <row r="20" spans="1:8" ht="13.5" customHeight="1">
      <c r="A20" s="4">
        <v>40969</v>
      </c>
      <c r="B20" s="2" t="s">
        <v>266</v>
      </c>
      <c r="C20" s="2">
        <v>12308</v>
      </c>
      <c r="D20" s="2">
        <v>4</v>
      </c>
      <c r="E20" s="2" t="s">
        <v>239</v>
      </c>
      <c r="F20" s="2"/>
      <c r="G20" s="2" t="s">
        <v>649</v>
      </c>
      <c r="H20" s="2" t="s">
        <v>648</v>
      </c>
    </row>
    <row r="21" spans="1:8" ht="13.5" customHeight="1">
      <c r="A21" s="4">
        <v>40969</v>
      </c>
      <c r="B21" s="2" t="s">
        <v>230</v>
      </c>
      <c r="C21" s="2">
        <v>2097</v>
      </c>
      <c r="D21" s="2">
        <v>-1</v>
      </c>
      <c r="E21" s="2" t="s">
        <v>658</v>
      </c>
      <c r="F21" s="2"/>
      <c r="G21" s="2" t="s">
        <v>736</v>
      </c>
      <c r="H21" s="2" t="s">
        <v>648</v>
      </c>
    </row>
    <row r="22" spans="1:8" ht="13.5" customHeight="1">
      <c r="A22" s="6">
        <v>40969</v>
      </c>
      <c r="B22" s="2" t="s">
        <v>287</v>
      </c>
      <c r="C22" s="2">
        <v>10435</v>
      </c>
      <c r="D22" s="2">
        <v>-3</v>
      </c>
      <c r="E22" s="2" t="s">
        <v>737</v>
      </c>
      <c r="F22" s="2"/>
      <c r="G22" s="2" t="s">
        <v>647</v>
      </c>
      <c r="H22" s="2" t="s">
        <v>738</v>
      </c>
    </row>
    <row r="23" spans="1:8" ht="13.5" customHeight="1">
      <c r="A23" s="6">
        <v>40969</v>
      </c>
      <c r="B23" s="2" t="s">
        <v>659</v>
      </c>
      <c r="C23" s="2">
        <v>1711</v>
      </c>
      <c r="D23" s="2">
        <v>-4</v>
      </c>
      <c r="E23" s="2" t="s">
        <v>737</v>
      </c>
      <c r="F23" s="2"/>
      <c r="G23" s="2" t="s">
        <v>736</v>
      </c>
      <c r="H23" s="2" t="s">
        <v>648</v>
      </c>
    </row>
    <row r="24" spans="1:8" ht="13.5" customHeight="1">
      <c r="A24" s="4">
        <v>40969</v>
      </c>
      <c r="B24" s="2" t="s">
        <v>664</v>
      </c>
      <c r="C24" s="2">
        <v>8246</v>
      </c>
      <c r="D24" s="2">
        <v>18</v>
      </c>
      <c r="E24" s="2" t="s">
        <v>737</v>
      </c>
      <c r="F24" s="2"/>
      <c r="G24" s="2" t="s">
        <v>649</v>
      </c>
      <c r="H24" s="2" t="s">
        <v>648</v>
      </c>
    </row>
    <row r="25" spans="1:8" ht="13.5" customHeight="1">
      <c r="A25" s="4">
        <v>40969</v>
      </c>
      <c r="B25" s="2" t="s">
        <v>739</v>
      </c>
      <c r="C25" s="2" t="s">
        <v>662</v>
      </c>
      <c r="D25" s="2">
        <v>-1</v>
      </c>
      <c r="E25" s="2" t="s">
        <v>737</v>
      </c>
      <c r="F25" s="2"/>
      <c r="G25" s="2" t="s">
        <v>649</v>
      </c>
      <c r="H25" s="2" t="s">
        <v>648</v>
      </c>
    </row>
    <row r="26" spans="1:8" ht="13.5" customHeight="1">
      <c r="A26" s="4">
        <v>40969</v>
      </c>
      <c r="B26" s="2" t="s">
        <v>251</v>
      </c>
      <c r="C26" s="2" t="s">
        <v>252</v>
      </c>
      <c r="D26" s="2">
        <v>-2</v>
      </c>
      <c r="E26" s="2" t="s">
        <v>229</v>
      </c>
      <c r="F26" s="2"/>
      <c r="G26" s="2" t="s">
        <v>736</v>
      </c>
      <c r="H26" s="2" t="s">
        <v>648</v>
      </c>
    </row>
    <row r="27" spans="1:8" ht="13.5" customHeight="1">
      <c r="A27" s="6">
        <v>40969</v>
      </c>
      <c r="B27" s="2" t="s">
        <v>320</v>
      </c>
      <c r="C27" s="2">
        <v>8210</v>
      </c>
      <c r="D27" s="2">
        <v>-5</v>
      </c>
      <c r="E27" s="2" t="s">
        <v>737</v>
      </c>
      <c r="F27" s="2"/>
      <c r="G27" s="2" t="s">
        <v>647</v>
      </c>
      <c r="H27" s="2" t="s">
        <v>648</v>
      </c>
    </row>
    <row r="28" spans="1:8" ht="13.5" customHeight="1">
      <c r="A28" s="6">
        <v>40969</v>
      </c>
      <c r="B28" s="2" t="s">
        <v>250</v>
      </c>
      <c r="C28" s="2">
        <v>9022</v>
      </c>
      <c r="D28" s="2">
        <v>-52</v>
      </c>
      <c r="E28" s="2" t="s">
        <v>229</v>
      </c>
      <c r="F28" s="2"/>
      <c r="G28" s="2" t="s">
        <v>736</v>
      </c>
      <c r="H28" s="2" t="s">
        <v>648</v>
      </c>
    </row>
    <row r="29" spans="1:8" ht="13.5" customHeight="1">
      <c r="A29" s="6">
        <v>40969</v>
      </c>
      <c r="B29" s="2" t="s">
        <v>667</v>
      </c>
      <c r="C29" s="2" t="s">
        <v>668</v>
      </c>
      <c r="D29" s="2">
        <v>-21</v>
      </c>
      <c r="E29" s="2" t="s">
        <v>737</v>
      </c>
      <c r="F29" s="2"/>
      <c r="G29" s="2" t="s">
        <v>647</v>
      </c>
      <c r="H29" s="2" t="s">
        <v>648</v>
      </c>
    </row>
    <row r="30" spans="1:8" ht="13.5" customHeight="1">
      <c r="A30" s="4">
        <v>40969</v>
      </c>
      <c r="B30" s="2" t="s">
        <v>670</v>
      </c>
      <c r="C30" s="2" t="s">
        <v>671</v>
      </c>
      <c r="D30" s="2">
        <v>-6</v>
      </c>
      <c r="E30" s="2" t="s">
        <v>737</v>
      </c>
      <c r="F30" s="2"/>
      <c r="G30" s="2" t="s">
        <v>736</v>
      </c>
      <c r="H30" s="2" t="s">
        <v>648</v>
      </c>
    </row>
    <row r="31" spans="1:8" ht="13.5" customHeight="1">
      <c r="A31" s="4">
        <v>40969</v>
      </c>
      <c r="B31" s="2" t="s">
        <v>250</v>
      </c>
      <c r="C31" s="2">
        <v>9005</v>
      </c>
      <c r="D31" s="2">
        <v>-8</v>
      </c>
      <c r="E31" s="2" t="s">
        <v>229</v>
      </c>
      <c r="F31" s="2"/>
      <c r="G31" s="2" t="s">
        <v>736</v>
      </c>
      <c r="H31" s="2" t="s">
        <v>648</v>
      </c>
    </row>
    <row r="32" spans="1:8" ht="13.5" customHeight="1">
      <c r="A32" s="4">
        <v>40969</v>
      </c>
      <c r="B32" s="2" t="s">
        <v>380</v>
      </c>
      <c r="C32" s="2">
        <v>4620</v>
      </c>
      <c r="D32" s="2">
        <v>-3</v>
      </c>
      <c r="E32" s="2" t="s">
        <v>740</v>
      </c>
      <c r="F32" s="2"/>
      <c r="G32" s="2" t="s">
        <v>741</v>
      </c>
      <c r="H32" s="2" t="s">
        <v>648</v>
      </c>
    </row>
    <row r="33" spans="1:9" ht="13.5" customHeight="1">
      <c r="A33" s="4">
        <v>40969</v>
      </c>
      <c r="B33" s="2" t="s">
        <v>681</v>
      </c>
      <c r="C33" s="2" t="s">
        <v>265</v>
      </c>
      <c r="D33" s="2">
        <v>9</v>
      </c>
      <c r="E33" s="2" t="s">
        <v>229</v>
      </c>
      <c r="F33" s="2"/>
      <c r="G33" s="2" t="s">
        <v>649</v>
      </c>
      <c r="H33" s="2" t="s">
        <v>648</v>
      </c>
    </row>
    <row r="34" spans="1:9" ht="13.5" customHeight="1">
      <c r="A34" s="4">
        <v>40969</v>
      </c>
      <c r="B34" s="2" t="s">
        <v>742</v>
      </c>
      <c r="C34" s="2" t="s">
        <v>248</v>
      </c>
      <c r="D34" s="2">
        <v>-3</v>
      </c>
      <c r="E34" s="2" t="s">
        <v>743</v>
      </c>
      <c r="F34" s="2"/>
      <c r="G34" s="2" t="s">
        <v>647</v>
      </c>
      <c r="H34" s="2" t="s">
        <v>648</v>
      </c>
    </row>
    <row r="35" spans="1:9" ht="13.5" customHeight="1">
      <c r="A35" s="4">
        <v>40969</v>
      </c>
      <c r="B35" s="2" t="s">
        <v>353</v>
      </c>
      <c r="C35" s="2" t="s">
        <v>242</v>
      </c>
      <c r="D35" s="2">
        <v>-2</v>
      </c>
      <c r="E35" s="2" t="s">
        <v>743</v>
      </c>
      <c r="F35" s="2"/>
      <c r="G35" s="2" t="s">
        <v>741</v>
      </c>
      <c r="H35" s="2" t="s">
        <v>648</v>
      </c>
    </row>
    <row r="36" spans="1:9" ht="13.5" customHeight="1">
      <c r="A36" s="4">
        <v>40969</v>
      </c>
      <c r="B36" s="2" t="s">
        <v>340</v>
      </c>
      <c r="C36" s="2" t="s">
        <v>262</v>
      </c>
      <c r="D36" s="2">
        <v>-2</v>
      </c>
      <c r="E36" s="2" t="s">
        <v>239</v>
      </c>
      <c r="F36" s="2"/>
      <c r="G36" s="2" t="s">
        <v>741</v>
      </c>
      <c r="H36" s="2" t="s">
        <v>648</v>
      </c>
    </row>
    <row r="37" spans="1:9" ht="13.5" customHeight="1">
      <c r="A37" s="4">
        <v>40969</v>
      </c>
      <c r="B37" s="2" t="s">
        <v>676</v>
      </c>
      <c r="C37" s="2" t="s">
        <v>677</v>
      </c>
      <c r="D37" s="2">
        <v>1</v>
      </c>
      <c r="E37" s="2" t="s">
        <v>236</v>
      </c>
      <c r="F37" s="2"/>
      <c r="G37" s="2" t="s">
        <v>649</v>
      </c>
      <c r="H37" s="2" t="s">
        <v>648</v>
      </c>
    </row>
    <row r="38" spans="1:9" ht="13.5" customHeight="1">
      <c r="A38" s="4">
        <v>40969</v>
      </c>
      <c r="B38" s="2" t="s">
        <v>676</v>
      </c>
      <c r="C38" s="2" t="s">
        <v>679</v>
      </c>
      <c r="D38" s="2">
        <v>-5</v>
      </c>
      <c r="E38" s="2" t="s">
        <v>236</v>
      </c>
      <c r="F38" s="2"/>
      <c r="G38" s="2" t="s">
        <v>741</v>
      </c>
      <c r="H38" s="2" t="s">
        <v>648</v>
      </c>
    </row>
    <row r="39" spans="1:9" ht="13.5" customHeight="1">
      <c r="A39" s="4">
        <v>40969</v>
      </c>
      <c r="B39" s="2" t="s">
        <v>240</v>
      </c>
      <c r="C39" s="2">
        <v>3200</v>
      </c>
      <c r="D39" s="2">
        <v>5</v>
      </c>
      <c r="E39" s="2" t="s">
        <v>743</v>
      </c>
      <c r="F39" s="2"/>
      <c r="G39" s="2" t="s">
        <v>649</v>
      </c>
      <c r="H39" s="2" t="s">
        <v>648</v>
      </c>
    </row>
    <row r="40" spans="1:9" ht="13.5" customHeight="1">
      <c r="A40" s="4">
        <v>40969</v>
      </c>
      <c r="B40" s="2" t="s">
        <v>346</v>
      </c>
      <c r="C40" s="2">
        <v>3700</v>
      </c>
      <c r="D40" s="2">
        <v>-1</v>
      </c>
      <c r="E40" s="2" t="s">
        <v>743</v>
      </c>
      <c r="F40" s="2"/>
      <c r="G40" s="2" t="s">
        <v>741</v>
      </c>
      <c r="H40" s="2" t="s">
        <v>648</v>
      </c>
      <c r="I40" s="3" t="s">
        <v>81</v>
      </c>
    </row>
    <row r="41" spans="1:9" ht="13.5" customHeight="1">
      <c r="A41" s="4">
        <v>40969</v>
      </c>
      <c r="B41" s="2" t="s">
        <v>230</v>
      </c>
      <c r="C41" s="2" t="s">
        <v>235</v>
      </c>
      <c r="D41" s="2">
        <v>-1</v>
      </c>
      <c r="E41" s="2" t="s">
        <v>231</v>
      </c>
      <c r="F41" s="2"/>
      <c r="G41" s="2" t="s">
        <v>741</v>
      </c>
      <c r="H41" s="2" t="s">
        <v>648</v>
      </c>
    </row>
    <row r="42" spans="1:9" ht="13.5" customHeight="1">
      <c r="A42" s="4">
        <v>40969</v>
      </c>
      <c r="B42" s="2" t="s">
        <v>625</v>
      </c>
      <c r="C42" s="2">
        <v>9132</v>
      </c>
      <c r="D42" s="2">
        <v>4</v>
      </c>
      <c r="E42" s="2" t="s">
        <v>743</v>
      </c>
      <c r="F42" s="2"/>
      <c r="G42" s="2" t="s">
        <v>649</v>
      </c>
      <c r="H42" s="2" t="s">
        <v>648</v>
      </c>
    </row>
    <row r="43" spans="1:9" ht="13.5" customHeight="1">
      <c r="A43" s="4">
        <v>40969</v>
      </c>
      <c r="B43" s="2" t="s">
        <v>230</v>
      </c>
      <c r="C43" s="2">
        <v>7711</v>
      </c>
      <c r="D43" s="2">
        <v>15</v>
      </c>
      <c r="E43" s="2" t="s">
        <v>231</v>
      </c>
      <c r="F43" s="2"/>
      <c r="G43" s="2" t="s">
        <v>649</v>
      </c>
      <c r="H43" s="2" t="s">
        <v>648</v>
      </c>
    </row>
    <row r="44" spans="1:9" ht="13.5" customHeight="1">
      <c r="A44" s="4">
        <v>40969</v>
      </c>
      <c r="B44" s="3" t="s">
        <v>721</v>
      </c>
      <c r="C44" s="2" t="s">
        <v>764</v>
      </c>
      <c r="D44" s="2">
        <v>70</v>
      </c>
      <c r="E44" s="2" t="s">
        <v>684</v>
      </c>
      <c r="F44" s="2" t="s">
        <v>666</v>
      </c>
      <c r="G44" s="2" t="s">
        <v>703</v>
      </c>
      <c r="H44" s="2" t="s">
        <v>683</v>
      </c>
    </row>
    <row r="45" spans="1:9" ht="13.5" customHeight="1">
      <c r="A45" s="4">
        <v>40969</v>
      </c>
      <c r="B45" s="1" t="s">
        <v>778</v>
      </c>
      <c r="C45" s="2"/>
      <c r="D45" s="2">
        <v>3</v>
      </c>
      <c r="E45" s="1" t="s">
        <v>684</v>
      </c>
      <c r="F45" s="2"/>
      <c r="G45" s="1" t="s">
        <v>703</v>
      </c>
      <c r="H45" s="1" t="s">
        <v>683</v>
      </c>
    </row>
    <row r="46" spans="1:9" ht="13.5" customHeight="1">
      <c r="A46" s="4">
        <v>41015</v>
      </c>
      <c r="B46" s="2" t="s">
        <v>650</v>
      </c>
      <c r="C46" s="2"/>
      <c r="D46" s="2">
        <v>20</v>
      </c>
      <c r="E46" s="2" t="s">
        <v>651</v>
      </c>
      <c r="F46" s="2" t="s">
        <v>652</v>
      </c>
      <c r="G46" s="2" t="s">
        <v>649</v>
      </c>
      <c r="H46" s="2" t="s">
        <v>648</v>
      </c>
    </row>
    <row r="47" spans="1:9" ht="13.5" customHeight="1">
      <c r="A47" s="4">
        <v>41015</v>
      </c>
      <c r="B47" s="2" t="s">
        <v>653</v>
      </c>
      <c r="C47" s="2"/>
      <c r="D47" s="2">
        <v>10</v>
      </c>
      <c r="E47" s="2" t="s">
        <v>654</v>
      </c>
      <c r="F47" s="2" t="s">
        <v>652</v>
      </c>
      <c r="G47" s="2" t="s">
        <v>649</v>
      </c>
      <c r="H47" s="2" t="s">
        <v>648</v>
      </c>
    </row>
    <row r="48" spans="1:9" ht="13.5" customHeight="1">
      <c r="A48" s="4">
        <v>41015</v>
      </c>
      <c r="B48" s="2" t="s">
        <v>655</v>
      </c>
      <c r="C48" s="2"/>
      <c r="D48" s="2">
        <v>8</v>
      </c>
      <c r="E48" s="2" t="s">
        <v>656</v>
      </c>
      <c r="F48" s="2" t="s">
        <v>652</v>
      </c>
      <c r="G48" s="2" t="s">
        <v>649</v>
      </c>
      <c r="H48" s="2" t="s">
        <v>648</v>
      </c>
    </row>
    <row r="49" spans="1:9" ht="13.5" customHeight="1">
      <c r="A49" s="4">
        <v>41015</v>
      </c>
      <c r="B49" s="2" t="s">
        <v>657</v>
      </c>
      <c r="C49" s="2"/>
      <c r="D49" s="2">
        <v>20</v>
      </c>
      <c r="E49" s="2" t="s">
        <v>654</v>
      </c>
      <c r="F49" s="2" t="s">
        <v>652</v>
      </c>
      <c r="G49" s="2" t="s">
        <v>649</v>
      </c>
      <c r="H49" s="2" t="s">
        <v>648</v>
      </c>
    </row>
    <row r="50" spans="1:9" ht="13.5" customHeight="1">
      <c r="A50" s="4">
        <v>41015</v>
      </c>
      <c r="B50" s="2" t="s">
        <v>230</v>
      </c>
      <c r="C50" s="2">
        <v>2071</v>
      </c>
      <c r="D50" s="2">
        <v>1</v>
      </c>
      <c r="E50" s="2" t="s">
        <v>658</v>
      </c>
      <c r="F50" s="2" t="s">
        <v>652</v>
      </c>
      <c r="G50" s="2" t="s">
        <v>649</v>
      </c>
      <c r="H50" s="2" t="s">
        <v>648</v>
      </c>
    </row>
    <row r="51" spans="1:9" ht="13.5" customHeight="1">
      <c r="A51" s="4">
        <v>41015</v>
      </c>
      <c r="B51" s="2" t="s">
        <v>230</v>
      </c>
      <c r="C51" s="2">
        <v>2091</v>
      </c>
      <c r="D51" s="2">
        <v>2</v>
      </c>
      <c r="E51" s="2" t="s">
        <v>658</v>
      </c>
      <c r="F51" s="2" t="s">
        <v>652</v>
      </c>
      <c r="G51" s="2" t="s">
        <v>649</v>
      </c>
      <c r="H51" s="2" t="s">
        <v>648</v>
      </c>
    </row>
    <row r="52" spans="1:9" ht="13.5" customHeight="1">
      <c r="A52" s="4">
        <v>41015</v>
      </c>
      <c r="B52" s="2" t="s">
        <v>230</v>
      </c>
      <c r="C52" s="2">
        <v>2097</v>
      </c>
      <c r="D52" s="2">
        <v>1</v>
      </c>
      <c r="E52" s="2" t="s">
        <v>658</v>
      </c>
      <c r="F52" s="2" t="s">
        <v>652</v>
      </c>
      <c r="G52" s="2" t="s">
        <v>649</v>
      </c>
      <c r="H52" s="2" t="s">
        <v>648</v>
      </c>
    </row>
    <row r="53" spans="1:9" ht="11.25" customHeight="1">
      <c r="A53" s="4">
        <v>41015</v>
      </c>
      <c r="B53" s="2" t="s">
        <v>230</v>
      </c>
      <c r="C53" s="2" t="s">
        <v>235</v>
      </c>
      <c r="D53" s="2">
        <v>25</v>
      </c>
      <c r="E53" s="2" t="s">
        <v>231</v>
      </c>
      <c r="F53" s="2" t="s">
        <v>652</v>
      </c>
      <c r="G53" s="2" t="s">
        <v>649</v>
      </c>
      <c r="H53" s="2" t="s">
        <v>648</v>
      </c>
    </row>
    <row r="54" spans="1:9" ht="15" customHeight="1">
      <c r="A54" s="4">
        <v>41015</v>
      </c>
      <c r="B54" s="2" t="s">
        <v>287</v>
      </c>
      <c r="C54" s="2">
        <v>10435</v>
      </c>
      <c r="D54" s="2">
        <v>5</v>
      </c>
      <c r="E54" s="2" t="s">
        <v>744</v>
      </c>
      <c r="F54" s="2" t="s">
        <v>652</v>
      </c>
      <c r="G54" s="2" t="s">
        <v>649</v>
      </c>
      <c r="H54" s="2" t="s">
        <v>648</v>
      </c>
    </row>
    <row r="55" spans="1:9" ht="13.5" customHeight="1">
      <c r="A55" s="4">
        <v>41015</v>
      </c>
      <c r="B55" s="2" t="s">
        <v>659</v>
      </c>
      <c r="C55" s="2">
        <v>1711</v>
      </c>
      <c r="D55" s="2">
        <v>4</v>
      </c>
      <c r="E55" s="2" t="s">
        <v>744</v>
      </c>
      <c r="F55" s="2" t="s">
        <v>652</v>
      </c>
      <c r="G55" s="2" t="s">
        <v>649</v>
      </c>
      <c r="H55" s="2" t="s">
        <v>648</v>
      </c>
    </row>
    <row r="56" spans="1:9" ht="13.5" customHeight="1">
      <c r="A56" s="4">
        <v>41015</v>
      </c>
      <c r="B56" s="2" t="s">
        <v>745</v>
      </c>
      <c r="C56" s="2" t="s">
        <v>248</v>
      </c>
      <c r="D56" s="2">
        <v>4</v>
      </c>
      <c r="E56" s="2" t="s">
        <v>744</v>
      </c>
      <c r="F56" s="2" t="s">
        <v>652</v>
      </c>
      <c r="G56" s="2" t="s">
        <v>649</v>
      </c>
      <c r="H56" s="2" t="s">
        <v>648</v>
      </c>
    </row>
    <row r="57" spans="1:9" ht="13.5" customHeight="1">
      <c r="A57" s="4">
        <v>41015</v>
      </c>
      <c r="B57" s="2" t="s">
        <v>660</v>
      </c>
      <c r="C57" s="2" t="s">
        <v>661</v>
      </c>
      <c r="D57" s="2">
        <v>1</v>
      </c>
      <c r="E57" s="2" t="s">
        <v>744</v>
      </c>
      <c r="F57" s="2" t="s">
        <v>652</v>
      </c>
      <c r="G57" s="2" t="s">
        <v>649</v>
      </c>
      <c r="H57" s="2" t="s">
        <v>648</v>
      </c>
    </row>
    <row r="58" spans="1:9" ht="13.5" customHeight="1">
      <c r="A58" s="4">
        <v>41015</v>
      </c>
      <c r="B58" s="2" t="s">
        <v>301</v>
      </c>
      <c r="C58" s="2" t="s">
        <v>746</v>
      </c>
      <c r="D58" s="2">
        <v>1</v>
      </c>
      <c r="E58" s="2" t="s">
        <v>744</v>
      </c>
      <c r="F58" s="2" t="s">
        <v>652</v>
      </c>
      <c r="G58" s="2" t="s">
        <v>649</v>
      </c>
      <c r="H58" s="2" t="s">
        <v>648</v>
      </c>
    </row>
    <row r="59" spans="1:9" ht="13.5" customHeight="1">
      <c r="A59" s="4">
        <v>41015</v>
      </c>
      <c r="B59" s="2" t="s">
        <v>747</v>
      </c>
      <c r="C59" s="2" t="s">
        <v>662</v>
      </c>
      <c r="D59" s="2">
        <v>1</v>
      </c>
      <c r="E59" s="2" t="s">
        <v>744</v>
      </c>
      <c r="F59" s="2" t="s">
        <v>652</v>
      </c>
      <c r="G59" s="2" t="s">
        <v>649</v>
      </c>
      <c r="H59" s="2" t="s">
        <v>648</v>
      </c>
    </row>
    <row r="60" spans="1:9" ht="13.5" customHeight="1">
      <c r="A60" s="4">
        <v>41015</v>
      </c>
      <c r="B60" s="2" t="s">
        <v>748</v>
      </c>
      <c r="C60" s="2" t="s">
        <v>245</v>
      </c>
      <c r="D60" s="2">
        <v>56</v>
      </c>
      <c r="E60" s="2" t="s">
        <v>229</v>
      </c>
      <c r="F60" s="1" t="s">
        <v>770</v>
      </c>
      <c r="G60" s="2" t="s">
        <v>749</v>
      </c>
      <c r="H60" s="2" t="s">
        <v>648</v>
      </c>
      <c r="I60" s="24"/>
    </row>
    <row r="61" spans="1:9" ht="13.5" customHeight="1">
      <c r="A61" s="4">
        <v>41015</v>
      </c>
      <c r="B61" s="2" t="s">
        <v>663</v>
      </c>
      <c r="C61" s="2" t="s">
        <v>245</v>
      </c>
      <c r="D61" s="2">
        <v>46</v>
      </c>
      <c r="E61" s="2" t="s">
        <v>229</v>
      </c>
      <c r="F61" s="2" t="s">
        <v>652</v>
      </c>
      <c r="G61" s="2" t="s">
        <v>649</v>
      </c>
      <c r="H61" s="2" t="s">
        <v>648</v>
      </c>
      <c r="I61" s="24"/>
    </row>
    <row r="62" spans="1:9" ht="13.5" customHeight="1">
      <c r="A62" s="4">
        <v>41015</v>
      </c>
      <c r="B62" s="2" t="s">
        <v>750</v>
      </c>
      <c r="C62" s="2" t="s">
        <v>245</v>
      </c>
      <c r="D62" s="2">
        <v>50</v>
      </c>
      <c r="E62" s="2" t="s">
        <v>229</v>
      </c>
      <c r="F62" s="2" t="s">
        <v>652</v>
      </c>
      <c r="G62" s="2" t="s">
        <v>649</v>
      </c>
      <c r="H62" s="2" t="s">
        <v>648</v>
      </c>
      <c r="I62" s="24"/>
    </row>
    <row r="63" spans="1:9" ht="13.5" customHeight="1">
      <c r="A63" s="4">
        <v>41015</v>
      </c>
      <c r="B63" s="2" t="s">
        <v>664</v>
      </c>
      <c r="C63" s="2">
        <v>8246</v>
      </c>
      <c r="D63" s="2">
        <v>14</v>
      </c>
      <c r="E63" s="2" t="s">
        <v>744</v>
      </c>
      <c r="F63" s="2" t="s">
        <v>652</v>
      </c>
      <c r="G63" s="2" t="s">
        <v>649</v>
      </c>
      <c r="H63" s="2" t="s">
        <v>648</v>
      </c>
      <c r="I63" s="24"/>
    </row>
    <row r="64" spans="1:9" ht="13.5" customHeight="1">
      <c r="A64" s="4">
        <v>41015</v>
      </c>
      <c r="B64" s="2" t="s">
        <v>353</v>
      </c>
      <c r="C64" s="2" t="s">
        <v>242</v>
      </c>
      <c r="D64" s="2">
        <v>4</v>
      </c>
      <c r="E64" s="2" t="s">
        <v>744</v>
      </c>
      <c r="F64" s="2" t="s">
        <v>652</v>
      </c>
      <c r="G64" s="2" t="s">
        <v>649</v>
      </c>
      <c r="H64" s="2" t="s">
        <v>648</v>
      </c>
      <c r="I64" s="24" t="s">
        <v>83</v>
      </c>
    </row>
    <row r="65" spans="1:9" ht="13.5" customHeight="1">
      <c r="A65" s="4">
        <v>41015</v>
      </c>
      <c r="B65" s="2" t="s">
        <v>251</v>
      </c>
      <c r="C65" s="2" t="s">
        <v>252</v>
      </c>
      <c r="D65" s="2">
        <v>22</v>
      </c>
      <c r="E65" s="2" t="s">
        <v>229</v>
      </c>
      <c r="F65" s="2" t="s">
        <v>652</v>
      </c>
      <c r="G65" s="2" t="s">
        <v>649</v>
      </c>
      <c r="H65" s="2" t="s">
        <v>648</v>
      </c>
      <c r="I65" s="24"/>
    </row>
    <row r="66" spans="1:9" ht="13.5" customHeight="1">
      <c r="A66" s="4">
        <v>41015</v>
      </c>
      <c r="B66" s="2" t="s">
        <v>665</v>
      </c>
      <c r="C66" s="2">
        <v>8210</v>
      </c>
      <c r="D66" s="2">
        <v>10</v>
      </c>
      <c r="E66" s="2" t="s">
        <v>744</v>
      </c>
      <c r="F66" s="2" t="s">
        <v>652</v>
      </c>
      <c r="G66" s="2" t="s">
        <v>649</v>
      </c>
      <c r="H66" s="2" t="s">
        <v>648</v>
      </c>
      <c r="I66" s="24"/>
    </row>
    <row r="67" spans="1:9" ht="13.5" customHeight="1">
      <c r="A67" s="4">
        <v>41015</v>
      </c>
      <c r="B67" s="2" t="s">
        <v>250</v>
      </c>
      <c r="C67" s="2">
        <v>9022</v>
      </c>
      <c r="D67" s="2">
        <v>102</v>
      </c>
      <c r="E67" s="2" t="s">
        <v>229</v>
      </c>
      <c r="F67" s="2" t="s">
        <v>652</v>
      </c>
      <c r="G67" s="2" t="s">
        <v>649</v>
      </c>
      <c r="H67" s="2" t="s">
        <v>648</v>
      </c>
      <c r="I67" s="24" t="s">
        <v>84</v>
      </c>
    </row>
    <row r="68" spans="1:9" ht="13.5" customHeight="1">
      <c r="A68" s="4">
        <v>41015</v>
      </c>
      <c r="B68" s="2" t="s">
        <v>667</v>
      </c>
      <c r="C68" s="2" t="s">
        <v>668</v>
      </c>
      <c r="D68" s="2">
        <v>23</v>
      </c>
      <c r="E68" s="2" t="s">
        <v>229</v>
      </c>
      <c r="F68" s="2" t="s">
        <v>652</v>
      </c>
      <c r="G68" s="2" t="s">
        <v>649</v>
      </c>
      <c r="H68" s="2" t="s">
        <v>648</v>
      </c>
      <c r="I68" s="24"/>
    </row>
    <row r="69" spans="1:9" ht="13.5" customHeight="1">
      <c r="A69" s="4">
        <v>41015</v>
      </c>
      <c r="B69" s="2" t="s">
        <v>669</v>
      </c>
      <c r="C69" s="2">
        <v>8247</v>
      </c>
      <c r="D69" s="2">
        <v>26</v>
      </c>
      <c r="E69" s="2" t="s">
        <v>229</v>
      </c>
      <c r="F69" s="2" t="s">
        <v>652</v>
      </c>
      <c r="G69" s="2" t="s">
        <v>649</v>
      </c>
      <c r="H69" s="2" t="s">
        <v>648</v>
      </c>
      <c r="I69" s="24"/>
    </row>
    <row r="70" spans="1:9" ht="13.5" customHeight="1">
      <c r="A70" s="4">
        <v>41015</v>
      </c>
      <c r="B70" s="2" t="s">
        <v>670</v>
      </c>
      <c r="C70" s="2" t="s">
        <v>671</v>
      </c>
      <c r="D70" s="2">
        <v>16</v>
      </c>
      <c r="E70" s="2" t="s">
        <v>229</v>
      </c>
      <c r="F70" s="2" t="s">
        <v>652</v>
      </c>
      <c r="G70" s="2" t="s">
        <v>649</v>
      </c>
      <c r="H70" s="2" t="s">
        <v>648</v>
      </c>
    </row>
    <row r="71" spans="1:9" ht="13.5" customHeight="1">
      <c r="A71" s="4">
        <v>41015</v>
      </c>
      <c r="B71" s="2" t="s">
        <v>250</v>
      </c>
      <c r="C71" s="2">
        <v>9005</v>
      </c>
      <c r="D71" s="2">
        <v>52</v>
      </c>
      <c r="E71" s="2" t="s">
        <v>229</v>
      </c>
      <c r="F71" s="2" t="s">
        <v>652</v>
      </c>
      <c r="G71" s="2" t="s">
        <v>649</v>
      </c>
      <c r="H71" s="2" t="s">
        <v>648</v>
      </c>
    </row>
    <row r="72" spans="1:9" ht="13.5" customHeight="1">
      <c r="A72" s="4">
        <v>41015</v>
      </c>
      <c r="B72" s="2" t="s">
        <v>320</v>
      </c>
      <c r="C72" s="2">
        <v>8840</v>
      </c>
      <c r="D72" s="2">
        <v>20</v>
      </c>
      <c r="E72" s="2" t="s">
        <v>229</v>
      </c>
      <c r="F72" s="2" t="s">
        <v>652</v>
      </c>
      <c r="G72" s="2" t="s">
        <v>649</v>
      </c>
      <c r="H72" s="2" t="s">
        <v>648</v>
      </c>
    </row>
    <row r="73" spans="1:9" ht="13.5" customHeight="1">
      <c r="A73" s="4">
        <v>41015</v>
      </c>
      <c r="B73" s="2" t="s">
        <v>672</v>
      </c>
      <c r="C73" s="2" t="s">
        <v>673</v>
      </c>
      <c r="D73" s="2">
        <v>1</v>
      </c>
      <c r="E73" s="2" t="s">
        <v>674</v>
      </c>
      <c r="F73" s="2" t="s">
        <v>652</v>
      </c>
      <c r="G73" s="2" t="s">
        <v>649</v>
      </c>
      <c r="H73" s="2" t="s">
        <v>648</v>
      </c>
    </row>
    <row r="74" spans="1:9" ht="13.5" customHeight="1">
      <c r="A74" s="4">
        <v>41015</v>
      </c>
      <c r="B74" s="2" t="s">
        <v>380</v>
      </c>
      <c r="C74" s="2">
        <v>4640</v>
      </c>
      <c r="D74" s="2">
        <v>2</v>
      </c>
      <c r="E74" s="2" t="s">
        <v>740</v>
      </c>
      <c r="F74" s="2" t="s">
        <v>652</v>
      </c>
      <c r="G74" s="2" t="s">
        <v>649</v>
      </c>
      <c r="H74" s="2" t="s">
        <v>648</v>
      </c>
    </row>
    <row r="75" spans="1:9" ht="13.5" customHeight="1">
      <c r="A75" s="4">
        <v>41015</v>
      </c>
      <c r="B75" s="2" t="s">
        <v>380</v>
      </c>
      <c r="C75" s="2">
        <v>4620</v>
      </c>
      <c r="D75" s="2">
        <v>5</v>
      </c>
      <c r="E75" s="2" t="s">
        <v>740</v>
      </c>
      <c r="F75" s="2" t="s">
        <v>652</v>
      </c>
      <c r="G75" s="2" t="s">
        <v>649</v>
      </c>
      <c r="H75" s="2" t="s">
        <v>648</v>
      </c>
    </row>
    <row r="76" spans="1:9" ht="13.5" customHeight="1">
      <c r="A76" s="4">
        <v>41015</v>
      </c>
      <c r="B76" s="2" t="s">
        <v>340</v>
      </c>
      <c r="C76" s="2" t="s">
        <v>262</v>
      </c>
      <c r="D76" s="2">
        <v>5</v>
      </c>
      <c r="E76" s="2" t="s">
        <v>239</v>
      </c>
      <c r="F76" s="2" t="s">
        <v>652</v>
      </c>
      <c r="G76" s="2" t="s">
        <v>649</v>
      </c>
      <c r="H76" s="2" t="s">
        <v>648</v>
      </c>
    </row>
    <row r="77" spans="1:9" ht="13.5" customHeight="1">
      <c r="A77" s="4">
        <v>41015</v>
      </c>
      <c r="B77" s="2" t="s">
        <v>650</v>
      </c>
      <c r="C77" s="2"/>
      <c r="D77" s="2">
        <v>-1</v>
      </c>
      <c r="E77" s="2" t="s">
        <v>752</v>
      </c>
      <c r="F77" s="2"/>
      <c r="G77" s="2" t="s">
        <v>647</v>
      </c>
      <c r="H77" s="2" t="s">
        <v>675</v>
      </c>
    </row>
    <row r="78" spans="1:9" ht="13.5" customHeight="1">
      <c r="A78" s="4">
        <v>41015</v>
      </c>
      <c r="B78" s="2" t="s">
        <v>230</v>
      </c>
      <c r="C78" s="2">
        <v>2097</v>
      </c>
      <c r="D78" s="2">
        <v>1</v>
      </c>
      <c r="E78" s="2" t="s">
        <v>658</v>
      </c>
      <c r="F78" s="2"/>
      <c r="G78" s="2" t="s">
        <v>649</v>
      </c>
      <c r="H78" s="2" t="s">
        <v>648</v>
      </c>
    </row>
    <row r="79" spans="1:9" ht="13.5" customHeight="1">
      <c r="A79" s="4">
        <v>41038</v>
      </c>
      <c r="B79" s="2" t="s">
        <v>653</v>
      </c>
      <c r="C79" s="2"/>
      <c r="D79" s="2">
        <v>-1</v>
      </c>
      <c r="E79" s="2" t="s">
        <v>654</v>
      </c>
      <c r="F79" s="2" t="s">
        <v>381</v>
      </c>
      <c r="G79" s="2" t="s">
        <v>647</v>
      </c>
      <c r="H79" s="2" t="s">
        <v>675</v>
      </c>
    </row>
    <row r="80" spans="1:9" ht="13.5" customHeight="1">
      <c r="A80" s="4">
        <v>41039</v>
      </c>
      <c r="B80" s="2" t="s">
        <v>320</v>
      </c>
      <c r="C80" s="2">
        <v>8210</v>
      </c>
      <c r="D80" s="2">
        <v>-1</v>
      </c>
      <c r="E80" s="2" t="s">
        <v>751</v>
      </c>
      <c r="F80" s="2" t="s">
        <v>666</v>
      </c>
      <c r="G80" s="2" t="s">
        <v>647</v>
      </c>
      <c r="H80" s="2" t="s">
        <v>648</v>
      </c>
    </row>
    <row r="81" spans="1:9" ht="13.5" customHeight="1">
      <c r="A81" s="4">
        <v>41039</v>
      </c>
      <c r="B81" s="13" t="s">
        <v>750</v>
      </c>
      <c r="C81" s="2" t="s">
        <v>245</v>
      </c>
      <c r="D81" s="2">
        <v>-2</v>
      </c>
      <c r="E81" s="2" t="s">
        <v>229</v>
      </c>
      <c r="F81" s="2" t="s">
        <v>666</v>
      </c>
      <c r="G81" s="2" t="s">
        <v>647</v>
      </c>
      <c r="H81" s="2" t="s">
        <v>648</v>
      </c>
    </row>
    <row r="82" spans="1:9" ht="13.5" customHeight="1">
      <c r="A82" s="4">
        <v>41026</v>
      </c>
      <c r="B82" s="3" t="s">
        <v>721</v>
      </c>
      <c r="C82" s="2" t="s">
        <v>764</v>
      </c>
      <c r="D82" s="2">
        <v>-70</v>
      </c>
      <c r="E82" s="2" t="s">
        <v>684</v>
      </c>
      <c r="F82" s="2" t="s">
        <v>399</v>
      </c>
      <c r="G82" s="22" t="s">
        <v>736</v>
      </c>
      <c r="H82" s="22" t="s">
        <v>24</v>
      </c>
      <c r="I82" s="23" t="s">
        <v>82</v>
      </c>
    </row>
    <row r="83" spans="1:9" ht="13.5" customHeight="1">
      <c r="A83" s="4">
        <v>41039</v>
      </c>
      <c r="B83" s="3" t="s">
        <v>721</v>
      </c>
      <c r="C83" s="2" t="s">
        <v>234</v>
      </c>
      <c r="D83" s="2">
        <v>-1</v>
      </c>
      <c r="E83" s="2" t="s">
        <v>751</v>
      </c>
      <c r="F83" s="2" t="s">
        <v>666</v>
      </c>
      <c r="G83" s="2" t="s">
        <v>647</v>
      </c>
      <c r="H83" s="2" t="s">
        <v>648</v>
      </c>
    </row>
    <row r="84" spans="1:9" ht="13.5" customHeight="1">
      <c r="A84" s="4">
        <v>41039</v>
      </c>
      <c r="B84" s="2" t="s">
        <v>657</v>
      </c>
      <c r="C84" s="2"/>
      <c r="D84" s="2">
        <v>-1</v>
      </c>
      <c r="E84" s="2" t="s">
        <v>752</v>
      </c>
      <c r="F84" s="2" t="s">
        <v>666</v>
      </c>
      <c r="G84" s="2" t="s">
        <v>647</v>
      </c>
      <c r="H84" s="2" t="s">
        <v>675</v>
      </c>
    </row>
    <row r="85" spans="1:9" ht="13.5" customHeight="1">
      <c r="A85" s="4">
        <v>41039</v>
      </c>
      <c r="B85" s="2" t="s">
        <v>653</v>
      </c>
      <c r="C85" s="2"/>
      <c r="D85" s="2">
        <v>-1</v>
      </c>
      <c r="E85" s="2" t="s">
        <v>752</v>
      </c>
      <c r="F85" s="2" t="s">
        <v>666</v>
      </c>
      <c r="G85" s="2" t="s">
        <v>647</v>
      </c>
      <c r="H85" s="2" t="s">
        <v>675</v>
      </c>
    </row>
    <row r="86" spans="1:9" ht="13.5" customHeight="1">
      <c r="A86" s="4">
        <v>41039</v>
      </c>
      <c r="B86" s="2" t="s">
        <v>650</v>
      </c>
      <c r="C86" s="2"/>
      <c r="D86" s="2">
        <v>-1</v>
      </c>
      <c r="E86" s="2" t="s">
        <v>753</v>
      </c>
      <c r="F86" s="2" t="s">
        <v>666</v>
      </c>
      <c r="G86" s="2" t="s">
        <v>647</v>
      </c>
      <c r="H86" s="2" t="s">
        <v>675</v>
      </c>
    </row>
    <row r="87" spans="1:9" ht="13.5" customHeight="1">
      <c r="A87" s="4">
        <v>41039</v>
      </c>
      <c r="B87" s="2" t="s">
        <v>287</v>
      </c>
      <c r="C87" s="2">
        <v>10435</v>
      </c>
      <c r="D87" s="2">
        <v>-1</v>
      </c>
      <c r="E87" s="2" t="s">
        <v>744</v>
      </c>
      <c r="F87" s="2" t="s">
        <v>666</v>
      </c>
      <c r="G87" s="2" t="s">
        <v>647</v>
      </c>
      <c r="H87" s="2" t="s">
        <v>675</v>
      </c>
    </row>
    <row r="88" spans="1:9" ht="13.5" customHeight="1">
      <c r="A88" s="6">
        <v>41039</v>
      </c>
      <c r="B88" s="3" t="s">
        <v>340</v>
      </c>
      <c r="C88" s="3" t="s">
        <v>238</v>
      </c>
      <c r="D88" s="3">
        <v>-1</v>
      </c>
      <c r="E88" s="2" t="s">
        <v>744</v>
      </c>
      <c r="F88" s="3" t="s">
        <v>666</v>
      </c>
      <c r="G88" s="3" t="s">
        <v>647</v>
      </c>
      <c r="H88" s="3" t="s">
        <v>648</v>
      </c>
    </row>
    <row r="89" spans="1:9" ht="13.5" customHeight="1">
      <c r="A89" s="4">
        <v>41039</v>
      </c>
      <c r="B89" s="2" t="s">
        <v>320</v>
      </c>
      <c r="C89" s="2">
        <v>8210</v>
      </c>
      <c r="D89" s="2">
        <v>-1</v>
      </c>
      <c r="E89" s="2" t="s">
        <v>744</v>
      </c>
      <c r="F89" s="2" t="s">
        <v>666</v>
      </c>
      <c r="G89" s="2" t="s">
        <v>647</v>
      </c>
      <c r="H89" s="2" t="s">
        <v>648</v>
      </c>
    </row>
    <row r="90" spans="1:9" ht="13.5" customHeight="1">
      <c r="A90" s="4">
        <v>41039</v>
      </c>
      <c r="B90" s="2" t="s">
        <v>745</v>
      </c>
      <c r="C90" s="2" t="s">
        <v>248</v>
      </c>
      <c r="D90" s="2">
        <v>-1</v>
      </c>
      <c r="E90" s="2" t="s">
        <v>744</v>
      </c>
      <c r="F90" s="2" t="s">
        <v>666</v>
      </c>
      <c r="G90" s="2" t="s">
        <v>647</v>
      </c>
      <c r="H90" s="2" t="s">
        <v>648</v>
      </c>
    </row>
    <row r="91" spans="1:9" ht="13.5" customHeight="1">
      <c r="A91" s="4">
        <v>41039</v>
      </c>
      <c r="B91" s="2" t="s">
        <v>681</v>
      </c>
      <c r="C91" s="2" t="s">
        <v>265</v>
      </c>
      <c r="D91" s="2">
        <v>-1</v>
      </c>
      <c r="E91" s="2" t="s">
        <v>754</v>
      </c>
      <c r="F91" s="2" t="s">
        <v>666</v>
      </c>
      <c r="G91" s="2" t="s">
        <v>647</v>
      </c>
      <c r="H91" s="2" t="s">
        <v>648</v>
      </c>
    </row>
    <row r="92" spans="1:9" ht="13.5" customHeight="1">
      <c r="A92" s="4">
        <v>41039</v>
      </c>
      <c r="B92" s="2" t="s">
        <v>676</v>
      </c>
      <c r="C92" s="2" t="s">
        <v>677</v>
      </c>
      <c r="D92" s="2">
        <v>-1</v>
      </c>
      <c r="E92" s="2" t="s">
        <v>755</v>
      </c>
      <c r="F92" s="2" t="s">
        <v>666</v>
      </c>
      <c r="G92" s="2" t="s">
        <v>647</v>
      </c>
      <c r="H92" s="2" t="s">
        <v>648</v>
      </c>
    </row>
    <row r="93" spans="1:9" ht="13.5" customHeight="1">
      <c r="A93" s="4">
        <v>41039</v>
      </c>
      <c r="B93" s="2" t="s">
        <v>667</v>
      </c>
      <c r="C93" s="2" t="s">
        <v>668</v>
      </c>
      <c r="D93" s="2">
        <v>-1</v>
      </c>
      <c r="E93" s="2" t="s">
        <v>744</v>
      </c>
      <c r="F93" s="2" t="s">
        <v>666</v>
      </c>
      <c r="G93" s="2" t="s">
        <v>647</v>
      </c>
      <c r="H93" s="2" t="s">
        <v>648</v>
      </c>
    </row>
    <row r="94" spans="1:9" ht="13.5" customHeight="1">
      <c r="A94" s="4">
        <v>41054</v>
      </c>
      <c r="B94" s="13" t="s">
        <v>750</v>
      </c>
      <c r="C94" s="2" t="s">
        <v>245</v>
      </c>
      <c r="D94" s="2">
        <v>-80</v>
      </c>
      <c r="E94" s="2" t="s">
        <v>744</v>
      </c>
      <c r="F94" s="2" t="s">
        <v>685</v>
      </c>
      <c r="G94" s="2" t="s">
        <v>647</v>
      </c>
      <c r="H94" s="2" t="s">
        <v>675</v>
      </c>
      <c r="I94" s="24" t="s">
        <v>83</v>
      </c>
    </row>
    <row r="95" spans="1:9" ht="13.5" customHeight="1">
      <c r="A95" s="4">
        <v>41064</v>
      </c>
      <c r="B95" s="2" t="s">
        <v>676</v>
      </c>
      <c r="C95" s="2" t="s">
        <v>677</v>
      </c>
      <c r="D95" s="2">
        <v>2</v>
      </c>
      <c r="E95" s="2" t="s">
        <v>236</v>
      </c>
      <c r="F95" s="2" t="s">
        <v>678</v>
      </c>
      <c r="G95" s="2" t="s">
        <v>649</v>
      </c>
      <c r="H95" s="2" t="s">
        <v>648</v>
      </c>
    </row>
    <row r="96" spans="1:9" ht="13.5" customHeight="1">
      <c r="A96" s="4">
        <v>41064</v>
      </c>
      <c r="B96" s="2" t="s">
        <v>676</v>
      </c>
      <c r="C96" s="2" t="s">
        <v>679</v>
      </c>
      <c r="D96" s="2">
        <v>12</v>
      </c>
      <c r="E96" s="2" t="s">
        <v>236</v>
      </c>
      <c r="F96" s="2" t="s">
        <v>678</v>
      </c>
      <c r="G96" s="2" t="s">
        <v>649</v>
      </c>
      <c r="H96" s="2" t="s">
        <v>648</v>
      </c>
    </row>
    <row r="97" spans="1:9" ht="13.5" customHeight="1">
      <c r="A97" s="4">
        <v>41064</v>
      </c>
      <c r="B97" s="2" t="s">
        <v>305</v>
      </c>
      <c r="C97" s="2" t="s">
        <v>680</v>
      </c>
      <c r="D97" s="2">
        <v>5</v>
      </c>
      <c r="E97" s="2" t="s">
        <v>229</v>
      </c>
      <c r="F97" s="2" t="s">
        <v>678</v>
      </c>
      <c r="G97" s="2" t="s">
        <v>649</v>
      </c>
      <c r="H97" s="2" t="s">
        <v>648</v>
      </c>
    </row>
    <row r="98" spans="1:9" ht="13.5" customHeight="1">
      <c r="A98" s="4">
        <v>41064</v>
      </c>
      <c r="B98" s="2" t="s">
        <v>681</v>
      </c>
      <c r="C98" s="2" t="s">
        <v>265</v>
      </c>
      <c r="D98" s="2">
        <v>5</v>
      </c>
      <c r="E98" s="2" t="s">
        <v>229</v>
      </c>
      <c r="F98" s="2" t="s">
        <v>678</v>
      </c>
      <c r="G98" s="2" t="s">
        <v>649</v>
      </c>
      <c r="H98" s="2" t="s">
        <v>648</v>
      </c>
    </row>
    <row r="99" spans="1:9" ht="13.5" customHeight="1">
      <c r="A99" s="4">
        <v>41064</v>
      </c>
      <c r="B99" s="2" t="s">
        <v>682</v>
      </c>
      <c r="C99" s="2">
        <v>4510</v>
      </c>
      <c r="D99" s="2">
        <v>5</v>
      </c>
      <c r="E99" s="2" t="s">
        <v>231</v>
      </c>
      <c r="F99" s="2" t="s">
        <v>678</v>
      </c>
      <c r="G99" s="2" t="s">
        <v>649</v>
      </c>
      <c r="H99" s="2" t="s">
        <v>648</v>
      </c>
    </row>
    <row r="100" spans="1:9" ht="13.5" customHeight="1">
      <c r="A100" s="4">
        <v>41064</v>
      </c>
      <c r="B100" s="2" t="s">
        <v>682</v>
      </c>
      <c r="C100" s="2">
        <v>4515</v>
      </c>
      <c r="D100" s="2">
        <v>5</v>
      </c>
      <c r="E100" s="2" t="s">
        <v>231</v>
      </c>
      <c r="F100" s="2" t="s">
        <v>678</v>
      </c>
      <c r="G100" s="2" t="s">
        <v>649</v>
      </c>
      <c r="H100" s="2" t="s">
        <v>648</v>
      </c>
    </row>
    <row r="101" spans="1:9" ht="13.5" customHeight="1">
      <c r="A101" s="6">
        <v>41067</v>
      </c>
      <c r="B101" s="2" t="s">
        <v>232</v>
      </c>
      <c r="C101" s="2" t="s">
        <v>233</v>
      </c>
      <c r="D101" s="2">
        <v>-4</v>
      </c>
      <c r="E101" s="2" t="s">
        <v>229</v>
      </c>
      <c r="F101" s="3" t="s">
        <v>592</v>
      </c>
      <c r="G101" s="3" t="s">
        <v>736</v>
      </c>
      <c r="H101" s="3" t="s">
        <v>79</v>
      </c>
      <c r="I101" s="3" t="s">
        <v>80</v>
      </c>
    </row>
    <row r="102" spans="1:9" ht="13.5" customHeight="1">
      <c r="A102" s="6">
        <v>41081</v>
      </c>
      <c r="B102" s="2" t="s">
        <v>663</v>
      </c>
      <c r="C102" s="2" t="s">
        <v>245</v>
      </c>
      <c r="D102" s="2">
        <v>62</v>
      </c>
      <c r="E102" s="2" t="s">
        <v>744</v>
      </c>
      <c r="F102" s="2" t="s">
        <v>756</v>
      </c>
      <c r="G102" s="2" t="s">
        <v>749</v>
      </c>
      <c r="H102" s="2" t="s">
        <v>757</v>
      </c>
    </row>
    <row r="103" spans="1:9" ht="13.5" customHeight="1">
      <c r="A103" s="6">
        <v>41086</v>
      </c>
      <c r="B103" s="2" t="s">
        <v>240</v>
      </c>
      <c r="C103" s="2">
        <v>3200</v>
      </c>
      <c r="D103" s="2">
        <v>1</v>
      </c>
      <c r="E103" s="2" t="s">
        <v>744</v>
      </c>
      <c r="F103" s="2" t="s">
        <v>758</v>
      </c>
      <c r="G103" s="2" t="s">
        <v>649</v>
      </c>
      <c r="H103" s="2" t="s">
        <v>648</v>
      </c>
    </row>
    <row r="104" spans="1:9" ht="13.5" customHeight="1">
      <c r="A104" s="6">
        <v>41086</v>
      </c>
      <c r="B104" s="3" t="s">
        <v>268</v>
      </c>
      <c r="C104" s="3" t="s">
        <v>269</v>
      </c>
      <c r="D104" s="2">
        <v>1</v>
      </c>
      <c r="E104" s="2" t="s">
        <v>744</v>
      </c>
      <c r="F104" s="2" t="s">
        <v>758</v>
      </c>
      <c r="G104" s="2" t="s">
        <v>649</v>
      </c>
      <c r="H104" s="2" t="s">
        <v>648</v>
      </c>
    </row>
    <row r="105" spans="1:9" ht="13.5" customHeight="1">
      <c r="A105" s="6">
        <v>41086</v>
      </c>
      <c r="B105" s="3" t="s">
        <v>263</v>
      </c>
      <c r="C105" s="3" t="s">
        <v>281</v>
      </c>
      <c r="D105" s="2">
        <v>1</v>
      </c>
      <c r="E105" s="2" t="s">
        <v>737</v>
      </c>
      <c r="F105" s="2" t="s">
        <v>759</v>
      </c>
      <c r="G105" s="2" t="s">
        <v>649</v>
      </c>
      <c r="H105" s="2" t="s">
        <v>648</v>
      </c>
    </row>
    <row r="106" spans="1:9" ht="13.5" customHeight="1">
      <c r="A106" s="6">
        <v>41086</v>
      </c>
      <c r="B106" s="3" t="s">
        <v>760</v>
      </c>
      <c r="C106" s="3" t="s">
        <v>761</v>
      </c>
      <c r="D106" s="2">
        <v>1</v>
      </c>
      <c r="E106" s="2" t="s">
        <v>737</v>
      </c>
      <c r="F106" s="2" t="s">
        <v>759</v>
      </c>
      <c r="G106" s="2" t="s">
        <v>649</v>
      </c>
      <c r="H106" s="2" t="s">
        <v>648</v>
      </c>
    </row>
    <row r="107" spans="1:9" ht="13.5" customHeight="1">
      <c r="A107" s="6">
        <v>41086</v>
      </c>
      <c r="B107" s="2" t="s">
        <v>762</v>
      </c>
      <c r="C107" s="2" t="s">
        <v>248</v>
      </c>
      <c r="D107" s="2">
        <v>1</v>
      </c>
      <c r="E107" s="2" t="s">
        <v>737</v>
      </c>
      <c r="F107" s="2" t="s">
        <v>666</v>
      </c>
      <c r="G107" s="2" t="s">
        <v>763</v>
      </c>
      <c r="H107" s="2" t="s">
        <v>648</v>
      </c>
    </row>
    <row r="108" spans="1:9" ht="13.5" customHeight="1">
      <c r="A108" s="6">
        <v>41086</v>
      </c>
      <c r="B108" s="3" t="s">
        <v>340</v>
      </c>
      <c r="C108" s="3" t="s">
        <v>238</v>
      </c>
      <c r="D108" s="3">
        <v>1</v>
      </c>
      <c r="E108" s="2" t="s">
        <v>737</v>
      </c>
      <c r="F108" s="3" t="s">
        <v>666</v>
      </c>
      <c r="G108" s="3" t="s">
        <v>763</v>
      </c>
      <c r="H108" s="3" t="s">
        <v>648</v>
      </c>
    </row>
    <row r="109" spans="1:9" ht="13.5" customHeight="1">
      <c r="A109" s="6">
        <v>41086</v>
      </c>
      <c r="B109" s="2" t="s">
        <v>287</v>
      </c>
      <c r="C109" s="2">
        <v>10435</v>
      </c>
      <c r="D109" s="2">
        <v>1</v>
      </c>
      <c r="E109" s="2" t="s">
        <v>737</v>
      </c>
      <c r="F109" s="2" t="s">
        <v>666</v>
      </c>
      <c r="G109" s="2" t="s">
        <v>763</v>
      </c>
      <c r="H109" s="2" t="s">
        <v>738</v>
      </c>
    </row>
    <row r="110" spans="1:9" ht="13.5" customHeight="1">
      <c r="A110" s="6">
        <v>41086</v>
      </c>
      <c r="B110" s="2" t="s">
        <v>320</v>
      </c>
      <c r="C110" s="2">
        <v>8210</v>
      </c>
      <c r="D110" s="2">
        <v>1</v>
      </c>
      <c r="E110" s="2" t="s">
        <v>737</v>
      </c>
      <c r="F110" s="2" t="s">
        <v>666</v>
      </c>
      <c r="G110" s="2" t="s">
        <v>763</v>
      </c>
      <c r="H110" s="2" t="s">
        <v>648</v>
      </c>
    </row>
    <row r="111" spans="1:9" ht="13.5" customHeight="1">
      <c r="A111" s="6">
        <v>41086</v>
      </c>
      <c r="B111" s="2" t="s">
        <v>663</v>
      </c>
      <c r="C111" s="2" t="s">
        <v>245</v>
      </c>
      <c r="D111" s="2">
        <v>2</v>
      </c>
      <c r="E111" s="2" t="s">
        <v>737</v>
      </c>
      <c r="F111" s="2" t="s">
        <v>666</v>
      </c>
      <c r="G111" s="2" t="s">
        <v>763</v>
      </c>
      <c r="H111" s="2" t="s">
        <v>738</v>
      </c>
    </row>
    <row r="112" spans="1:9" ht="13.5" customHeight="1">
      <c r="A112" s="6">
        <v>41086</v>
      </c>
      <c r="B112" s="3" t="s">
        <v>721</v>
      </c>
      <c r="C112" s="2" t="s">
        <v>764</v>
      </c>
      <c r="D112" s="2">
        <v>3</v>
      </c>
      <c r="E112" s="2" t="s">
        <v>737</v>
      </c>
      <c r="F112" s="2" t="s">
        <v>666</v>
      </c>
      <c r="G112" s="2" t="s">
        <v>763</v>
      </c>
      <c r="H112" s="2" t="s">
        <v>738</v>
      </c>
    </row>
    <row r="113" spans="1:9" ht="13.5" customHeight="1">
      <c r="A113" s="4">
        <v>41047</v>
      </c>
      <c r="B113" s="2" t="s">
        <v>657</v>
      </c>
      <c r="C113" s="2"/>
      <c r="D113" s="2">
        <v>-5</v>
      </c>
      <c r="E113" s="2" t="s">
        <v>752</v>
      </c>
      <c r="F113" s="13" t="s">
        <v>811</v>
      </c>
      <c r="G113" s="2" t="s">
        <v>647</v>
      </c>
      <c r="H113" s="2" t="s">
        <v>675</v>
      </c>
    </row>
    <row r="114" spans="1:9" ht="13.5" customHeight="1">
      <c r="A114" s="6">
        <v>41086</v>
      </c>
      <c r="B114" s="2" t="s">
        <v>657</v>
      </c>
      <c r="C114" s="2"/>
      <c r="D114" s="2">
        <v>1</v>
      </c>
      <c r="E114" s="2" t="s">
        <v>765</v>
      </c>
      <c r="F114" s="2" t="s">
        <v>666</v>
      </c>
      <c r="G114" s="2" t="s">
        <v>763</v>
      </c>
      <c r="H114" s="2" t="s">
        <v>738</v>
      </c>
    </row>
    <row r="115" spans="1:9" ht="13.5" customHeight="1">
      <c r="A115" s="6">
        <v>41086</v>
      </c>
      <c r="B115" s="2" t="s">
        <v>766</v>
      </c>
      <c r="C115" s="2" t="s">
        <v>701</v>
      </c>
      <c r="D115" s="2">
        <v>1</v>
      </c>
      <c r="E115" s="3" t="s">
        <v>737</v>
      </c>
      <c r="F115" s="3" t="s">
        <v>759</v>
      </c>
      <c r="G115" s="2" t="s">
        <v>763</v>
      </c>
      <c r="H115" s="2" t="s">
        <v>738</v>
      </c>
    </row>
    <row r="116" spans="1:9" ht="13.5" customHeight="1">
      <c r="A116" s="6">
        <v>41086</v>
      </c>
      <c r="B116" s="2" t="s">
        <v>667</v>
      </c>
      <c r="C116" s="2" t="s">
        <v>668</v>
      </c>
      <c r="D116" s="2">
        <v>1</v>
      </c>
      <c r="E116" s="2" t="s">
        <v>737</v>
      </c>
      <c r="F116" s="2" t="s">
        <v>666</v>
      </c>
      <c r="G116" s="2" t="s">
        <v>763</v>
      </c>
      <c r="H116" s="2" t="s">
        <v>648</v>
      </c>
    </row>
    <row r="117" spans="1:9" ht="13.5" customHeight="1">
      <c r="A117" s="6">
        <v>41086</v>
      </c>
      <c r="B117" s="2" t="s">
        <v>653</v>
      </c>
      <c r="C117" s="2"/>
      <c r="D117" s="2">
        <v>1</v>
      </c>
      <c r="E117" s="2" t="s">
        <v>752</v>
      </c>
      <c r="F117" s="2" t="s">
        <v>666</v>
      </c>
      <c r="G117" s="2" t="s">
        <v>767</v>
      </c>
      <c r="H117" s="2" t="s">
        <v>768</v>
      </c>
    </row>
    <row r="118" spans="1:9" ht="13.5" customHeight="1">
      <c r="A118" s="6">
        <v>41086</v>
      </c>
      <c r="B118" s="2" t="s">
        <v>650</v>
      </c>
      <c r="C118" s="2"/>
      <c r="D118" s="2">
        <v>1</v>
      </c>
      <c r="E118" s="2" t="s">
        <v>753</v>
      </c>
      <c r="F118" s="2" t="s">
        <v>666</v>
      </c>
      <c r="G118" s="2" t="s">
        <v>749</v>
      </c>
      <c r="H118" s="2" t="s">
        <v>757</v>
      </c>
    </row>
    <row r="119" spans="1:9" ht="13.5" customHeight="1">
      <c r="A119" s="6">
        <v>41086</v>
      </c>
      <c r="B119" s="3" t="s">
        <v>692</v>
      </c>
      <c r="C119" s="3" t="s">
        <v>769</v>
      </c>
      <c r="D119" s="2">
        <v>1</v>
      </c>
      <c r="E119" s="2" t="s">
        <v>754</v>
      </c>
      <c r="F119" s="2" t="s">
        <v>666</v>
      </c>
      <c r="G119" s="2" t="s">
        <v>749</v>
      </c>
      <c r="H119" s="2" t="s">
        <v>757</v>
      </c>
    </row>
    <row r="120" spans="1:9" ht="13.5" customHeight="1">
      <c r="A120" s="6">
        <v>41086</v>
      </c>
      <c r="B120" s="2" t="s">
        <v>681</v>
      </c>
      <c r="C120" s="2" t="s">
        <v>265</v>
      </c>
      <c r="D120" s="2">
        <v>1</v>
      </c>
      <c r="E120" s="2" t="s">
        <v>229</v>
      </c>
      <c r="F120" s="2" t="s">
        <v>666</v>
      </c>
      <c r="G120" s="2" t="s">
        <v>649</v>
      </c>
      <c r="H120" s="2" t="s">
        <v>648</v>
      </c>
    </row>
    <row r="121" spans="1:9" ht="13.5" customHeight="1">
      <c r="A121" s="6">
        <v>41093</v>
      </c>
      <c r="B121" s="2" t="s">
        <v>766</v>
      </c>
      <c r="C121" s="2" t="s">
        <v>701</v>
      </c>
      <c r="D121" s="2">
        <v>-1</v>
      </c>
      <c r="E121" s="3" t="s">
        <v>684</v>
      </c>
      <c r="F121" s="10" t="s">
        <v>775</v>
      </c>
      <c r="G121" s="1" t="s">
        <v>736</v>
      </c>
      <c r="H121" s="2" t="s">
        <v>683</v>
      </c>
    </row>
    <row r="122" spans="1:9" ht="13.5" customHeight="1">
      <c r="A122" s="6">
        <v>41094</v>
      </c>
      <c r="B122" s="1" t="s">
        <v>778</v>
      </c>
      <c r="C122" s="2"/>
      <c r="D122" s="2">
        <v>-1</v>
      </c>
      <c r="E122" s="1" t="s">
        <v>684</v>
      </c>
      <c r="F122" s="2"/>
      <c r="G122" s="11" t="s">
        <v>736</v>
      </c>
      <c r="H122" s="1" t="s">
        <v>683</v>
      </c>
    </row>
    <row r="123" spans="1:9" ht="13.5" customHeight="1">
      <c r="A123" s="6">
        <v>41093</v>
      </c>
      <c r="B123" s="2" t="s">
        <v>293</v>
      </c>
      <c r="C123" s="1">
        <v>7744</v>
      </c>
      <c r="D123" s="2">
        <v>-1</v>
      </c>
      <c r="E123" s="1" t="s">
        <v>689</v>
      </c>
      <c r="F123" s="1" t="s">
        <v>783</v>
      </c>
      <c r="G123" s="1" t="s">
        <v>736</v>
      </c>
      <c r="H123" s="1" t="s">
        <v>683</v>
      </c>
    </row>
    <row r="124" spans="1:9" ht="13.5" customHeight="1">
      <c r="A124" s="6">
        <v>41102</v>
      </c>
      <c r="B124" s="10" t="s">
        <v>788</v>
      </c>
      <c r="C124" s="3">
        <v>6200</v>
      </c>
      <c r="D124" s="3">
        <v>1</v>
      </c>
      <c r="E124" s="10" t="s">
        <v>755</v>
      </c>
      <c r="G124" s="10" t="s">
        <v>703</v>
      </c>
      <c r="H124" s="10" t="s">
        <v>683</v>
      </c>
    </row>
    <row r="125" spans="1:9" ht="13.5" customHeight="1">
      <c r="A125" s="6">
        <v>41102</v>
      </c>
      <c r="B125" s="10" t="s">
        <v>789</v>
      </c>
      <c r="D125" s="3">
        <v>52</v>
      </c>
      <c r="E125" s="10" t="s">
        <v>752</v>
      </c>
      <c r="G125" s="10" t="s">
        <v>703</v>
      </c>
      <c r="H125" s="10" t="s">
        <v>683</v>
      </c>
    </row>
    <row r="126" spans="1:9" ht="13.5" customHeight="1">
      <c r="A126" s="6">
        <v>41102</v>
      </c>
      <c r="B126" s="3" t="s">
        <v>790</v>
      </c>
      <c r="C126" s="3">
        <v>4565</v>
      </c>
      <c r="D126" s="3">
        <v>4</v>
      </c>
      <c r="E126" s="10" t="s">
        <v>696</v>
      </c>
      <c r="G126" s="10" t="s">
        <v>703</v>
      </c>
      <c r="H126" s="10" t="s">
        <v>683</v>
      </c>
    </row>
    <row r="127" spans="1:9" ht="13.5" customHeight="1">
      <c r="A127" s="6">
        <v>41100</v>
      </c>
      <c r="B127" s="2" t="s">
        <v>663</v>
      </c>
      <c r="C127" s="2" t="s">
        <v>245</v>
      </c>
      <c r="D127" s="3">
        <v>-150</v>
      </c>
      <c r="E127" s="2" t="s">
        <v>684</v>
      </c>
      <c r="F127" s="14" t="s">
        <v>811</v>
      </c>
      <c r="G127" s="2" t="s">
        <v>647</v>
      </c>
      <c r="H127" s="2" t="s">
        <v>675</v>
      </c>
      <c r="I127" s="24" t="s">
        <v>85</v>
      </c>
    </row>
    <row r="128" spans="1:9" ht="13.5" customHeight="1">
      <c r="A128" s="6">
        <v>41106</v>
      </c>
      <c r="B128" s="13" t="s">
        <v>750</v>
      </c>
      <c r="C128" s="1" t="s">
        <v>780</v>
      </c>
      <c r="D128" s="3">
        <v>2</v>
      </c>
      <c r="E128" s="10" t="s">
        <v>684</v>
      </c>
      <c r="F128" s="3" t="s">
        <v>804</v>
      </c>
      <c r="G128" s="10" t="s">
        <v>736</v>
      </c>
      <c r="H128" s="10" t="s">
        <v>683</v>
      </c>
    </row>
    <row r="129" spans="1:11" ht="13.5" customHeight="1">
      <c r="A129" s="6">
        <v>41106</v>
      </c>
      <c r="B129" s="2" t="s">
        <v>681</v>
      </c>
      <c r="C129" s="2" t="s">
        <v>265</v>
      </c>
      <c r="D129" s="3">
        <v>1</v>
      </c>
      <c r="E129" s="10" t="s">
        <v>690</v>
      </c>
      <c r="F129" s="3" t="s">
        <v>804</v>
      </c>
      <c r="G129" s="10" t="s">
        <v>736</v>
      </c>
      <c r="H129" s="10" t="s">
        <v>683</v>
      </c>
    </row>
    <row r="130" spans="1:11" ht="13.5" customHeight="1">
      <c r="A130" s="6">
        <v>41109</v>
      </c>
      <c r="B130" s="2" t="s">
        <v>653</v>
      </c>
      <c r="D130" s="2">
        <v>-1</v>
      </c>
      <c r="E130" s="2" t="s">
        <v>752</v>
      </c>
      <c r="F130" s="3" t="s">
        <v>812</v>
      </c>
      <c r="G130" s="1" t="s">
        <v>736</v>
      </c>
      <c r="H130" s="2" t="s">
        <v>675</v>
      </c>
    </row>
    <row r="131" spans="1:11" ht="13.5" customHeight="1">
      <c r="A131" s="6">
        <v>41107</v>
      </c>
      <c r="B131" s="2" t="s">
        <v>250</v>
      </c>
      <c r="C131" s="2">
        <v>9022</v>
      </c>
      <c r="D131" s="2">
        <v>-4</v>
      </c>
      <c r="E131" s="2" t="s">
        <v>229</v>
      </c>
      <c r="F131" s="17" t="s">
        <v>699</v>
      </c>
      <c r="G131" s="2" t="s">
        <v>736</v>
      </c>
      <c r="H131" s="1" t="s">
        <v>24</v>
      </c>
    </row>
    <row r="132" spans="1:11" ht="13.5" customHeight="1">
      <c r="A132" s="19">
        <v>41114</v>
      </c>
      <c r="B132" s="3" t="s">
        <v>39</v>
      </c>
      <c r="C132" s="3">
        <v>11228</v>
      </c>
      <c r="D132" s="3">
        <v>1</v>
      </c>
      <c r="E132" s="10" t="s">
        <v>684</v>
      </c>
      <c r="F132" s="10" t="s">
        <v>770</v>
      </c>
      <c r="G132" s="10" t="s">
        <v>703</v>
      </c>
      <c r="H132" s="10" t="s">
        <v>683</v>
      </c>
    </row>
    <row r="133" spans="1:11" ht="13.5" customHeight="1">
      <c r="A133" s="19">
        <v>41114</v>
      </c>
      <c r="B133" s="3" t="s">
        <v>33</v>
      </c>
      <c r="C133" s="3">
        <v>12110</v>
      </c>
      <c r="D133" s="3">
        <v>1</v>
      </c>
      <c r="E133" s="10" t="s">
        <v>684</v>
      </c>
      <c r="F133" s="10" t="s">
        <v>770</v>
      </c>
      <c r="G133" s="10" t="s">
        <v>703</v>
      </c>
      <c r="H133" s="10" t="s">
        <v>683</v>
      </c>
    </row>
    <row r="134" spans="1:11" ht="13.5" customHeight="1">
      <c r="A134" s="19">
        <v>41114</v>
      </c>
      <c r="B134" s="3" t="s">
        <v>41</v>
      </c>
      <c r="C134" s="10">
        <v>11783</v>
      </c>
      <c r="D134" s="3">
        <v>1</v>
      </c>
      <c r="E134" s="10" t="s">
        <v>684</v>
      </c>
      <c r="F134" s="10" t="s">
        <v>770</v>
      </c>
      <c r="G134" s="10" t="s">
        <v>703</v>
      </c>
      <c r="H134" s="10" t="s">
        <v>683</v>
      </c>
    </row>
    <row r="135" spans="1:11" ht="13.5" customHeight="1">
      <c r="A135" s="19">
        <v>41114</v>
      </c>
      <c r="B135" s="3" t="s">
        <v>356</v>
      </c>
      <c r="C135" s="10" t="s">
        <v>40</v>
      </c>
      <c r="D135" s="3">
        <v>1</v>
      </c>
      <c r="E135" s="10" t="s">
        <v>684</v>
      </c>
      <c r="F135" s="10" t="s">
        <v>770</v>
      </c>
      <c r="G135" s="10" t="s">
        <v>703</v>
      </c>
      <c r="H135" s="10" t="s">
        <v>683</v>
      </c>
    </row>
    <row r="136" spans="1:11" ht="13.5" customHeight="1">
      <c r="A136" s="19">
        <v>41114</v>
      </c>
      <c r="B136" s="3" t="s">
        <v>32</v>
      </c>
      <c r="C136" s="3">
        <v>11394</v>
      </c>
      <c r="D136" s="3">
        <v>1</v>
      </c>
      <c r="E136" s="10" t="s">
        <v>684</v>
      </c>
      <c r="F136" s="10" t="s">
        <v>770</v>
      </c>
      <c r="G136" s="10" t="s">
        <v>703</v>
      </c>
      <c r="H136" s="10" t="s">
        <v>683</v>
      </c>
    </row>
    <row r="137" spans="1:11" ht="13.5" customHeight="1">
      <c r="A137" s="19">
        <v>41114</v>
      </c>
      <c r="B137" s="3" t="s">
        <v>0</v>
      </c>
      <c r="C137" s="3">
        <v>11329</v>
      </c>
      <c r="D137" s="3">
        <v>1</v>
      </c>
      <c r="E137" s="10" t="s">
        <v>684</v>
      </c>
      <c r="F137" s="10" t="s">
        <v>770</v>
      </c>
      <c r="G137" s="10" t="s">
        <v>703</v>
      </c>
      <c r="H137" s="10" t="s">
        <v>683</v>
      </c>
    </row>
    <row r="138" spans="1:11" ht="13.5" customHeight="1">
      <c r="A138" s="19">
        <v>41114</v>
      </c>
      <c r="B138" s="3" t="s">
        <v>266</v>
      </c>
      <c r="C138" s="3">
        <v>12308</v>
      </c>
      <c r="D138" s="3">
        <v>1</v>
      </c>
      <c r="E138" s="10" t="s">
        <v>684</v>
      </c>
      <c r="F138" s="10" t="s">
        <v>770</v>
      </c>
      <c r="G138" s="10" t="s">
        <v>703</v>
      </c>
      <c r="H138" s="10" t="s">
        <v>683</v>
      </c>
    </row>
    <row r="139" spans="1:11" ht="13.5" customHeight="1">
      <c r="A139" s="19">
        <v>41114</v>
      </c>
      <c r="B139" s="3" t="s">
        <v>34</v>
      </c>
      <c r="C139" s="3">
        <v>12235</v>
      </c>
      <c r="D139" s="3">
        <v>1</v>
      </c>
      <c r="E139" s="10" t="s">
        <v>684</v>
      </c>
      <c r="F139" s="10" t="s">
        <v>770</v>
      </c>
      <c r="G139" s="10" t="s">
        <v>703</v>
      </c>
      <c r="H139" s="10" t="s">
        <v>683</v>
      </c>
    </row>
    <row r="140" spans="1:11" ht="13.5" customHeight="1">
      <c r="A140" s="6">
        <v>41117</v>
      </c>
      <c r="B140" s="10" t="s">
        <v>830</v>
      </c>
      <c r="C140" s="10" t="s">
        <v>829</v>
      </c>
      <c r="D140" s="3">
        <v>2</v>
      </c>
      <c r="E140" s="10" t="s">
        <v>827</v>
      </c>
      <c r="F140" s="16" t="s">
        <v>828</v>
      </c>
      <c r="G140" s="1" t="s">
        <v>736</v>
      </c>
      <c r="H140" s="2" t="s">
        <v>675</v>
      </c>
    </row>
    <row r="141" spans="1:11" ht="13.5" customHeight="1">
      <c r="A141" s="6">
        <v>41117</v>
      </c>
      <c r="B141" s="10" t="s">
        <v>831</v>
      </c>
      <c r="C141" s="10" t="s">
        <v>832</v>
      </c>
      <c r="D141" s="3">
        <v>2</v>
      </c>
      <c r="E141" s="10" t="s">
        <v>827</v>
      </c>
      <c r="F141" s="16" t="s">
        <v>828</v>
      </c>
      <c r="G141" s="1" t="s">
        <v>736</v>
      </c>
      <c r="H141" s="2" t="s">
        <v>675</v>
      </c>
    </row>
    <row r="142" spans="1:11" ht="13.5" customHeight="1">
      <c r="A142" s="6">
        <v>41117</v>
      </c>
      <c r="B142" s="10" t="s">
        <v>834</v>
      </c>
      <c r="C142" s="10" t="s">
        <v>833</v>
      </c>
      <c r="D142" s="3">
        <v>1</v>
      </c>
      <c r="E142" s="10" t="s">
        <v>755</v>
      </c>
      <c r="F142" s="16" t="s">
        <v>828</v>
      </c>
      <c r="G142" s="1" t="s">
        <v>736</v>
      </c>
      <c r="H142" s="2" t="s">
        <v>675</v>
      </c>
    </row>
    <row r="143" spans="1:11" ht="13.5" customHeight="1">
      <c r="A143" s="6">
        <v>41131</v>
      </c>
      <c r="B143" s="21" t="s">
        <v>748</v>
      </c>
      <c r="C143" s="1" t="s">
        <v>780</v>
      </c>
      <c r="D143" s="1">
        <v>2</v>
      </c>
      <c r="E143" s="1" t="s">
        <v>684</v>
      </c>
      <c r="F143" s="1" t="s">
        <v>15</v>
      </c>
      <c r="G143" s="1" t="s">
        <v>736</v>
      </c>
      <c r="H143" s="2" t="s">
        <v>675</v>
      </c>
      <c r="I143" s="60" t="s">
        <v>189</v>
      </c>
      <c r="J143" s="59" t="s">
        <v>190</v>
      </c>
      <c r="K143" s="59" t="s">
        <v>191</v>
      </c>
    </row>
    <row r="144" spans="1:11" ht="13.5" customHeight="1">
      <c r="A144" s="6">
        <v>41131</v>
      </c>
      <c r="B144" s="1" t="s">
        <v>665</v>
      </c>
      <c r="C144" s="1">
        <v>8210</v>
      </c>
      <c r="D144" s="1">
        <v>1</v>
      </c>
      <c r="E144" s="1" t="s">
        <v>684</v>
      </c>
      <c r="F144" s="1" t="s">
        <v>15</v>
      </c>
      <c r="G144" s="1" t="s">
        <v>736</v>
      </c>
      <c r="H144" s="2" t="s">
        <v>675</v>
      </c>
      <c r="I144" s="60" t="s">
        <v>189</v>
      </c>
      <c r="J144" s="59" t="s">
        <v>190</v>
      </c>
      <c r="K144" s="59" t="s">
        <v>191</v>
      </c>
    </row>
    <row r="145" spans="1:11" ht="13.5" customHeight="1">
      <c r="A145" s="6">
        <v>41131</v>
      </c>
      <c r="B145" s="1" t="s">
        <v>305</v>
      </c>
      <c r="C145" s="1" t="s">
        <v>16</v>
      </c>
      <c r="D145" s="1">
        <v>1</v>
      </c>
      <c r="E145" s="1" t="s">
        <v>690</v>
      </c>
      <c r="F145" s="1" t="s">
        <v>15</v>
      </c>
      <c r="G145" s="1" t="s">
        <v>736</v>
      </c>
      <c r="H145" s="2" t="s">
        <v>675</v>
      </c>
      <c r="I145" s="60" t="s">
        <v>189</v>
      </c>
      <c r="J145" s="59" t="s">
        <v>190</v>
      </c>
      <c r="K145" s="59" t="s">
        <v>191</v>
      </c>
    </row>
    <row r="146" spans="1:11" ht="13.5" customHeight="1">
      <c r="A146" s="6">
        <v>41131</v>
      </c>
      <c r="B146" s="1" t="s">
        <v>681</v>
      </c>
      <c r="C146" s="1" t="s">
        <v>17</v>
      </c>
      <c r="D146" s="1">
        <v>1</v>
      </c>
      <c r="E146" s="1" t="s">
        <v>690</v>
      </c>
      <c r="F146" s="1" t="s">
        <v>15</v>
      </c>
      <c r="G146" s="1" t="s">
        <v>736</v>
      </c>
      <c r="H146" s="2" t="s">
        <v>675</v>
      </c>
      <c r="I146" s="60" t="s">
        <v>189</v>
      </c>
      <c r="J146" s="59" t="s">
        <v>190</v>
      </c>
      <c r="K146" s="59" t="s">
        <v>191</v>
      </c>
    </row>
    <row r="147" spans="1:11" ht="13.5" customHeight="1">
      <c r="A147" s="6">
        <v>41131</v>
      </c>
      <c r="B147" s="1" t="s">
        <v>266</v>
      </c>
      <c r="C147" s="1">
        <v>12308</v>
      </c>
      <c r="D147" s="1">
        <v>1</v>
      </c>
      <c r="E147" s="1" t="s">
        <v>690</v>
      </c>
      <c r="F147" s="1" t="s">
        <v>15</v>
      </c>
      <c r="G147" s="1" t="s">
        <v>736</v>
      </c>
      <c r="H147" s="2" t="s">
        <v>675</v>
      </c>
      <c r="I147" s="60" t="s">
        <v>189</v>
      </c>
      <c r="J147" s="59" t="s">
        <v>190</v>
      </c>
      <c r="K147" s="59" t="s">
        <v>191</v>
      </c>
    </row>
    <row r="148" spans="1:11" ht="14.25" customHeight="1">
      <c r="A148" s="6">
        <v>41131</v>
      </c>
      <c r="B148" s="10" t="s">
        <v>18</v>
      </c>
      <c r="C148" s="3">
        <v>40175</v>
      </c>
      <c r="D148" s="1">
        <v>1</v>
      </c>
      <c r="E148" s="1" t="s">
        <v>690</v>
      </c>
      <c r="F148" s="10" t="s">
        <v>19</v>
      </c>
      <c r="G148" s="1" t="s">
        <v>736</v>
      </c>
      <c r="H148" s="2" t="s">
        <v>675</v>
      </c>
    </row>
    <row r="149" spans="1:11" ht="13.5" customHeight="1">
      <c r="A149" s="6">
        <v>41131</v>
      </c>
      <c r="B149" s="18" t="s">
        <v>20</v>
      </c>
      <c r="C149" s="3">
        <v>40175</v>
      </c>
      <c r="D149" s="1">
        <v>1</v>
      </c>
      <c r="E149" s="1" t="s">
        <v>690</v>
      </c>
      <c r="F149" s="10" t="s">
        <v>19</v>
      </c>
      <c r="G149" s="1" t="s">
        <v>736</v>
      </c>
      <c r="H149" s="2" t="s">
        <v>675</v>
      </c>
    </row>
    <row r="150" spans="1:11" ht="13.5" customHeight="1">
      <c r="A150" s="6">
        <v>41141</v>
      </c>
      <c r="B150" s="3" t="s">
        <v>69</v>
      </c>
      <c r="C150" s="3">
        <v>1100</v>
      </c>
      <c r="D150" s="3">
        <v>10</v>
      </c>
      <c r="E150" s="20" t="s">
        <v>690</v>
      </c>
      <c r="F150" s="20" t="s">
        <v>70</v>
      </c>
      <c r="G150" s="1" t="s">
        <v>736</v>
      </c>
      <c r="H150" s="2" t="s">
        <v>675</v>
      </c>
    </row>
    <row r="151" spans="1:11" ht="13.5" customHeight="1">
      <c r="A151" s="6">
        <v>41150</v>
      </c>
      <c r="B151" s="2" t="s">
        <v>840</v>
      </c>
      <c r="C151" s="2">
        <v>10197</v>
      </c>
      <c r="D151" s="2">
        <v>3</v>
      </c>
      <c r="E151" s="1" t="s">
        <v>684</v>
      </c>
      <c r="F151" s="2" t="s">
        <v>678</v>
      </c>
      <c r="G151" s="10" t="s">
        <v>703</v>
      </c>
      <c r="H151" s="10" t="s">
        <v>683</v>
      </c>
    </row>
    <row r="152" spans="1:11" ht="13.5" customHeight="1">
      <c r="A152" s="6">
        <v>41150</v>
      </c>
      <c r="B152" s="10" t="s">
        <v>150</v>
      </c>
      <c r="C152" s="10" t="s">
        <v>147</v>
      </c>
      <c r="D152" s="3">
        <v>2</v>
      </c>
      <c r="E152" s="10" t="s">
        <v>755</v>
      </c>
      <c r="F152" s="2" t="s">
        <v>678</v>
      </c>
      <c r="G152" s="10" t="s">
        <v>703</v>
      </c>
      <c r="H152" s="10" t="s">
        <v>683</v>
      </c>
    </row>
    <row r="153" spans="1:11" ht="13.5" customHeight="1">
      <c r="A153" s="6">
        <v>41150</v>
      </c>
      <c r="B153" s="10" t="s">
        <v>151</v>
      </c>
      <c r="C153" s="10" t="s">
        <v>148</v>
      </c>
      <c r="D153" s="3">
        <v>1</v>
      </c>
      <c r="E153" s="10" t="s">
        <v>696</v>
      </c>
      <c r="F153" s="2" t="s">
        <v>678</v>
      </c>
      <c r="G153" s="10" t="s">
        <v>703</v>
      </c>
      <c r="H153" s="10" t="s">
        <v>683</v>
      </c>
    </row>
    <row r="154" spans="1:11" ht="13.5" customHeight="1">
      <c r="A154" s="6">
        <v>41150</v>
      </c>
      <c r="C154" s="10" t="s">
        <v>149</v>
      </c>
      <c r="D154" s="3">
        <v>1</v>
      </c>
      <c r="E154" s="10" t="s">
        <v>696</v>
      </c>
      <c r="F154" s="2" t="s">
        <v>678</v>
      </c>
      <c r="G154" s="10" t="s">
        <v>703</v>
      </c>
      <c r="H154" s="10" t="s">
        <v>683</v>
      </c>
    </row>
    <row r="155" spans="1:11" ht="13.5" customHeight="1">
      <c r="A155" s="6">
        <v>41190</v>
      </c>
      <c r="B155" s="10" t="s">
        <v>951</v>
      </c>
      <c r="C155" s="10" t="s">
        <v>947</v>
      </c>
      <c r="D155" s="3">
        <v>-1</v>
      </c>
      <c r="E155" s="10" t="s">
        <v>948</v>
      </c>
      <c r="F155" s="3" t="s">
        <v>952</v>
      </c>
      <c r="G155" s="10" t="s">
        <v>949</v>
      </c>
      <c r="H155" s="10" t="s">
        <v>950</v>
      </c>
      <c r="K155" s="3" t="s">
        <v>952</v>
      </c>
    </row>
    <row r="156" spans="1:11" ht="13.5" customHeight="1">
      <c r="A156" s="6">
        <v>41191</v>
      </c>
      <c r="B156" s="3" t="s">
        <v>307</v>
      </c>
      <c r="C156" s="3">
        <v>1110</v>
      </c>
      <c r="D156" s="3">
        <v>-5</v>
      </c>
      <c r="E156" s="10" t="s">
        <v>954</v>
      </c>
      <c r="F156" s="3" t="s">
        <v>962</v>
      </c>
      <c r="G156" s="10" t="s">
        <v>961</v>
      </c>
      <c r="H156" s="10" t="s">
        <v>683</v>
      </c>
      <c r="K156" s="3" t="s">
        <v>962</v>
      </c>
    </row>
    <row r="157" spans="1:11" ht="13.5" customHeight="1">
      <c r="A157" s="6">
        <v>41191</v>
      </c>
      <c r="B157" s="58" t="s">
        <v>69</v>
      </c>
      <c r="C157" s="3">
        <v>1100</v>
      </c>
      <c r="D157" s="3">
        <v>-20</v>
      </c>
      <c r="E157" s="10" t="s">
        <v>172</v>
      </c>
      <c r="F157" s="10" t="s">
        <v>973</v>
      </c>
      <c r="G157" s="10" t="s">
        <v>736</v>
      </c>
      <c r="H157" s="10" t="s">
        <v>683</v>
      </c>
    </row>
    <row r="158" spans="1:11" ht="13.5" customHeight="1">
      <c r="A158" s="6">
        <v>41201</v>
      </c>
      <c r="B158" s="58" t="s">
        <v>264</v>
      </c>
      <c r="C158" s="10" t="s">
        <v>1021</v>
      </c>
      <c r="D158" s="3">
        <v>-5</v>
      </c>
      <c r="E158" s="10" t="s">
        <v>1022</v>
      </c>
      <c r="F158" s="82" t="s">
        <v>976</v>
      </c>
      <c r="G158" s="10" t="s">
        <v>1023</v>
      </c>
      <c r="H158" s="10" t="s">
        <v>1024</v>
      </c>
    </row>
    <row r="159" spans="1:11" ht="13.5" customHeight="1">
      <c r="A159" s="6">
        <v>41240</v>
      </c>
      <c r="B159" s="3" t="s">
        <v>307</v>
      </c>
      <c r="C159" s="3">
        <v>1110</v>
      </c>
      <c r="D159" s="3">
        <v>-1</v>
      </c>
      <c r="E159" s="10" t="s">
        <v>172</v>
      </c>
      <c r="F159" s="10" t="s">
        <v>1392</v>
      </c>
      <c r="G159" s="10" t="s">
        <v>736</v>
      </c>
      <c r="H159" s="10" t="s">
        <v>683</v>
      </c>
    </row>
    <row r="160" spans="1:11" ht="13.5" customHeight="1">
      <c r="A160" s="6">
        <v>41240</v>
      </c>
      <c r="B160" s="3" t="s">
        <v>196</v>
      </c>
      <c r="C160" s="10">
        <v>1100</v>
      </c>
      <c r="D160" s="3">
        <v>-1</v>
      </c>
      <c r="E160" s="10" t="s">
        <v>172</v>
      </c>
      <c r="F160" s="10" t="s">
        <v>1392</v>
      </c>
      <c r="G160" s="10" t="s">
        <v>736</v>
      </c>
      <c r="H160" s="10" t="s">
        <v>683</v>
      </c>
    </row>
    <row r="161" spans="1:9" ht="13.5" customHeight="1">
      <c r="A161" s="6">
        <v>41243</v>
      </c>
      <c r="B161" s="10" t="s">
        <v>52</v>
      </c>
      <c r="C161" s="10">
        <v>9031</v>
      </c>
      <c r="D161" s="10">
        <v>22</v>
      </c>
      <c r="E161" s="10" t="s">
        <v>1393</v>
      </c>
      <c r="F161" s="10" t="s">
        <v>1394</v>
      </c>
      <c r="G161" s="10" t="s">
        <v>1395</v>
      </c>
      <c r="H161" s="10" t="s">
        <v>1396</v>
      </c>
    </row>
    <row r="162" spans="1:9" ht="13.5" customHeight="1">
      <c r="A162" s="6">
        <v>41246</v>
      </c>
      <c r="B162" s="10" t="s">
        <v>985</v>
      </c>
      <c r="C162" s="10">
        <v>15902</v>
      </c>
      <c r="D162" s="10">
        <v>15</v>
      </c>
      <c r="E162" s="10" t="s">
        <v>172</v>
      </c>
      <c r="F162" s="10" t="s">
        <v>1464</v>
      </c>
      <c r="G162" s="10" t="s">
        <v>736</v>
      </c>
      <c r="H162" s="10" t="s">
        <v>683</v>
      </c>
    </row>
    <row r="163" spans="1:9" ht="13.5" customHeight="1">
      <c r="A163" s="6">
        <v>41246</v>
      </c>
      <c r="B163" s="10" t="s">
        <v>681</v>
      </c>
      <c r="C163" s="10" t="s">
        <v>17</v>
      </c>
      <c r="D163" s="10">
        <v>15</v>
      </c>
      <c r="E163" s="10" t="s">
        <v>172</v>
      </c>
      <c r="F163" s="10" t="s">
        <v>1464</v>
      </c>
      <c r="G163" s="10" t="s">
        <v>736</v>
      </c>
      <c r="H163" s="10" t="s">
        <v>683</v>
      </c>
    </row>
    <row r="164" spans="1:9" ht="13.5" customHeight="1">
      <c r="A164" s="6">
        <v>41246</v>
      </c>
      <c r="B164" s="10" t="s">
        <v>1133</v>
      </c>
      <c r="C164" s="10">
        <v>3000</v>
      </c>
      <c r="D164" s="10">
        <v>5</v>
      </c>
      <c r="E164" s="10" t="s">
        <v>192</v>
      </c>
      <c r="F164" s="10" t="s">
        <v>1464</v>
      </c>
      <c r="G164" s="10" t="s">
        <v>736</v>
      </c>
      <c r="H164" s="10" t="s">
        <v>683</v>
      </c>
    </row>
    <row r="165" spans="1:9" ht="13.5" customHeight="1">
      <c r="A165" s="6">
        <v>41246</v>
      </c>
      <c r="B165" s="10" t="s">
        <v>1134</v>
      </c>
      <c r="C165" s="10">
        <v>6000</v>
      </c>
      <c r="D165" s="10">
        <v>2</v>
      </c>
      <c r="E165" s="10" t="s">
        <v>192</v>
      </c>
      <c r="F165" s="10" t="s">
        <v>1464</v>
      </c>
      <c r="G165" s="10" t="s">
        <v>736</v>
      </c>
      <c r="H165" s="10" t="s">
        <v>683</v>
      </c>
    </row>
    <row r="166" spans="1:9" ht="13.5" customHeight="1">
      <c r="A166" s="6">
        <v>41246</v>
      </c>
      <c r="B166" s="10" t="s">
        <v>52</v>
      </c>
      <c r="C166" s="10">
        <v>9031</v>
      </c>
      <c r="D166" s="10">
        <v>50</v>
      </c>
      <c r="E166" s="10" t="s">
        <v>171</v>
      </c>
      <c r="F166" s="10" t="s">
        <v>1464</v>
      </c>
      <c r="G166" s="10" t="s">
        <v>736</v>
      </c>
      <c r="H166" s="10" t="s">
        <v>683</v>
      </c>
    </row>
    <row r="167" spans="1:9" ht="13.5" customHeight="1">
      <c r="A167" s="6">
        <v>41246</v>
      </c>
      <c r="B167" s="10" t="s">
        <v>1463</v>
      </c>
      <c r="C167" s="10" t="s">
        <v>1461</v>
      </c>
      <c r="D167" s="10">
        <v>1</v>
      </c>
      <c r="E167" s="10" t="s">
        <v>1626</v>
      </c>
      <c r="F167" s="10"/>
      <c r="G167" s="10" t="s">
        <v>736</v>
      </c>
      <c r="H167" s="10" t="s">
        <v>683</v>
      </c>
    </row>
    <row r="168" spans="1:9" ht="13.5" customHeight="1">
      <c r="A168" s="6">
        <v>41246</v>
      </c>
      <c r="B168" s="10" t="s">
        <v>1463</v>
      </c>
      <c r="C168" s="10" t="s">
        <v>1462</v>
      </c>
      <c r="D168" s="10">
        <v>2</v>
      </c>
      <c r="E168" s="10" t="s">
        <v>827</v>
      </c>
      <c r="F168" s="10"/>
      <c r="G168" s="10" t="s">
        <v>736</v>
      </c>
      <c r="H168" s="10" t="s">
        <v>683</v>
      </c>
    </row>
    <row r="169" spans="1:9" ht="13.5" customHeight="1">
      <c r="A169" s="6">
        <v>41250</v>
      </c>
      <c r="B169" s="3" t="s">
        <v>1368</v>
      </c>
      <c r="C169" s="3" t="s">
        <v>1367</v>
      </c>
      <c r="D169" s="3">
        <v>1</v>
      </c>
      <c r="E169" s="10" t="s">
        <v>1458</v>
      </c>
      <c r="F169" s="10" t="s">
        <v>1459</v>
      </c>
      <c r="G169" s="10" t="s">
        <v>736</v>
      </c>
      <c r="H169" s="10" t="s">
        <v>683</v>
      </c>
    </row>
    <row r="170" spans="1:9" ht="13.5" customHeight="1">
      <c r="A170" s="6">
        <v>41250</v>
      </c>
      <c r="B170" s="3" t="s">
        <v>1483</v>
      </c>
      <c r="C170" s="10">
        <v>8514</v>
      </c>
      <c r="D170" s="3">
        <v>1</v>
      </c>
      <c r="E170" s="10" t="s">
        <v>1460</v>
      </c>
      <c r="F170" s="10" t="s">
        <v>1459</v>
      </c>
      <c r="G170" s="10" t="s">
        <v>736</v>
      </c>
      <c r="H170" s="10" t="s">
        <v>683</v>
      </c>
    </row>
    <row r="171" spans="1:9" ht="13.5" customHeight="1">
      <c r="A171" s="6">
        <v>41257</v>
      </c>
      <c r="B171" s="3" t="s">
        <v>1484</v>
      </c>
      <c r="C171" s="10" t="s">
        <v>1482</v>
      </c>
      <c r="D171" s="3">
        <v>1</v>
      </c>
      <c r="E171" s="10" t="s">
        <v>192</v>
      </c>
      <c r="F171" s="10" t="s">
        <v>1486</v>
      </c>
      <c r="G171" s="10" t="s">
        <v>736</v>
      </c>
      <c r="H171" s="10" t="s">
        <v>683</v>
      </c>
    </row>
    <row r="172" spans="1:9" ht="13.5" customHeight="1">
      <c r="A172" s="6">
        <v>41257</v>
      </c>
      <c r="B172" s="3" t="s">
        <v>1485</v>
      </c>
      <c r="C172" s="3">
        <v>1426</v>
      </c>
      <c r="D172" s="3">
        <v>1</v>
      </c>
      <c r="E172" s="10" t="s">
        <v>172</v>
      </c>
      <c r="F172" s="10" t="s">
        <v>1486</v>
      </c>
      <c r="G172" s="10" t="s">
        <v>736</v>
      </c>
      <c r="H172" s="10" t="s">
        <v>683</v>
      </c>
    </row>
    <row r="173" spans="1:9" ht="13.5" customHeight="1">
      <c r="A173" s="6">
        <v>41260</v>
      </c>
      <c r="B173" s="10" t="s">
        <v>52</v>
      </c>
      <c r="C173" s="10">
        <v>9031</v>
      </c>
      <c r="D173" s="3">
        <v>5</v>
      </c>
      <c r="E173" s="1" t="s">
        <v>1490</v>
      </c>
      <c r="F173" s="1" t="s">
        <v>1493</v>
      </c>
      <c r="G173" s="10" t="s">
        <v>1491</v>
      </c>
      <c r="H173" s="10" t="s">
        <v>1492</v>
      </c>
    </row>
    <row r="174" spans="1:9" ht="13.5" customHeight="1">
      <c r="A174" s="6">
        <v>41260</v>
      </c>
      <c r="B174" s="3" t="s">
        <v>1368</v>
      </c>
      <c r="C174" s="3" t="s">
        <v>1367</v>
      </c>
      <c r="D174" s="3">
        <v>1</v>
      </c>
      <c r="E174" s="10" t="s">
        <v>192</v>
      </c>
      <c r="F174" s="10" t="s">
        <v>1502</v>
      </c>
      <c r="G174" s="10" t="s">
        <v>736</v>
      </c>
      <c r="H174" s="10" t="s">
        <v>683</v>
      </c>
    </row>
    <row r="175" spans="1:9" ht="13.5" customHeight="1">
      <c r="A175" s="6">
        <v>41260</v>
      </c>
      <c r="B175" s="192" t="s">
        <v>1552</v>
      </c>
      <c r="C175" s="10" t="s">
        <v>1506</v>
      </c>
      <c r="D175" s="3">
        <v>1</v>
      </c>
      <c r="E175" s="10" t="s">
        <v>827</v>
      </c>
      <c r="G175" s="10" t="s">
        <v>736</v>
      </c>
      <c r="H175" s="10" t="s">
        <v>683</v>
      </c>
      <c r="I175" s="10" t="s">
        <v>1623</v>
      </c>
    </row>
    <row r="176" spans="1:9" ht="13.5" customHeight="1">
      <c r="A176" s="6">
        <v>41260</v>
      </c>
      <c r="B176" s="10" t="s">
        <v>1606</v>
      </c>
      <c r="C176" s="10" t="s">
        <v>1507</v>
      </c>
      <c r="D176" s="3">
        <v>1</v>
      </c>
      <c r="G176" s="10" t="s">
        <v>736</v>
      </c>
      <c r="H176" s="10" t="s">
        <v>683</v>
      </c>
      <c r="I176" s="10" t="s">
        <v>1623</v>
      </c>
    </row>
    <row r="177" spans="1:9" ht="13.5" customHeight="1">
      <c r="A177" s="6">
        <v>41260</v>
      </c>
      <c r="B177" s="10" t="s">
        <v>1606</v>
      </c>
      <c r="C177" s="10" t="s">
        <v>1508</v>
      </c>
      <c r="D177" s="3">
        <v>1</v>
      </c>
      <c r="G177" s="10" t="s">
        <v>736</v>
      </c>
      <c r="H177" s="10" t="s">
        <v>683</v>
      </c>
      <c r="I177" s="10" t="s">
        <v>1623</v>
      </c>
    </row>
    <row r="178" spans="1:9" ht="13.5" customHeight="1">
      <c r="A178" s="6">
        <v>41260</v>
      </c>
      <c r="B178" s="10" t="s">
        <v>1606</v>
      </c>
      <c r="C178" s="10" t="s">
        <v>1509</v>
      </c>
      <c r="D178" s="3">
        <v>1</v>
      </c>
      <c r="G178" s="10" t="s">
        <v>736</v>
      </c>
      <c r="H178" s="10" t="s">
        <v>683</v>
      </c>
      <c r="I178" s="10" t="s">
        <v>1623</v>
      </c>
    </row>
    <row r="179" spans="1:9" ht="13.5" customHeight="1">
      <c r="A179" s="6">
        <v>41260</v>
      </c>
      <c r="B179" s="10" t="s">
        <v>1606</v>
      </c>
      <c r="C179" s="10" t="s">
        <v>1510</v>
      </c>
      <c r="D179" s="3">
        <v>1</v>
      </c>
      <c r="G179" s="10" t="s">
        <v>736</v>
      </c>
      <c r="H179" s="10" t="s">
        <v>683</v>
      </c>
      <c r="I179" s="10" t="s">
        <v>1623</v>
      </c>
    </row>
    <row r="180" spans="1:9" ht="13.5" customHeight="1">
      <c r="A180" s="6">
        <v>41260</v>
      </c>
      <c r="B180" s="10" t="s">
        <v>1606</v>
      </c>
      <c r="C180" s="10" t="s">
        <v>1511</v>
      </c>
      <c r="D180" s="3">
        <v>1</v>
      </c>
      <c r="G180" s="10" t="s">
        <v>736</v>
      </c>
      <c r="H180" s="10" t="s">
        <v>683</v>
      </c>
      <c r="I180" s="10" t="s">
        <v>1623</v>
      </c>
    </row>
    <row r="181" spans="1:9" ht="13.5" customHeight="1">
      <c r="A181" s="6">
        <v>41260</v>
      </c>
      <c r="C181" s="10" t="s">
        <v>1512</v>
      </c>
      <c r="D181" s="3">
        <v>1</v>
      </c>
      <c r="G181" s="10" t="s">
        <v>736</v>
      </c>
      <c r="H181" s="10" t="s">
        <v>683</v>
      </c>
      <c r="I181" s="10" t="s">
        <v>1623</v>
      </c>
    </row>
    <row r="182" spans="1:9" ht="13.5" customHeight="1">
      <c r="A182" s="6">
        <v>41260</v>
      </c>
      <c r="C182" s="10" t="s">
        <v>1513</v>
      </c>
      <c r="D182" s="3">
        <v>1</v>
      </c>
      <c r="G182" s="10" t="s">
        <v>736</v>
      </c>
      <c r="H182" s="10" t="s">
        <v>683</v>
      </c>
      <c r="I182" s="10" t="s">
        <v>1623</v>
      </c>
    </row>
    <row r="183" spans="1:9" ht="13.5" customHeight="1">
      <c r="A183" s="6">
        <v>41260</v>
      </c>
      <c r="C183" s="10" t="s">
        <v>1514</v>
      </c>
      <c r="D183" s="3">
        <v>1</v>
      </c>
      <c r="G183" s="10" t="s">
        <v>736</v>
      </c>
      <c r="H183" s="10" t="s">
        <v>683</v>
      </c>
      <c r="I183" s="10" t="s">
        <v>1623</v>
      </c>
    </row>
    <row r="184" spans="1:9" ht="13.5" customHeight="1">
      <c r="A184" s="6">
        <v>41260</v>
      </c>
      <c r="C184" s="10" t="s">
        <v>1515</v>
      </c>
      <c r="D184" s="3">
        <v>1</v>
      </c>
      <c r="G184" s="10" t="s">
        <v>736</v>
      </c>
      <c r="H184" s="10" t="s">
        <v>683</v>
      </c>
      <c r="I184" s="10" t="s">
        <v>1623</v>
      </c>
    </row>
    <row r="185" spans="1:9" ht="13.5" customHeight="1">
      <c r="A185" s="6">
        <v>41260</v>
      </c>
      <c r="C185" s="3">
        <v>8515</v>
      </c>
      <c r="D185" s="3">
        <v>1</v>
      </c>
      <c r="G185" s="10" t="s">
        <v>736</v>
      </c>
      <c r="H185" s="10" t="s">
        <v>683</v>
      </c>
      <c r="I185" s="10" t="s">
        <v>1623</v>
      </c>
    </row>
    <row r="186" spans="1:9" ht="13.5" customHeight="1">
      <c r="A186" s="6">
        <v>41260</v>
      </c>
      <c r="C186" s="3">
        <v>8577</v>
      </c>
      <c r="D186" s="3">
        <v>1</v>
      </c>
      <c r="G186" s="10" t="s">
        <v>736</v>
      </c>
      <c r="H186" s="10" t="s">
        <v>683</v>
      </c>
      <c r="I186" s="10" t="s">
        <v>1623</v>
      </c>
    </row>
    <row r="187" spans="1:9" ht="13.5" customHeight="1">
      <c r="A187" s="6">
        <v>41260</v>
      </c>
      <c r="C187" s="3">
        <v>8247</v>
      </c>
      <c r="D187" s="3">
        <v>1</v>
      </c>
      <c r="G187" s="10" t="s">
        <v>736</v>
      </c>
      <c r="H187" s="10" t="s">
        <v>683</v>
      </c>
      <c r="I187" s="10" t="s">
        <v>1623</v>
      </c>
    </row>
    <row r="188" spans="1:9" ht="13.5" customHeight="1">
      <c r="A188" s="6">
        <v>41260</v>
      </c>
      <c r="C188" s="10" t="s">
        <v>1516</v>
      </c>
      <c r="D188" s="3">
        <v>1</v>
      </c>
      <c r="G188" s="10" t="s">
        <v>736</v>
      </c>
      <c r="H188" s="10" t="s">
        <v>683</v>
      </c>
      <c r="I188" s="10" t="s">
        <v>1623</v>
      </c>
    </row>
    <row r="189" spans="1:9" ht="13.5" customHeight="1">
      <c r="A189" s="6">
        <v>41260</v>
      </c>
      <c r="C189" s="3">
        <v>1860</v>
      </c>
      <c r="D189" s="3">
        <v>1</v>
      </c>
      <c r="G189" s="10" t="s">
        <v>736</v>
      </c>
      <c r="H189" s="10" t="s">
        <v>683</v>
      </c>
      <c r="I189" s="10" t="s">
        <v>1623</v>
      </c>
    </row>
    <row r="190" spans="1:9" ht="13.5" customHeight="1">
      <c r="A190" s="6">
        <v>41260</v>
      </c>
      <c r="C190" s="10" t="s">
        <v>1517</v>
      </c>
      <c r="D190" s="3">
        <v>1</v>
      </c>
      <c r="G190" s="10" t="s">
        <v>736</v>
      </c>
      <c r="H190" s="10" t="s">
        <v>683</v>
      </c>
      <c r="I190" s="10" t="s">
        <v>1623</v>
      </c>
    </row>
    <row r="191" spans="1:9" ht="13.5" customHeight="1">
      <c r="A191" s="6">
        <v>41260</v>
      </c>
      <c r="B191" s="10" t="s">
        <v>52</v>
      </c>
      <c r="C191" s="3">
        <v>9032</v>
      </c>
      <c r="D191" s="3">
        <v>1</v>
      </c>
      <c r="G191" s="10" t="s">
        <v>736</v>
      </c>
      <c r="H191" s="10" t="s">
        <v>683</v>
      </c>
      <c r="I191" s="10" t="s">
        <v>1623</v>
      </c>
    </row>
    <row r="192" spans="1:9" ht="13.5" customHeight="1">
      <c r="A192" s="6">
        <v>41260</v>
      </c>
      <c r="B192" s="10" t="s">
        <v>52</v>
      </c>
      <c r="C192" s="3">
        <v>9031</v>
      </c>
      <c r="D192" s="3">
        <v>1</v>
      </c>
      <c r="G192" s="10" t="s">
        <v>736</v>
      </c>
      <c r="H192" s="10" t="s">
        <v>683</v>
      </c>
      <c r="I192" s="10" t="s">
        <v>1623</v>
      </c>
    </row>
    <row r="193" spans="1:9" ht="13.5" customHeight="1">
      <c r="A193" s="6">
        <v>41260</v>
      </c>
      <c r="C193" s="3">
        <v>11228</v>
      </c>
      <c r="D193" s="3">
        <v>1</v>
      </c>
      <c r="G193" s="10" t="s">
        <v>736</v>
      </c>
      <c r="H193" s="10" t="s">
        <v>683</v>
      </c>
      <c r="I193" s="10" t="s">
        <v>1623</v>
      </c>
    </row>
    <row r="194" spans="1:9" ht="13.5" customHeight="1">
      <c r="A194" s="6">
        <v>41260</v>
      </c>
      <c r="C194" s="3">
        <v>10435</v>
      </c>
      <c r="D194" s="3">
        <v>1</v>
      </c>
      <c r="G194" s="10" t="s">
        <v>736</v>
      </c>
      <c r="H194" s="10" t="s">
        <v>683</v>
      </c>
      <c r="I194" s="10" t="s">
        <v>1623</v>
      </c>
    </row>
    <row r="195" spans="1:9" ht="13.5" customHeight="1">
      <c r="A195" s="6">
        <v>41260</v>
      </c>
      <c r="C195" s="10" t="s">
        <v>1518</v>
      </c>
      <c r="D195" s="3">
        <v>1</v>
      </c>
      <c r="G195" s="10" t="s">
        <v>736</v>
      </c>
      <c r="H195" s="10" t="s">
        <v>683</v>
      </c>
      <c r="I195" s="10" t="s">
        <v>1623</v>
      </c>
    </row>
    <row r="196" spans="1:9" ht="13.5" customHeight="1">
      <c r="A196" s="6">
        <v>41260</v>
      </c>
      <c r="C196" s="10" t="s">
        <v>1519</v>
      </c>
      <c r="D196" s="3">
        <v>1</v>
      </c>
      <c r="G196" s="10" t="s">
        <v>736</v>
      </c>
      <c r="H196" s="10" t="s">
        <v>683</v>
      </c>
      <c r="I196" s="10" t="s">
        <v>1623</v>
      </c>
    </row>
    <row r="197" spans="1:9" ht="13.5" customHeight="1">
      <c r="A197" s="6">
        <v>41260</v>
      </c>
      <c r="C197" s="10" t="s">
        <v>1520</v>
      </c>
      <c r="D197" s="3">
        <v>1</v>
      </c>
      <c r="G197" s="10" t="s">
        <v>736</v>
      </c>
      <c r="H197" s="10" t="s">
        <v>683</v>
      </c>
      <c r="I197" s="10" t="s">
        <v>1623</v>
      </c>
    </row>
    <row r="198" spans="1:9" ht="13.5" customHeight="1">
      <c r="A198" s="6">
        <v>41260</v>
      </c>
      <c r="C198" s="3">
        <v>4640</v>
      </c>
      <c r="D198" s="3">
        <v>1</v>
      </c>
      <c r="G198" s="10" t="s">
        <v>736</v>
      </c>
      <c r="H198" s="10" t="s">
        <v>683</v>
      </c>
      <c r="I198" s="10" t="s">
        <v>1623</v>
      </c>
    </row>
    <row r="199" spans="1:9" ht="13.5" customHeight="1">
      <c r="A199" s="6">
        <v>41260</v>
      </c>
      <c r="C199" s="10" t="s">
        <v>1521</v>
      </c>
      <c r="D199" s="3">
        <v>1</v>
      </c>
      <c r="G199" s="10" t="s">
        <v>736</v>
      </c>
      <c r="H199" s="10" t="s">
        <v>683</v>
      </c>
      <c r="I199" s="10" t="s">
        <v>1623</v>
      </c>
    </row>
    <row r="200" spans="1:9" ht="13.5" customHeight="1">
      <c r="A200" s="6">
        <v>41260</v>
      </c>
      <c r="C200" s="3">
        <v>10197</v>
      </c>
      <c r="D200" s="3">
        <v>1</v>
      </c>
      <c r="G200" s="10" t="s">
        <v>736</v>
      </c>
      <c r="H200" s="10" t="s">
        <v>683</v>
      </c>
      <c r="I200" s="10" t="s">
        <v>1623</v>
      </c>
    </row>
    <row r="201" spans="1:9" ht="13.5" customHeight="1">
      <c r="A201" s="6">
        <v>41267</v>
      </c>
      <c r="C201" s="10" t="s">
        <v>1577</v>
      </c>
      <c r="D201" s="3">
        <v>2</v>
      </c>
      <c r="E201" s="10" t="s">
        <v>1578</v>
      </c>
      <c r="F201" s="10" t="s">
        <v>1579</v>
      </c>
      <c r="G201" s="10" t="s">
        <v>1580</v>
      </c>
      <c r="H201" s="10" t="s">
        <v>1581</v>
      </c>
    </row>
    <row r="202" spans="1:9" ht="13.5" customHeight="1">
      <c r="A202" s="6">
        <v>41247</v>
      </c>
      <c r="B202" s="65" t="s">
        <v>240</v>
      </c>
      <c r="C202" s="10" t="s">
        <v>1594</v>
      </c>
      <c r="D202" s="3">
        <v>150</v>
      </c>
      <c r="E202" s="10" t="s">
        <v>170</v>
      </c>
      <c r="F202" s="10" t="s">
        <v>1595</v>
      </c>
      <c r="G202" s="10" t="s">
        <v>736</v>
      </c>
      <c r="H202" s="10" t="s">
        <v>683</v>
      </c>
    </row>
    <row r="203" spans="1:9" ht="13.5" customHeight="1">
      <c r="A203" s="6">
        <v>41247</v>
      </c>
      <c r="B203" s="65" t="s">
        <v>346</v>
      </c>
      <c r="C203" s="3">
        <v>3700</v>
      </c>
      <c r="D203" s="3">
        <v>150</v>
      </c>
      <c r="E203" s="10" t="s">
        <v>170</v>
      </c>
      <c r="F203" s="10" t="s">
        <v>1595</v>
      </c>
      <c r="G203" s="10" t="s">
        <v>736</v>
      </c>
      <c r="H203" s="10" t="s">
        <v>683</v>
      </c>
    </row>
    <row r="204" spans="1:9" ht="13.5" customHeight="1">
      <c r="A204" s="6">
        <v>41270</v>
      </c>
      <c r="B204" s="10" t="s">
        <v>1606</v>
      </c>
      <c r="C204" s="10" t="s">
        <v>1602</v>
      </c>
      <c r="D204" s="3">
        <v>1</v>
      </c>
      <c r="E204" s="10" t="s">
        <v>1607</v>
      </c>
      <c r="F204" s="10" t="s">
        <v>1608</v>
      </c>
      <c r="G204" s="10" t="s">
        <v>736</v>
      </c>
      <c r="H204" s="10" t="s">
        <v>683</v>
      </c>
    </row>
    <row r="205" spans="1:9" ht="13.5" customHeight="1">
      <c r="A205" s="6">
        <v>41270</v>
      </c>
      <c r="B205" s="192" t="s">
        <v>1552</v>
      </c>
      <c r="C205" s="10" t="s">
        <v>1603</v>
      </c>
      <c r="D205" s="3">
        <v>1</v>
      </c>
      <c r="E205" s="10" t="s">
        <v>1607</v>
      </c>
      <c r="F205" s="10" t="s">
        <v>1608</v>
      </c>
      <c r="G205" s="10" t="s">
        <v>736</v>
      </c>
      <c r="H205" s="10" t="s">
        <v>683</v>
      </c>
    </row>
    <row r="206" spans="1:9" ht="13.5" customHeight="1">
      <c r="A206" s="6">
        <v>41270</v>
      </c>
      <c r="B206" s="10" t="s">
        <v>1606</v>
      </c>
      <c r="C206" s="10" t="s">
        <v>1604</v>
      </c>
      <c r="D206" s="3">
        <v>1</v>
      </c>
      <c r="E206" s="10" t="s">
        <v>1607</v>
      </c>
      <c r="F206" s="10" t="s">
        <v>1608</v>
      </c>
      <c r="G206" s="10" t="s">
        <v>736</v>
      </c>
      <c r="H206" s="10" t="s">
        <v>683</v>
      </c>
    </row>
    <row r="207" spans="1:9" ht="13.5" customHeight="1">
      <c r="A207" s="6">
        <v>41270</v>
      </c>
      <c r="B207" s="10" t="s">
        <v>1606</v>
      </c>
      <c r="C207" s="10" t="s">
        <v>1605</v>
      </c>
      <c r="D207" s="3">
        <v>1</v>
      </c>
      <c r="E207" s="10" t="s">
        <v>1607</v>
      </c>
      <c r="F207" s="10" t="s">
        <v>1608</v>
      </c>
      <c r="G207" s="10" t="s">
        <v>736</v>
      </c>
      <c r="H207" s="10" t="s">
        <v>683</v>
      </c>
    </row>
    <row r="208" spans="1:9" ht="13.5" customHeight="1">
      <c r="A208" s="6">
        <v>41270</v>
      </c>
      <c r="B208" s="10" t="s">
        <v>1612</v>
      </c>
      <c r="C208" s="3">
        <v>10434</v>
      </c>
      <c r="D208" s="3">
        <v>5</v>
      </c>
      <c r="E208" s="10" t="s">
        <v>1610</v>
      </c>
      <c r="F208" s="10" t="s">
        <v>1611</v>
      </c>
      <c r="G208" s="10" t="s">
        <v>736</v>
      </c>
      <c r="H208" s="10" t="s">
        <v>683</v>
      </c>
    </row>
    <row r="209" spans="1:9" ht="13.5" customHeight="1">
      <c r="A209" s="6">
        <v>41270</v>
      </c>
      <c r="B209" s="10" t="s">
        <v>1606</v>
      </c>
      <c r="C209" s="3">
        <v>3983</v>
      </c>
      <c r="D209" s="3">
        <v>1</v>
      </c>
      <c r="E209" s="10" t="s">
        <v>827</v>
      </c>
      <c r="F209" s="10" t="s">
        <v>1622</v>
      </c>
      <c r="G209" s="10" t="s">
        <v>736</v>
      </c>
      <c r="H209" s="10" t="s">
        <v>683</v>
      </c>
      <c r="I209" s="10" t="s">
        <v>1623</v>
      </c>
    </row>
    <row r="210" spans="1:9" ht="13.5" customHeight="1">
      <c r="A210" s="6">
        <v>41270</v>
      </c>
      <c r="B210" s="10" t="s">
        <v>1606</v>
      </c>
      <c r="C210" s="10" t="s">
        <v>1620</v>
      </c>
      <c r="D210" s="3">
        <v>1</v>
      </c>
      <c r="E210" s="10" t="s">
        <v>827</v>
      </c>
      <c r="F210" s="10" t="s">
        <v>1622</v>
      </c>
      <c r="G210" s="10" t="s">
        <v>736</v>
      </c>
      <c r="H210" s="10" t="s">
        <v>683</v>
      </c>
      <c r="I210" s="10" t="s">
        <v>1623</v>
      </c>
    </row>
    <row r="211" spans="1:9" ht="12.75" customHeight="1">
      <c r="A211" s="6">
        <v>41270</v>
      </c>
      <c r="B211" s="10" t="s">
        <v>1606</v>
      </c>
      <c r="C211" s="10" t="s">
        <v>1621</v>
      </c>
      <c r="D211" s="3">
        <v>5</v>
      </c>
      <c r="E211" s="10" t="s">
        <v>827</v>
      </c>
      <c r="F211" s="10" t="s">
        <v>1622</v>
      </c>
      <c r="G211" s="10" t="s">
        <v>736</v>
      </c>
      <c r="H211" s="10" t="s">
        <v>683</v>
      </c>
      <c r="I211" s="10" t="s">
        <v>1623</v>
      </c>
    </row>
    <row r="212" spans="1:9" ht="13.5" customHeight="1">
      <c r="A212" s="6">
        <v>41270</v>
      </c>
      <c r="B212" s="10" t="s">
        <v>52</v>
      </c>
      <c r="C212" s="3">
        <v>9031</v>
      </c>
      <c r="D212" s="3">
        <v>8</v>
      </c>
      <c r="E212" s="10" t="s">
        <v>170</v>
      </c>
      <c r="F212" s="10" t="s">
        <v>1622</v>
      </c>
      <c r="G212" s="10" t="s">
        <v>736</v>
      </c>
      <c r="H212" s="10" t="s">
        <v>683</v>
      </c>
      <c r="I212" s="10" t="s">
        <v>1623</v>
      </c>
    </row>
    <row r="213" spans="1:9" ht="13.5" customHeight="1">
      <c r="A213" s="6">
        <v>41280</v>
      </c>
      <c r="B213" s="10" t="s">
        <v>1679</v>
      </c>
      <c r="C213" s="3" t="s">
        <v>1677</v>
      </c>
      <c r="D213" s="3">
        <v>200</v>
      </c>
      <c r="E213" s="10" t="s">
        <v>754</v>
      </c>
      <c r="F213" s="10" t="s">
        <v>1681</v>
      </c>
      <c r="G213" s="10" t="s">
        <v>749</v>
      </c>
      <c r="H213" s="10" t="s">
        <v>683</v>
      </c>
      <c r="I213" s="10" t="s">
        <v>4968</v>
      </c>
    </row>
    <row r="214" spans="1:9" ht="12.75" customHeight="1">
      <c r="A214" s="6">
        <v>41280</v>
      </c>
      <c r="B214" s="10" t="s">
        <v>196</v>
      </c>
      <c r="C214" s="10" t="s">
        <v>1680</v>
      </c>
      <c r="D214" s="3">
        <v>200</v>
      </c>
      <c r="E214" s="10" t="s">
        <v>754</v>
      </c>
      <c r="F214" s="10" t="s">
        <v>1681</v>
      </c>
      <c r="G214" s="10" t="s">
        <v>749</v>
      </c>
      <c r="H214" s="10" t="s">
        <v>683</v>
      </c>
      <c r="I214" s="10" t="s">
        <v>4968</v>
      </c>
    </row>
    <row r="215" spans="1:9" ht="13.5" customHeight="1">
      <c r="A215" s="6">
        <v>41283</v>
      </c>
      <c r="B215" s="10" t="s">
        <v>1606</v>
      </c>
      <c r="C215" s="10" t="s">
        <v>1703</v>
      </c>
      <c r="D215" s="3">
        <v>1</v>
      </c>
      <c r="E215" s="10" t="s">
        <v>1700</v>
      </c>
      <c r="F215" s="10" t="s">
        <v>1701</v>
      </c>
      <c r="G215" s="10" t="s">
        <v>1702</v>
      </c>
      <c r="H215" s="10" t="s">
        <v>683</v>
      </c>
      <c r="I215" s="10" t="s">
        <v>1623</v>
      </c>
    </row>
    <row r="216" spans="1:9" ht="13.5" customHeight="1">
      <c r="A216" s="6">
        <v>41284</v>
      </c>
      <c r="B216" s="10" t="s">
        <v>51</v>
      </c>
      <c r="C216" s="3">
        <v>9031</v>
      </c>
      <c r="D216" s="3">
        <v>25</v>
      </c>
      <c r="E216" s="10" t="s">
        <v>1708</v>
      </c>
      <c r="F216" s="10" t="s">
        <v>1709</v>
      </c>
      <c r="G216" s="10" t="s">
        <v>736</v>
      </c>
      <c r="H216" s="10" t="s">
        <v>683</v>
      </c>
      <c r="I216" s="10" t="s">
        <v>4967</v>
      </c>
    </row>
    <row r="217" spans="1:9" ht="13.5" customHeight="1">
      <c r="A217" s="6">
        <v>41288</v>
      </c>
      <c r="B217" s="192" t="s">
        <v>1552</v>
      </c>
      <c r="C217" s="10" t="s">
        <v>1735</v>
      </c>
      <c r="D217" s="3">
        <v>1</v>
      </c>
      <c r="E217" s="10" t="s">
        <v>827</v>
      </c>
      <c r="F217" s="10" t="s">
        <v>1701</v>
      </c>
      <c r="G217" s="10" t="s">
        <v>736</v>
      </c>
      <c r="H217" s="10" t="s">
        <v>683</v>
      </c>
      <c r="I217" s="10" t="s">
        <v>1623</v>
      </c>
    </row>
    <row r="218" spans="1:9" ht="13.5" customHeight="1">
      <c r="A218" s="6">
        <v>41289</v>
      </c>
      <c r="B218" s="10" t="s">
        <v>51</v>
      </c>
      <c r="C218" s="10">
        <v>9031</v>
      </c>
      <c r="D218" s="3">
        <v>10</v>
      </c>
      <c r="E218" s="10" t="s">
        <v>170</v>
      </c>
      <c r="F218" s="10" t="s">
        <v>1709</v>
      </c>
      <c r="G218" s="10" t="s">
        <v>736</v>
      </c>
      <c r="H218" s="10" t="s">
        <v>683</v>
      </c>
      <c r="I218" s="10" t="s">
        <v>4967</v>
      </c>
    </row>
    <row r="219" spans="1:9" ht="13.5" customHeight="1">
      <c r="A219" s="6">
        <v>41291</v>
      </c>
      <c r="B219" s="3" t="s">
        <v>700</v>
      </c>
      <c r="C219" s="10" t="s">
        <v>1776</v>
      </c>
      <c r="D219" s="3">
        <v>2</v>
      </c>
      <c r="E219" s="10" t="s">
        <v>1777</v>
      </c>
      <c r="F219" s="10" t="s">
        <v>1780</v>
      </c>
      <c r="G219" s="10" t="s">
        <v>736</v>
      </c>
      <c r="H219" s="10" t="s">
        <v>683</v>
      </c>
      <c r="I219" s="10" t="s">
        <v>1778</v>
      </c>
    </row>
    <row r="220" spans="1:9" ht="13.5" customHeight="1">
      <c r="A220" s="6">
        <v>41291</v>
      </c>
      <c r="B220" s="10" t="s">
        <v>1802</v>
      </c>
      <c r="C220" s="3">
        <v>8247</v>
      </c>
      <c r="D220" s="3">
        <v>1</v>
      </c>
      <c r="E220" s="10" t="s">
        <v>1777</v>
      </c>
      <c r="F220" s="10" t="s">
        <v>1780</v>
      </c>
      <c r="G220" s="10" t="s">
        <v>736</v>
      </c>
      <c r="H220" s="10" t="s">
        <v>683</v>
      </c>
      <c r="I220" s="10" t="s">
        <v>1778</v>
      </c>
    </row>
    <row r="221" spans="1:9" ht="13.5" customHeight="1">
      <c r="A221" s="6">
        <v>41295</v>
      </c>
      <c r="B221" s="10" t="s">
        <v>1803</v>
      </c>
      <c r="C221" s="10" t="s">
        <v>1797</v>
      </c>
      <c r="D221" s="3">
        <v>1</v>
      </c>
      <c r="E221" s="10" t="s">
        <v>1798</v>
      </c>
      <c r="F221" s="10" t="s">
        <v>1701</v>
      </c>
      <c r="G221" s="10" t="s">
        <v>1799</v>
      </c>
      <c r="H221" s="10" t="s">
        <v>1800</v>
      </c>
      <c r="I221" s="10" t="s">
        <v>1623</v>
      </c>
    </row>
    <row r="222" spans="1:9" ht="13.5" customHeight="1">
      <c r="A222" s="6">
        <v>41295</v>
      </c>
      <c r="B222" s="10" t="s">
        <v>1463</v>
      </c>
      <c r="C222" s="10" t="s">
        <v>1801</v>
      </c>
      <c r="D222" s="3">
        <v>1</v>
      </c>
      <c r="E222" s="10" t="s">
        <v>1798</v>
      </c>
      <c r="F222" s="10" t="s">
        <v>1701</v>
      </c>
      <c r="G222" s="10" t="s">
        <v>1799</v>
      </c>
      <c r="H222" s="10" t="s">
        <v>1800</v>
      </c>
      <c r="I222" s="10" t="s">
        <v>1623</v>
      </c>
    </row>
    <row r="223" spans="1:9" ht="13.5" customHeight="1">
      <c r="A223" s="6">
        <v>41296</v>
      </c>
      <c r="B223" s="3" t="s">
        <v>86</v>
      </c>
      <c r="C223" s="3">
        <v>9032</v>
      </c>
      <c r="D223" s="3">
        <v>5</v>
      </c>
      <c r="E223" s="10" t="s">
        <v>1817</v>
      </c>
      <c r="F223" s="10" t="s">
        <v>1701</v>
      </c>
      <c r="G223" s="10" t="s">
        <v>736</v>
      </c>
      <c r="H223" s="10" t="s">
        <v>683</v>
      </c>
      <c r="I223" s="10" t="s">
        <v>1623</v>
      </c>
    </row>
    <row r="224" spans="1:9" ht="13.5" customHeight="1">
      <c r="A224" s="6">
        <v>41297</v>
      </c>
      <c r="B224" s="82" t="s">
        <v>182</v>
      </c>
      <c r="C224" s="10" t="s">
        <v>1840</v>
      </c>
      <c r="D224" s="3">
        <v>10</v>
      </c>
      <c r="E224" s="10" t="s">
        <v>1835</v>
      </c>
      <c r="F224" s="10" t="s">
        <v>1701</v>
      </c>
      <c r="G224" s="10" t="s">
        <v>736</v>
      </c>
      <c r="H224" s="10" t="s">
        <v>683</v>
      </c>
      <c r="I224" s="10" t="s">
        <v>1623</v>
      </c>
    </row>
    <row r="225" spans="1:9" ht="13.5" customHeight="1">
      <c r="A225" s="6">
        <v>41297</v>
      </c>
      <c r="B225" s="3" t="s">
        <v>1804</v>
      </c>
      <c r="C225" s="10" t="s">
        <v>1841</v>
      </c>
      <c r="D225" s="3">
        <v>10</v>
      </c>
      <c r="E225" s="10" t="s">
        <v>1842</v>
      </c>
      <c r="F225" s="10" t="s">
        <v>1709</v>
      </c>
      <c r="G225" s="10" t="s">
        <v>736</v>
      </c>
      <c r="H225" s="10" t="s">
        <v>683</v>
      </c>
      <c r="I225" s="10" t="s">
        <v>4967</v>
      </c>
    </row>
    <row r="226" spans="1:9" ht="13.5" customHeight="1">
      <c r="A226" s="6">
        <v>41298</v>
      </c>
      <c r="B226" s="3" t="s">
        <v>1804</v>
      </c>
      <c r="C226" s="10" t="s">
        <v>1841</v>
      </c>
      <c r="D226" s="3">
        <v>4</v>
      </c>
      <c r="E226" s="10" t="s">
        <v>1842</v>
      </c>
      <c r="F226" s="10" t="s">
        <v>1701</v>
      </c>
      <c r="G226" s="10" t="s">
        <v>736</v>
      </c>
      <c r="H226" s="10" t="s">
        <v>683</v>
      </c>
      <c r="I226" s="10" t="s">
        <v>1623</v>
      </c>
    </row>
    <row r="227" spans="1:9" ht="13.5" customHeight="1">
      <c r="A227" s="6">
        <v>41304</v>
      </c>
      <c r="B227" s="10" t="s">
        <v>4916</v>
      </c>
      <c r="C227" s="10" t="s">
        <v>4909</v>
      </c>
      <c r="D227" s="3">
        <v>2</v>
      </c>
      <c r="E227" s="10" t="s">
        <v>827</v>
      </c>
      <c r="F227" s="10" t="s">
        <v>4915</v>
      </c>
      <c r="G227" s="10" t="s">
        <v>736</v>
      </c>
      <c r="H227" s="10" t="s">
        <v>683</v>
      </c>
      <c r="I227" s="10" t="s">
        <v>4910</v>
      </c>
    </row>
    <row r="228" spans="1:9" ht="13.5" customHeight="1">
      <c r="A228" s="6">
        <v>41305</v>
      </c>
      <c r="B228" s="3" t="s">
        <v>854</v>
      </c>
      <c r="C228" s="3">
        <v>9031</v>
      </c>
      <c r="D228" s="3">
        <v>5</v>
      </c>
      <c r="E228" s="10" t="s">
        <v>4912</v>
      </c>
      <c r="F228" s="10" t="s">
        <v>4911</v>
      </c>
      <c r="G228" s="10" t="s">
        <v>736</v>
      </c>
      <c r="H228" s="10" t="s">
        <v>683</v>
      </c>
      <c r="I228" s="10" t="s">
        <v>4910</v>
      </c>
    </row>
    <row r="229" spans="1:9" ht="13.5" customHeight="1">
      <c r="A229" s="6">
        <v>41305</v>
      </c>
      <c r="B229" s="3" t="s">
        <v>86</v>
      </c>
      <c r="C229" s="3">
        <v>9032</v>
      </c>
      <c r="D229" s="3">
        <v>5</v>
      </c>
      <c r="E229" s="10" t="s">
        <v>4912</v>
      </c>
      <c r="F229" s="10" t="s">
        <v>4911</v>
      </c>
      <c r="G229" s="10" t="s">
        <v>736</v>
      </c>
      <c r="H229" s="10" t="s">
        <v>683</v>
      </c>
      <c r="I229" s="10" t="s">
        <v>4910</v>
      </c>
    </row>
    <row r="230" spans="1:9" ht="13.5" customHeight="1">
      <c r="A230" s="6">
        <v>41305</v>
      </c>
      <c r="B230" s="10" t="s">
        <v>4916</v>
      </c>
      <c r="C230" s="10" t="s">
        <v>4909</v>
      </c>
      <c r="D230" s="3">
        <v>1</v>
      </c>
      <c r="E230" s="10" t="s">
        <v>4914</v>
      </c>
      <c r="F230" s="10" t="s">
        <v>4911</v>
      </c>
      <c r="G230" s="10" t="s">
        <v>736</v>
      </c>
      <c r="H230" s="10" t="s">
        <v>683</v>
      </c>
      <c r="I230" s="10" t="s">
        <v>4910</v>
      </c>
    </row>
    <row r="231" spans="1:9" ht="13.5" customHeight="1">
      <c r="A231" s="6">
        <v>41305</v>
      </c>
      <c r="B231" s="10" t="s">
        <v>4917</v>
      </c>
      <c r="C231" s="10" t="s">
        <v>4909</v>
      </c>
      <c r="D231" s="3">
        <v>1</v>
      </c>
      <c r="E231" s="10" t="s">
        <v>4914</v>
      </c>
      <c r="F231" s="10" t="s">
        <v>4911</v>
      </c>
      <c r="G231" s="10" t="s">
        <v>736</v>
      </c>
      <c r="H231" s="10" t="s">
        <v>683</v>
      </c>
      <c r="I231" s="10" t="s">
        <v>4910</v>
      </c>
    </row>
    <row r="232" spans="1:9" ht="13.5" customHeight="1">
      <c r="A232" s="6">
        <v>41305</v>
      </c>
      <c r="B232" s="10" t="s">
        <v>4918</v>
      </c>
      <c r="C232" s="10" t="s">
        <v>4913</v>
      </c>
      <c r="D232" s="3">
        <v>2</v>
      </c>
      <c r="E232" s="10" t="s">
        <v>4914</v>
      </c>
      <c r="F232" s="10" t="s">
        <v>4911</v>
      </c>
      <c r="G232" s="10" t="s">
        <v>736</v>
      </c>
      <c r="H232" s="10" t="s">
        <v>683</v>
      </c>
      <c r="I232" s="10" t="s">
        <v>4910</v>
      </c>
    </row>
    <row r="233" spans="1:9" ht="13.5" customHeight="1">
      <c r="A233" s="6">
        <v>41305</v>
      </c>
      <c r="B233" s="10" t="s">
        <v>6304</v>
      </c>
      <c r="C233" s="10" t="s">
        <v>6305</v>
      </c>
      <c r="D233" s="3">
        <v>4</v>
      </c>
      <c r="E233" s="10" t="s">
        <v>6288</v>
      </c>
      <c r="F233" s="10" t="s">
        <v>6308</v>
      </c>
      <c r="G233" s="10" t="s">
        <v>736</v>
      </c>
      <c r="H233" s="10" t="s">
        <v>683</v>
      </c>
      <c r="I233" s="10" t="s">
        <v>4911</v>
      </c>
    </row>
    <row r="234" spans="1:9" ht="13.5" customHeight="1">
      <c r="A234" s="6">
        <v>41305</v>
      </c>
      <c r="B234" s="10" t="s">
        <v>4964</v>
      </c>
      <c r="C234" s="10" t="s">
        <v>4963</v>
      </c>
      <c r="D234" s="3">
        <v>1</v>
      </c>
      <c r="E234" s="10" t="s">
        <v>827</v>
      </c>
      <c r="F234" s="10" t="s">
        <v>4965</v>
      </c>
      <c r="G234" s="10" t="s">
        <v>736</v>
      </c>
      <c r="H234" s="10" t="s">
        <v>683</v>
      </c>
      <c r="I234" s="10" t="s">
        <v>4966</v>
      </c>
    </row>
    <row r="235" spans="1:9" ht="13.5" customHeight="1">
      <c r="A235" s="6">
        <v>41322</v>
      </c>
      <c r="B235" s="303" t="s">
        <v>1552</v>
      </c>
      <c r="C235" s="10" t="s">
        <v>1506</v>
      </c>
      <c r="D235" s="3">
        <v>1</v>
      </c>
      <c r="E235" s="10" t="s">
        <v>827</v>
      </c>
      <c r="F235" s="10" t="s">
        <v>1701</v>
      </c>
      <c r="G235" s="10" t="s">
        <v>736</v>
      </c>
      <c r="H235" s="10" t="s">
        <v>683</v>
      </c>
      <c r="I235" s="10" t="s">
        <v>1623</v>
      </c>
    </row>
    <row r="236" spans="1:9" ht="13.5" customHeight="1">
      <c r="A236" s="6">
        <v>41322</v>
      </c>
      <c r="B236" s="3" t="s">
        <v>5062</v>
      </c>
      <c r="C236" s="3">
        <v>3985</v>
      </c>
      <c r="D236" s="3">
        <v>1</v>
      </c>
      <c r="E236" s="10" t="s">
        <v>827</v>
      </c>
      <c r="F236" s="10" t="s">
        <v>1701</v>
      </c>
      <c r="G236" s="10" t="s">
        <v>736</v>
      </c>
      <c r="H236" s="10" t="s">
        <v>683</v>
      </c>
      <c r="I236" s="10" t="s">
        <v>1623</v>
      </c>
    </row>
    <row r="237" spans="1:9" ht="13.5" customHeight="1">
      <c r="A237" s="6">
        <v>41338</v>
      </c>
      <c r="B237" s="10" t="s">
        <v>5388</v>
      </c>
      <c r="C237" s="10" t="s">
        <v>5383</v>
      </c>
      <c r="D237" s="3">
        <v>12</v>
      </c>
      <c r="E237" s="10" t="s">
        <v>827</v>
      </c>
      <c r="F237" s="10" t="s">
        <v>5391</v>
      </c>
      <c r="G237" s="10" t="s">
        <v>736</v>
      </c>
      <c r="H237" s="10" t="s">
        <v>683</v>
      </c>
      <c r="I237" s="10" t="s">
        <v>5392</v>
      </c>
    </row>
    <row r="238" spans="1:9" ht="13.5" customHeight="1">
      <c r="A238" s="6">
        <v>41338</v>
      </c>
      <c r="B238" s="10" t="s">
        <v>5388</v>
      </c>
      <c r="C238" s="10" t="s">
        <v>5384</v>
      </c>
      <c r="D238" s="3">
        <v>12</v>
      </c>
      <c r="E238" s="10" t="s">
        <v>827</v>
      </c>
      <c r="F238" s="10" t="s">
        <v>5391</v>
      </c>
      <c r="G238" s="10" t="s">
        <v>736</v>
      </c>
      <c r="H238" s="10" t="s">
        <v>683</v>
      </c>
      <c r="I238" s="10" t="s">
        <v>5392</v>
      </c>
    </row>
    <row r="239" spans="1:9" ht="13.5" customHeight="1">
      <c r="A239" s="6">
        <v>41338</v>
      </c>
      <c r="B239" s="10" t="s">
        <v>5008</v>
      </c>
      <c r="C239" s="10" t="s">
        <v>5385</v>
      </c>
      <c r="D239" s="3">
        <v>24</v>
      </c>
      <c r="E239" s="10" t="s">
        <v>827</v>
      </c>
      <c r="F239" s="10" t="s">
        <v>5391</v>
      </c>
      <c r="G239" s="10" t="s">
        <v>736</v>
      </c>
      <c r="H239" s="10" t="s">
        <v>683</v>
      </c>
      <c r="I239" s="10" t="s">
        <v>5392</v>
      </c>
    </row>
    <row r="240" spans="1:9" ht="13.5" customHeight="1">
      <c r="A240" s="6">
        <v>41338</v>
      </c>
      <c r="B240" s="10" t="s">
        <v>5389</v>
      </c>
      <c r="C240" s="10" t="s">
        <v>5386</v>
      </c>
      <c r="D240" s="3">
        <v>12</v>
      </c>
      <c r="E240" s="10" t="s">
        <v>827</v>
      </c>
      <c r="F240" s="10" t="s">
        <v>5391</v>
      </c>
      <c r="G240" s="10" t="s">
        <v>736</v>
      </c>
      <c r="H240" s="10" t="s">
        <v>683</v>
      </c>
      <c r="I240" s="10" t="s">
        <v>5392</v>
      </c>
    </row>
    <row r="241" spans="1:9" ht="13.5" customHeight="1">
      <c r="A241" s="6">
        <v>41338</v>
      </c>
      <c r="B241" s="10" t="s">
        <v>5390</v>
      </c>
      <c r="C241" s="10" t="s">
        <v>5387</v>
      </c>
      <c r="D241" s="3">
        <v>12</v>
      </c>
      <c r="E241" s="10" t="s">
        <v>827</v>
      </c>
      <c r="F241" s="10" t="s">
        <v>5391</v>
      </c>
      <c r="G241" s="10" t="s">
        <v>736</v>
      </c>
      <c r="H241" s="10" t="s">
        <v>683</v>
      </c>
      <c r="I241" s="10" t="s">
        <v>5392</v>
      </c>
    </row>
    <row r="242" spans="1:9" ht="13.5" customHeight="1">
      <c r="A242" s="6">
        <v>41338</v>
      </c>
      <c r="B242" s="10" t="s">
        <v>6304</v>
      </c>
      <c r="C242" s="10" t="s">
        <v>6305</v>
      </c>
      <c r="D242" s="3">
        <v>1</v>
      </c>
      <c r="E242" s="10" t="s">
        <v>6288</v>
      </c>
      <c r="F242" s="10" t="s">
        <v>6306</v>
      </c>
      <c r="G242" s="10" t="s">
        <v>736</v>
      </c>
      <c r="H242" s="10" t="s">
        <v>683</v>
      </c>
      <c r="I242" s="10" t="s">
        <v>6307</v>
      </c>
    </row>
    <row r="243" spans="1:9" ht="13.5" customHeight="1">
      <c r="A243" s="6">
        <v>41340</v>
      </c>
      <c r="B243" s="10" t="s">
        <v>6304</v>
      </c>
      <c r="C243" s="10" t="s">
        <v>6305</v>
      </c>
      <c r="D243" s="3">
        <v>3</v>
      </c>
      <c r="E243" s="10" t="s">
        <v>6288</v>
      </c>
      <c r="F243" s="10" t="s">
        <v>5391</v>
      </c>
      <c r="G243" s="10" t="s">
        <v>736</v>
      </c>
      <c r="H243" s="10" t="s">
        <v>683</v>
      </c>
      <c r="I243" s="10" t="s">
        <v>6309</v>
      </c>
    </row>
    <row r="244" spans="1:9" ht="13.5" customHeight="1">
      <c r="A244" s="6">
        <v>41341</v>
      </c>
      <c r="B244" s="10" t="s">
        <v>5708</v>
      </c>
      <c r="C244" s="10" t="s">
        <v>5707</v>
      </c>
      <c r="D244" s="3">
        <v>24</v>
      </c>
      <c r="E244" s="10" t="s">
        <v>827</v>
      </c>
      <c r="F244" s="10" t="s">
        <v>5705</v>
      </c>
      <c r="G244" s="10" t="s">
        <v>736</v>
      </c>
      <c r="H244" s="10" t="s">
        <v>683</v>
      </c>
      <c r="I244" s="10" t="s">
        <v>5706</v>
      </c>
    </row>
    <row r="245" spans="1:9" ht="13.5" customHeight="1">
      <c r="A245" s="6">
        <v>41341</v>
      </c>
      <c r="B245" s="10" t="s">
        <v>5721</v>
      </c>
      <c r="C245" s="10" t="s">
        <v>5709</v>
      </c>
      <c r="D245" s="3">
        <v>24</v>
      </c>
      <c r="E245" s="10" t="s">
        <v>827</v>
      </c>
      <c r="F245" s="10" t="s">
        <v>5705</v>
      </c>
      <c r="G245" s="10" t="s">
        <v>736</v>
      </c>
      <c r="H245" s="10" t="s">
        <v>683</v>
      </c>
      <c r="I245" s="10" t="s">
        <v>5706</v>
      </c>
    </row>
    <row r="246" spans="1:9" ht="13.5" customHeight="1">
      <c r="A246" s="6">
        <v>41341</v>
      </c>
      <c r="B246" s="10" t="s">
        <v>5721</v>
      </c>
      <c r="C246" s="10" t="s">
        <v>5710</v>
      </c>
      <c r="D246" s="3">
        <v>24</v>
      </c>
      <c r="E246" s="10" t="s">
        <v>827</v>
      </c>
      <c r="F246" s="10" t="s">
        <v>5705</v>
      </c>
      <c r="G246" s="10" t="s">
        <v>736</v>
      </c>
      <c r="H246" s="10" t="s">
        <v>683</v>
      </c>
      <c r="I246" s="10" t="s">
        <v>5706</v>
      </c>
    </row>
    <row r="247" spans="1:9" ht="13.5" customHeight="1">
      <c r="A247" s="6">
        <v>41341</v>
      </c>
      <c r="B247" s="10" t="s">
        <v>5721</v>
      </c>
      <c r="C247" s="10" t="s">
        <v>5711</v>
      </c>
      <c r="D247" s="3">
        <v>100</v>
      </c>
      <c r="E247" s="10" t="s">
        <v>1626</v>
      </c>
      <c r="F247" s="10" t="s">
        <v>5705</v>
      </c>
      <c r="G247" s="10" t="s">
        <v>736</v>
      </c>
      <c r="H247" s="10" t="s">
        <v>683</v>
      </c>
      <c r="I247" s="10" t="s">
        <v>5706</v>
      </c>
    </row>
    <row r="248" spans="1:9" ht="13.5" customHeight="1">
      <c r="A248" s="6">
        <v>41341</v>
      </c>
      <c r="B248" s="10">
        <v>8</v>
      </c>
      <c r="C248" s="10">
        <v>3983</v>
      </c>
      <c r="D248" s="3">
        <v>30</v>
      </c>
      <c r="E248" s="10" t="s">
        <v>827</v>
      </c>
      <c r="F248" s="10" t="s">
        <v>5705</v>
      </c>
      <c r="G248" s="10" t="s">
        <v>736</v>
      </c>
      <c r="H248" s="10" t="s">
        <v>683</v>
      </c>
      <c r="I248" s="10" t="s">
        <v>5706</v>
      </c>
    </row>
    <row r="249" spans="1:9" ht="13.5" customHeight="1">
      <c r="A249" s="6">
        <v>41341</v>
      </c>
      <c r="B249" s="10">
        <v>9</v>
      </c>
      <c r="C249" s="10">
        <v>2245</v>
      </c>
      <c r="D249" s="3">
        <v>24</v>
      </c>
      <c r="E249" s="10" t="s">
        <v>827</v>
      </c>
      <c r="F249" s="10" t="s">
        <v>5705</v>
      </c>
      <c r="G249" s="10" t="s">
        <v>736</v>
      </c>
      <c r="H249" s="10" t="s">
        <v>683</v>
      </c>
      <c r="I249" s="10" t="s">
        <v>5706</v>
      </c>
    </row>
    <row r="250" spans="1:9" ht="13.5" customHeight="1">
      <c r="A250" s="6">
        <v>41341</v>
      </c>
      <c r="B250" s="10">
        <v>9</v>
      </c>
      <c r="C250" s="10" t="s">
        <v>5712</v>
      </c>
      <c r="D250" s="3">
        <v>24</v>
      </c>
      <c r="E250" s="10" t="s">
        <v>827</v>
      </c>
      <c r="F250" s="10" t="s">
        <v>5705</v>
      </c>
      <c r="G250" s="10" t="s">
        <v>736</v>
      </c>
      <c r="H250" s="10" t="s">
        <v>683</v>
      </c>
      <c r="I250" s="10" t="s">
        <v>5706</v>
      </c>
    </row>
    <row r="251" spans="1:9" ht="13.5" customHeight="1">
      <c r="A251" s="6">
        <v>41341</v>
      </c>
      <c r="B251" s="10">
        <v>8</v>
      </c>
      <c r="C251" s="10" t="s">
        <v>5713</v>
      </c>
      <c r="D251" s="3">
        <v>24</v>
      </c>
      <c r="E251" s="10" t="s">
        <v>827</v>
      </c>
      <c r="F251" s="10" t="s">
        <v>5705</v>
      </c>
      <c r="G251" s="10" t="s">
        <v>736</v>
      </c>
      <c r="H251" s="10" t="s">
        <v>683</v>
      </c>
      <c r="I251" s="10" t="s">
        <v>5706</v>
      </c>
    </row>
    <row r="252" spans="1:9" ht="13.5" customHeight="1">
      <c r="A252" s="6">
        <v>41330</v>
      </c>
      <c r="B252" s="10">
        <v>8</v>
      </c>
      <c r="C252" s="10" t="s">
        <v>1509</v>
      </c>
      <c r="D252" s="3">
        <v>3</v>
      </c>
      <c r="E252" s="10" t="s">
        <v>827</v>
      </c>
      <c r="F252" s="10" t="s">
        <v>6792</v>
      </c>
      <c r="G252" s="10" t="s">
        <v>736</v>
      </c>
      <c r="H252" s="10" t="s">
        <v>683</v>
      </c>
      <c r="I252" s="10" t="s">
        <v>4579</v>
      </c>
    </row>
    <row r="253" spans="1:9" ht="13.5" customHeight="1">
      <c r="A253" s="6">
        <v>41341</v>
      </c>
      <c r="B253" s="10">
        <v>8</v>
      </c>
      <c r="C253" s="10" t="s">
        <v>5714</v>
      </c>
      <c r="D253" s="3">
        <v>24</v>
      </c>
      <c r="E253" s="10" t="s">
        <v>827</v>
      </c>
      <c r="F253" s="10" t="s">
        <v>5705</v>
      </c>
      <c r="G253" s="10" t="s">
        <v>736</v>
      </c>
      <c r="H253" s="10" t="s">
        <v>683</v>
      </c>
      <c r="I253" s="10" t="s">
        <v>5706</v>
      </c>
    </row>
    <row r="254" spans="1:9" ht="13.5" customHeight="1">
      <c r="A254" s="6">
        <v>41341</v>
      </c>
      <c r="B254" s="10">
        <v>9</v>
      </c>
      <c r="C254" s="10" t="s">
        <v>5715</v>
      </c>
      <c r="D254" s="3">
        <v>24</v>
      </c>
      <c r="E254" s="10" t="s">
        <v>827</v>
      </c>
      <c r="F254" s="10" t="s">
        <v>5705</v>
      </c>
      <c r="G254" s="10" t="s">
        <v>736</v>
      </c>
      <c r="H254" s="10" t="s">
        <v>683</v>
      </c>
      <c r="I254" s="10" t="s">
        <v>5706</v>
      </c>
    </row>
    <row r="255" spans="1:9" ht="13.5" customHeight="1">
      <c r="A255" s="6">
        <v>41341</v>
      </c>
      <c r="B255" s="10">
        <v>9</v>
      </c>
      <c r="C255" s="10" t="s">
        <v>5716</v>
      </c>
      <c r="D255" s="3">
        <v>24</v>
      </c>
      <c r="E255" s="10" t="s">
        <v>827</v>
      </c>
      <c r="F255" s="10" t="s">
        <v>5705</v>
      </c>
      <c r="G255" s="10" t="s">
        <v>736</v>
      </c>
      <c r="H255" s="10" t="s">
        <v>683</v>
      </c>
      <c r="I255" s="10" t="s">
        <v>5706</v>
      </c>
    </row>
    <row r="256" spans="1:9" ht="13.5" customHeight="1">
      <c r="A256" s="6">
        <v>41341</v>
      </c>
      <c r="B256" s="10">
        <v>9</v>
      </c>
      <c r="C256" s="10" t="s">
        <v>5717</v>
      </c>
      <c r="D256" s="3">
        <v>24</v>
      </c>
      <c r="E256" s="10" t="s">
        <v>827</v>
      </c>
      <c r="F256" s="10" t="s">
        <v>5705</v>
      </c>
      <c r="G256" s="10" t="s">
        <v>736</v>
      </c>
      <c r="H256" s="10" t="s">
        <v>683</v>
      </c>
      <c r="I256" s="10" t="s">
        <v>5706</v>
      </c>
    </row>
    <row r="257" spans="1:13" ht="13.5" customHeight="1">
      <c r="A257" s="6">
        <v>41341</v>
      </c>
      <c r="B257" s="10">
        <v>8</v>
      </c>
      <c r="C257" s="10" t="s">
        <v>5718</v>
      </c>
      <c r="D257" s="3">
        <v>24</v>
      </c>
      <c r="E257" s="10" t="s">
        <v>827</v>
      </c>
      <c r="F257" s="10" t="s">
        <v>5705</v>
      </c>
      <c r="G257" s="10" t="s">
        <v>736</v>
      </c>
      <c r="H257" s="10" t="s">
        <v>683</v>
      </c>
      <c r="I257" s="10" t="s">
        <v>5706</v>
      </c>
    </row>
    <row r="258" spans="1:13" ht="13.5" customHeight="1">
      <c r="A258" s="6">
        <v>41341</v>
      </c>
      <c r="B258" s="10">
        <v>8</v>
      </c>
      <c r="C258" s="10" t="s">
        <v>5719</v>
      </c>
      <c r="D258" s="3">
        <v>24</v>
      </c>
      <c r="E258" s="10" t="s">
        <v>827</v>
      </c>
      <c r="F258" s="10" t="s">
        <v>5705</v>
      </c>
      <c r="G258" s="10" t="s">
        <v>736</v>
      </c>
      <c r="H258" s="10" t="s">
        <v>683</v>
      </c>
      <c r="I258" s="10" t="s">
        <v>5706</v>
      </c>
    </row>
    <row r="259" spans="1:13" ht="13.5" customHeight="1">
      <c r="A259" s="6">
        <v>41341</v>
      </c>
      <c r="B259" s="10">
        <v>8</v>
      </c>
      <c r="C259" s="10" t="s">
        <v>5720</v>
      </c>
      <c r="D259" s="3">
        <v>24</v>
      </c>
      <c r="E259" s="10" t="s">
        <v>827</v>
      </c>
      <c r="F259" s="10" t="s">
        <v>5705</v>
      </c>
      <c r="G259" s="10" t="s">
        <v>736</v>
      </c>
      <c r="H259" s="10" t="s">
        <v>683</v>
      </c>
      <c r="I259" s="10" t="s">
        <v>5706</v>
      </c>
    </row>
    <row r="260" spans="1:13" ht="13.5" customHeight="1">
      <c r="A260" s="6">
        <v>41352</v>
      </c>
      <c r="B260" s="10" t="s">
        <v>5722</v>
      </c>
      <c r="C260" s="10" t="s">
        <v>5657</v>
      </c>
      <c r="D260" s="3">
        <v>1</v>
      </c>
      <c r="E260" s="10" t="s">
        <v>5658</v>
      </c>
      <c r="F260" s="10" t="s">
        <v>5391</v>
      </c>
      <c r="G260" s="10" t="s">
        <v>736</v>
      </c>
      <c r="H260" s="10" t="s">
        <v>683</v>
      </c>
      <c r="I260" s="10" t="s">
        <v>4579</v>
      </c>
    </row>
    <row r="261" spans="1:13" ht="13.5" customHeight="1">
      <c r="A261" s="6">
        <v>41354</v>
      </c>
      <c r="B261" s="10" t="s">
        <v>51</v>
      </c>
      <c r="C261" s="3">
        <v>9032</v>
      </c>
      <c r="D261" s="3">
        <v>50</v>
      </c>
      <c r="E261" s="10" t="s">
        <v>5672</v>
      </c>
      <c r="F261" s="10" t="s">
        <v>5705</v>
      </c>
      <c r="G261" s="10" t="s">
        <v>736</v>
      </c>
      <c r="H261" s="10" t="s">
        <v>683</v>
      </c>
      <c r="I261" s="10" t="s">
        <v>5706</v>
      </c>
    </row>
    <row r="262" spans="1:13" ht="13.5" customHeight="1">
      <c r="A262" s="6">
        <v>41358</v>
      </c>
      <c r="B262" s="10" t="s">
        <v>5722</v>
      </c>
      <c r="C262" s="10" t="s">
        <v>1482</v>
      </c>
      <c r="D262" s="3">
        <v>1</v>
      </c>
      <c r="E262" s="10" t="s">
        <v>5658</v>
      </c>
      <c r="F262" s="10" t="s">
        <v>5391</v>
      </c>
      <c r="G262" s="10" t="s">
        <v>736</v>
      </c>
      <c r="H262" s="10" t="s">
        <v>683</v>
      </c>
      <c r="I262" s="10" t="s">
        <v>4579</v>
      </c>
    </row>
    <row r="263" spans="1:13" ht="13.5" customHeight="1">
      <c r="A263" s="6">
        <v>41360</v>
      </c>
      <c r="B263" s="3" t="s">
        <v>5806</v>
      </c>
      <c r="C263" s="3">
        <v>4640</v>
      </c>
      <c r="D263" s="3">
        <v>1</v>
      </c>
      <c r="E263" s="10" t="s">
        <v>5804</v>
      </c>
      <c r="F263" s="10" t="s">
        <v>5805</v>
      </c>
      <c r="G263" s="10" t="s">
        <v>736</v>
      </c>
      <c r="H263" s="10" t="s">
        <v>683</v>
      </c>
      <c r="I263" s="10" t="s">
        <v>4579</v>
      </c>
    </row>
    <row r="264" spans="1:13" ht="13.5" customHeight="1">
      <c r="A264" s="6">
        <v>41360</v>
      </c>
      <c r="B264" s="10" t="s">
        <v>5809</v>
      </c>
      <c r="C264" s="10" t="s">
        <v>5807</v>
      </c>
      <c r="D264" s="3">
        <v>2</v>
      </c>
      <c r="E264" s="10" t="s">
        <v>5808</v>
      </c>
      <c r="F264" s="10" t="s">
        <v>5805</v>
      </c>
      <c r="G264" s="10" t="s">
        <v>736</v>
      </c>
      <c r="H264" s="10" t="s">
        <v>683</v>
      </c>
      <c r="I264" s="10" t="s">
        <v>4579</v>
      </c>
    </row>
    <row r="265" spans="1:13" ht="13.5" customHeight="1">
      <c r="A265" s="6">
        <v>41365</v>
      </c>
      <c r="B265" s="10" t="s">
        <v>2013</v>
      </c>
      <c r="C265" s="10" t="s">
        <v>1482</v>
      </c>
      <c r="D265" s="3">
        <v>1</v>
      </c>
      <c r="E265" s="10" t="s">
        <v>5939</v>
      </c>
      <c r="F265" s="10" t="s">
        <v>5391</v>
      </c>
      <c r="G265" s="10" t="s">
        <v>736</v>
      </c>
      <c r="H265" s="10" t="s">
        <v>683</v>
      </c>
      <c r="I265" s="10" t="s">
        <v>4579</v>
      </c>
    </row>
    <row r="266" spans="1:13" ht="13.5" customHeight="1">
      <c r="A266" s="6">
        <v>41365</v>
      </c>
      <c r="B266" s="3" t="s">
        <v>5937</v>
      </c>
      <c r="C266" s="10" t="s">
        <v>5938</v>
      </c>
      <c r="D266" s="3">
        <v>1</v>
      </c>
      <c r="E266" s="10" t="s">
        <v>5939</v>
      </c>
      <c r="F266" s="10" t="s">
        <v>5391</v>
      </c>
      <c r="G266" s="10" t="s">
        <v>736</v>
      </c>
      <c r="H266" s="10" t="s">
        <v>683</v>
      </c>
      <c r="I266" s="10" t="s">
        <v>4579</v>
      </c>
    </row>
    <row r="267" spans="1:13" ht="13.5" customHeight="1">
      <c r="A267" s="6">
        <v>41365</v>
      </c>
      <c r="C267" s="10">
        <v>10435</v>
      </c>
      <c r="D267" s="3">
        <v>1</v>
      </c>
      <c r="E267" s="10" t="s">
        <v>6791</v>
      </c>
      <c r="F267" s="10" t="s">
        <v>5391</v>
      </c>
      <c r="G267" s="10" t="s">
        <v>736</v>
      </c>
      <c r="H267" s="10" t="s">
        <v>683</v>
      </c>
      <c r="I267" s="10" t="s">
        <v>4579</v>
      </c>
      <c r="M267" s="10" t="s">
        <v>6796</v>
      </c>
    </row>
    <row r="268" spans="1:13" ht="13.5" customHeight="1">
      <c r="A268" s="6">
        <v>41365</v>
      </c>
      <c r="C268" s="10">
        <v>10161</v>
      </c>
      <c r="D268" s="3">
        <v>1</v>
      </c>
      <c r="E268" s="10" t="s">
        <v>6791</v>
      </c>
      <c r="F268" s="10" t="s">
        <v>5391</v>
      </c>
      <c r="G268" s="10" t="s">
        <v>736</v>
      </c>
      <c r="H268" s="10" t="s">
        <v>683</v>
      </c>
      <c r="I268" s="10" t="s">
        <v>4579</v>
      </c>
    </row>
    <row r="269" spans="1:13" ht="13.5" customHeight="1">
      <c r="A269" s="6">
        <v>41366</v>
      </c>
      <c r="B269" s="10" t="s">
        <v>5708</v>
      </c>
      <c r="C269" s="10" t="s">
        <v>857</v>
      </c>
      <c r="D269" s="3">
        <v>12</v>
      </c>
      <c r="E269" s="10" t="s">
        <v>5987</v>
      </c>
      <c r="F269" s="10" t="s">
        <v>5705</v>
      </c>
      <c r="G269" s="10" t="s">
        <v>736</v>
      </c>
      <c r="H269" s="10" t="s">
        <v>683</v>
      </c>
      <c r="I269" s="10" t="s">
        <v>6001</v>
      </c>
    </row>
    <row r="270" spans="1:13" ht="13.5" customHeight="1">
      <c r="A270" s="6">
        <v>41366</v>
      </c>
      <c r="B270" s="10" t="s">
        <v>5721</v>
      </c>
      <c r="C270" s="10" t="s">
        <v>5710</v>
      </c>
      <c r="D270" s="3">
        <v>12</v>
      </c>
      <c r="E270" s="10" t="s">
        <v>5987</v>
      </c>
      <c r="F270" s="10" t="s">
        <v>5705</v>
      </c>
      <c r="G270" s="10" t="s">
        <v>736</v>
      </c>
      <c r="H270" s="10" t="s">
        <v>683</v>
      </c>
      <c r="I270" s="10" t="s">
        <v>6001</v>
      </c>
    </row>
    <row r="271" spans="1:13" ht="13.5" customHeight="1">
      <c r="A271" s="6">
        <v>41366</v>
      </c>
      <c r="B271" s="10">
        <v>9</v>
      </c>
      <c r="C271" s="10" t="s">
        <v>5715</v>
      </c>
      <c r="D271" s="3">
        <v>12</v>
      </c>
      <c r="E271" s="10" t="s">
        <v>5987</v>
      </c>
      <c r="F271" s="10" t="s">
        <v>5705</v>
      </c>
      <c r="G271" s="10" t="s">
        <v>736</v>
      </c>
      <c r="H271" s="10" t="s">
        <v>683</v>
      </c>
      <c r="I271" s="10" t="s">
        <v>6001</v>
      </c>
    </row>
    <row r="272" spans="1:13" ht="13.5" customHeight="1">
      <c r="A272" s="6">
        <v>41366</v>
      </c>
      <c r="B272" s="10">
        <v>8</v>
      </c>
      <c r="C272" s="10" t="s">
        <v>2052</v>
      </c>
      <c r="D272" s="3">
        <v>12</v>
      </c>
      <c r="E272" s="10" t="s">
        <v>5987</v>
      </c>
      <c r="F272" s="10" t="s">
        <v>5705</v>
      </c>
      <c r="G272" s="10" t="s">
        <v>736</v>
      </c>
      <c r="H272" s="10" t="s">
        <v>683</v>
      </c>
      <c r="I272" s="10" t="s">
        <v>6001</v>
      </c>
    </row>
    <row r="273" spans="1:9" ht="13.5" customHeight="1">
      <c r="A273" s="6">
        <v>41375</v>
      </c>
      <c r="B273" s="3" t="s">
        <v>304</v>
      </c>
      <c r="C273" s="3">
        <v>1426</v>
      </c>
      <c r="D273" s="3">
        <v>1</v>
      </c>
      <c r="E273" s="10" t="s">
        <v>6137</v>
      </c>
      <c r="F273" s="10" t="s">
        <v>5391</v>
      </c>
      <c r="G273" s="10" t="s">
        <v>736</v>
      </c>
      <c r="H273" s="10" t="s">
        <v>683</v>
      </c>
      <c r="I273" s="10" t="s">
        <v>4579</v>
      </c>
    </row>
    <row r="274" spans="1:9" ht="13.5" customHeight="1">
      <c r="A274" s="6">
        <v>41403</v>
      </c>
      <c r="B274" s="3">
        <v>8</v>
      </c>
      <c r="C274" s="10" t="s">
        <v>1461</v>
      </c>
      <c r="D274" s="3">
        <v>12</v>
      </c>
      <c r="E274" s="10" t="s">
        <v>6759</v>
      </c>
      <c r="F274" s="10" t="s">
        <v>6760</v>
      </c>
      <c r="G274" s="10" t="s">
        <v>736</v>
      </c>
      <c r="H274" s="10" t="s">
        <v>683</v>
      </c>
      <c r="I274" s="10" t="s">
        <v>4579</v>
      </c>
    </row>
    <row r="275" spans="1:9" ht="13.5" customHeight="1">
      <c r="A275" s="6">
        <v>41403</v>
      </c>
      <c r="B275" s="10">
        <v>9</v>
      </c>
      <c r="C275" s="10" t="s">
        <v>5715</v>
      </c>
      <c r="D275" s="3">
        <v>12</v>
      </c>
      <c r="E275" s="10" t="s">
        <v>6759</v>
      </c>
      <c r="F275" s="10" t="s">
        <v>6760</v>
      </c>
      <c r="G275" s="10" t="s">
        <v>736</v>
      </c>
      <c r="H275" s="10" t="s">
        <v>683</v>
      </c>
      <c r="I275" s="10" t="s">
        <v>4579</v>
      </c>
    </row>
    <row r="276" spans="1:9" ht="13.5" customHeight="1">
      <c r="A276" s="6">
        <v>41404</v>
      </c>
      <c r="C276" s="3">
        <v>12283</v>
      </c>
      <c r="D276" s="3">
        <v>1</v>
      </c>
      <c r="E276" s="10" t="s">
        <v>6791</v>
      </c>
      <c r="F276" s="10" t="s">
        <v>6792</v>
      </c>
      <c r="G276" s="10" t="s">
        <v>736</v>
      </c>
      <c r="H276" s="10" t="s">
        <v>683</v>
      </c>
      <c r="I276" s="10" t="s">
        <v>4579</v>
      </c>
    </row>
    <row r="277" spans="1:9" ht="13.5" customHeight="1">
      <c r="A277" s="6">
        <v>41404</v>
      </c>
      <c r="C277" s="3">
        <v>12110</v>
      </c>
      <c r="D277" s="3">
        <v>1</v>
      </c>
      <c r="E277" s="10" t="s">
        <v>6791</v>
      </c>
      <c r="F277" s="10" t="s">
        <v>6792</v>
      </c>
      <c r="G277" s="10" t="s">
        <v>736</v>
      </c>
      <c r="H277" s="10" t="s">
        <v>683</v>
      </c>
      <c r="I277" s="10" t="s">
        <v>4579</v>
      </c>
    </row>
    <row r="278" spans="1:9" ht="13.5" customHeight="1">
      <c r="A278" s="6">
        <v>41405</v>
      </c>
      <c r="B278" s="10">
        <v>8</v>
      </c>
      <c r="C278" s="10" t="s">
        <v>6794</v>
      </c>
      <c r="D278" s="3">
        <v>36</v>
      </c>
      <c r="E278" s="10" t="s">
        <v>6795</v>
      </c>
      <c r="F278" s="10" t="s">
        <v>5705</v>
      </c>
      <c r="G278" s="10" t="s">
        <v>736</v>
      </c>
      <c r="H278" s="10" t="s">
        <v>683</v>
      </c>
      <c r="I278" s="10" t="s">
        <v>6307</v>
      </c>
    </row>
    <row r="279" spans="1:9" ht="13.5" customHeight="1">
      <c r="A279" s="6">
        <v>41405</v>
      </c>
      <c r="B279" s="10">
        <v>9</v>
      </c>
      <c r="C279" s="10" t="s">
        <v>6876</v>
      </c>
      <c r="D279" s="3">
        <v>24</v>
      </c>
      <c r="E279" s="10" t="s">
        <v>827</v>
      </c>
      <c r="F279" s="10" t="s">
        <v>5705</v>
      </c>
      <c r="G279" s="10" t="s">
        <v>736</v>
      </c>
      <c r="H279" s="10" t="s">
        <v>683</v>
      </c>
      <c r="I279" s="10" t="s">
        <v>6307</v>
      </c>
    </row>
    <row r="280" spans="1:9" ht="13.5" customHeight="1">
      <c r="A280" s="6">
        <v>41405</v>
      </c>
      <c r="B280" s="10" t="s">
        <v>6916</v>
      </c>
      <c r="C280" s="10" t="s">
        <v>6915</v>
      </c>
      <c r="D280" s="3">
        <v>24</v>
      </c>
      <c r="E280" s="10" t="s">
        <v>827</v>
      </c>
      <c r="F280" s="10" t="s">
        <v>5705</v>
      </c>
      <c r="G280" s="10" t="s">
        <v>736</v>
      </c>
      <c r="H280" s="10" t="s">
        <v>683</v>
      </c>
      <c r="I280" s="10" t="s">
        <v>6307</v>
      </c>
    </row>
    <row r="281" spans="1:9" ht="13.5" customHeight="1">
      <c r="A281" s="6">
        <v>41405</v>
      </c>
      <c r="B281" s="10" t="s">
        <v>6916</v>
      </c>
      <c r="C281" s="10" t="s">
        <v>6878</v>
      </c>
      <c r="D281" s="3">
        <v>100</v>
      </c>
      <c r="E281" s="10" t="s">
        <v>6917</v>
      </c>
      <c r="F281" s="10" t="s">
        <v>5705</v>
      </c>
      <c r="G281" s="10" t="s">
        <v>736</v>
      </c>
      <c r="H281" s="10" t="s">
        <v>683</v>
      </c>
      <c r="I281" s="10" t="s">
        <v>6307</v>
      </c>
    </row>
    <row r="282" spans="1:9" ht="13.5" customHeight="1">
      <c r="A282" s="6">
        <v>41405</v>
      </c>
      <c r="B282" s="10">
        <v>9</v>
      </c>
      <c r="C282" s="10" t="s">
        <v>6918</v>
      </c>
      <c r="D282" s="3">
        <v>24</v>
      </c>
      <c r="E282" s="10" t="s">
        <v>827</v>
      </c>
      <c r="F282" s="10" t="s">
        <v>5705</v>
      </c>
      <c r="G282" s="10" t="s">
        <v>736</v>
      </c>
      <c r="H282" s="10" t="s">
        <v>683</v>
      </c>
      <c r="I282" s="10" t="s">
        <v>6307</v>
      </c>
    </row>
    <row r="283" spans="1:9" ht="13.5" customHeight="1">
      <c r="A283" s="6">
        <v>41405</v>
      </c>
      <c r="B283" s="10">
        <v>8</v>
      </c>
      <c r="C283" s="10" t="s">
        <v>6919</v>
      </c>
      <c r="D283" s="3">
        <v>24</v>
      </c>
      <c r="E283" s="10" t="s">
        <v>827</v>
      </c>
      <c r="F283" s="10" t="s">
        <v>5705</v>
      </c>
      <c r="G283" s="10" t="s">
        <v>736</v>
      </c>
      <c r="H283" s="10" t="s">
        <v>683</v>
      </c>
      <c r="I283" s="10" t="s">
        <v>6307</v>
      </c>
    </row>
    <row r="284" spans="1:9" ht="13.5" customHeight="1">
      <c r="A284" s="6">
        <v>41407</v>
      </c>
      <c r="B284" s="10"/>
      <c r="C284" s="10">
        <v>10434</v>
      </c>
      <c r="D284" s="3">
        <v>1</v>
      </c>
      <c r="E284" s="10" t="s">
        <v>6814</v>
      </c>
      <c r="F284" s="10" t="s">
        <v>6792</v>
      </c>
      <c r="G284" s="10" t="s">
        <v>736</v>
      </c>
      <c r="H284" s="10" t="s">
        <v>683</v>
      </c>
      <c r="I284" s="10" t="s">
        <v>6815</v>
      </c>
    </row>
    <row r="285" spans="1:9" ht="13.5" customHeight="1">
      <c r="A285" s="6">
        <v>41407</v>
      </c>
      <c r="B285" s="10"/>
      <c r="C285" s="10" t="s">
        <v>6813</v>
      </c>
      <c r="D285" s="3">
        <v>1</v>
      </c>
      <c r="E285" s="10" t="s">
        <v>6814</v>
      </c>
      <c r="F285" s="10" t="s">
        <v>6792</v>
      </c>
      <c r="G285" s="10" t="s">
        <v>736</v>
      </c>
      <c r="H285" s="10" t="s">
        <v>683</v>
      </c>
      <c r="I285" s="10" t="s">
        <v>6815</v>
      </c>
    </row>
    <row r="286" spans="1:9" ht="13.5" customHeight="1">
      <c r="A286" s="6">
        <v>41407</v>
      </c>
      <c r="B286" s="10"/>
      <c r="C286" s="10">
        <v>3200</v>
      </c>
      <c r="D286" s="3">
        <v>1</v>
      </c>
      <c r="E286" s="10" t="s">
        <v>6811</v>
      </c>
      <c r="F286" s="10" t="s">
        <v>6792</v>
      </c>
      <c r="G286" s="10" t="s">
        <v>736</v>
      </c>
      <c r="H286" s="10" t="s">
        <v>683</v>
      </c>
      <c r="I286" s="10" t="s">
        <v>4579</v>
      </c>
    </row>
    <row r="287" spans="1:9" ht="13.5" customHeight="1">
      <c r="A287" s="6">
        <v>41407</v>
      </c>
      <c r="B287" s="10"/>
      <c r="C287" s="10" t="s">
        <v>6818</v>
      </c>
      <c r="D287" s="3">
        <v>1</v>
      </c>
      <c r="E287" s="10" t="s">
        <v>6811</v>
      </c>
      <c r="F287" s="10" t="s">
        <v>6792</v>
      </c>
      <c r="G287" s="10" t="s">
        <v>736</v>
      </c>
      <c r="H287" s="10" t="s">
        <v>683</v>
      </c>
      <c r="I287" s="10" t="s">
        <v>4579</v>
      </c>
    </row>
    <row r="288" spans="1:9" ht="13.5" customHeight="1">
      <c r="A288" s="6">
        <v>41407</v>
      </c>
      <c r="B288" s="10"/>
      <c r="C288" s="10">
        <v>3301</v>
      </c>
      <c r="D288" s="3">
        <v>1</v>
      </c>
      <c r="E288" s="10" t="s">
        <v>6811</v>
      </c>
      <c r="F288" s="10" t="s">
        <v>6792</v>
      </c>
      <c r="G288" s="10" t="s">
        <v>736</v>
      </c>
      <c r="H288" s="10" t="s">
        <v>683</v>
      </c>
      <c r="I288" s="10" t="s">
        <v>4579</v>
      </c>
    </row>
    <row r="289" spans="1:9" ht="13.5" customHeight="1">
      <c r="A289" s="6">
        <v>41407</v>
      </c>
      <c r="B289" s="10"/>
      <c r="C289" s="10" t="s">
        <v>6819</v>
      </c>
      <c r="D289" s="3">
        <v>1</v>
      </c>
      <c r="E289" s="10" t="s">
        <v>6820</v>
      </c>
      <c r="F289" s="10" t="s">
        <v>6792</v>
      </c>
      <c r="G289" s="10" t="s">
        <v>736</v>
      </c>
      <c r="H289" s="10" t="s">
        <v>683</v>
      </c>
      <c r="I289" s="10" t="s">
        <v>4579</v>
      </c>
    </row>
    <row r="290" spans="1:9" ht="13.5" customHeight="1">
      <c r="A290" s="6">
        <v>41407</v>
      </c>
      <c r="B290" s="10">
        <v>8</v>
      </c>
      <c r="C290" s="10" t="s">
        <v>6816</v>
      </c>
      <c r="D290" s="3">
        <v>12</v>
      </c>
      <c r="E290" s="10" t="s">
        <v>6817</v>
      </c>
      <c r="F290" s="10" t="s">
        <v>6792</v>
      </c>
      <c r="G290" s="10" t="s">
        <v>736</v>
      </c>
      <c r="H290" s="10" t="s">
        <v>683</v>
      </c>
      <c r="I290" s="10" t="s">
        <v>4579</v>
      </c>
    </row>
    <row r="291" spans="1:9" ht="13.5" customHeight="1">
      <c r="A291" s="6">
        <v>41408</v>
      </c>
      <c r="C291" s="10" t="s">
        <v>6809</v>
      </c>
      <c r="D291" s="3">
        <v>1</v>
      </c>
      <c r="E291" s="10" t="s">
        <v>6811</v>
      </c>
      <c r="F291" s="10" t="s">
        <v>6812</v>
      </c>
      <c r="G291" s="10" t="s">
        <v>736</v>
      </c>
      <c r="H291" s="10" t="s">
        <v>683</v>
      </c>
      <c r="I291" s="10" t="s">
        <v>1778</v>
      </c>
    </row>
    <row r="292" spans="1:9" ht="13.5" customHeight="1">
      <c r="A292" s="6">
        <v>41408</v>
      </c>
      <c r="C292" s="10" t="s">
        <v>6810</v>
      </c>
      <c r="D292" s="3">
        <v>1</v>
      </c>
      <c r="E292" s="10" t="s">
        <v>6811</v>
      </c>
      <c r="F292" s="10" t="s">
        <v>6812</v>
      </c>
      <c r="G292" s="10" t="s">
        <v>736</v>
      </c>
      <c r="H292" s="10" t="s">
        <v>683</v>
      </c>
      <c r="I292" s="10" t="s">
        <v>1778</v>
      </c>
    </row>
    <row r="293" spans="1:9" ht="13.5" customHeight="1">
      <c r="A293" s="6">
        <v>41416</v>
      </c>
      <c r="B293" s="10" t="s">
        <v>6976</v>
      </c>
      <c r="C293" s="3">
        <v>5210</v>
      </c>
      <c r="D293" s="3">
        <v>1</v>
      </c>
      <c r="E293" s="10" t="s">
        <v>170</v>
      </c>
      <c r="F293" s="10" t="s">
        <v>6977</v>
      </c>
      <c r="G293" s="10" t="s">
        <v>736</v>
      </c>
      <c r="H293" s="10" t="s">
        <v>683</v>
      </c>
      <c r="I293" s="10" t="s">
        <v>6307</v>
      </c>
    </row>
  </sheetData>
  <autoFilter ref="A1:K292">
    <filterColumn colId="2"/>
  </autoFilter>
  <customSheetViews>
    <customSheetView guid="{E2EBE12A-2EEF-4ED6-A8ED-23574FF31B29}" showAutoFilter="1" topLeftCell="A136">
      <selection activeCell="B154" sqref="B154"/>
      <pageMargins left="0.69861111111111107" right="0.69861111111111107" top="0.75" bottom="0.75" header="0.3" footer="0.3"/>
      <pageSetup paperSize="9" firstPageNumber="4294963191" orientation="portrait" copies="0"/>
      <headerFooter alignWithMargins="0"/>
      <autoFilter ref="B1:I1"/>
    </customSheetView>
  </customSheetViews>
  <phoneticPr fontId="22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H100"/>
  <sheetViews>
    <sheetView workbookViewId="0">
      <pane ySplit="1" topLeftCell="A17" activePane="bottomLeft" state="frozen"/>
      <selection pane="bottomLeft" activeCell="H49" sqref="H49"/>
    </sheetView>
  </sheetViews>
  <sheetFormatPr defaultRowHeight="11.25"/>
  <cols>
    <col min="1" max="1" width="10.5" style="286" bestFit="1" customWidth="1"/>
    <col min="2" max="2" width="23.125" style="287" customWidth="1"/>
    <col min="3" max="16384" width="9" style="287"/>
  </cols>
  <sheetData>
    <row r="1" spans="1:8" s="285" customFormat="1" ht="19.5" customHeight="1">
      <c r="A1" s="63" t="s">
        <v>215</v>
      </c>
      <c r="B1" s="64" t="s">
        <v>1634</v>
      </c>
      <c r="C1" s="64" t="s">
        <v>1635</v>
      </c>
      <c r="D1" s="64" t="s">
        <v>218</v>
      </c>
      <c r="E1" s="64" t="s">
        <v>1636</v>
      </c>
      <c r="F1" s="64" t="s">
        <v>1637</v>
      </c>
      <c r="G1" s="64" t="s">
        <v>208</v>
      </c>
      <c r="H1" s="64" t="s">
        <v>1633</v>
      </c>
    </row>
    <row r="2" spans="1:8" ht="16.5" customHeight="1">
      <c r="A2" s="61">
        <v>41078</v>
      </c>
      <c r="B2" s="62" t="s">
        <v>1638</v>
      </c>
      <c r="C2" s="77" t="s">
        <v>883</v>
      </c>
      <c r="D2" s="62">
        <v>3</v>
      </c>
      <c r="E2" s="77" t="s">
        <v>200</v>
      </c>
      <c r="F2" s="62"/>
      <c r="G2" s="62"/>
      <c r="H2" s="77" t="s">
        <v>1656</v>
      </c>
    </row>
    <row r="3" spans="1:8" ht="16.5" customHeight="1">
      <c r="A3" s="61">
        <v>41078</v>
      </c>
      <c r="B3" s="62" t="s">
        <v>1639</v>
      </c>
      <c r="C3" s="62">
        <v>6200</v>
      </c>
      <c r="D3" s="62">
        <v>1</v>
      </c>
      <c r="E3" s="77" t="s">
        <v>198</v>
      </c>
      <c r="F3" s="62"/>
      <c r="G3" s="62"/>
      <c r="H3" s="77" t="s">
        <v>1656</v>
      </c>
    </row>
    <row r="4" spans="1:8" ht="16.5" customHeight="1">
      <c r="A4" s="61">
        <v>41078</v>
      </c>
      <c r="B4" s="62" t="s">
        <v>1640</v>
      </c>
      <c r="C4" s="62">
        <v>7502</v>
      </c>
      <c r="D4" s="62">
        <v>1</v>
      </c>
      <c r="E4" s="77" t="s">
        <v>202</v>
      </c>
      <c r="F4" s="62"/>
      <c r="G4" s="62"/>
      <c r="H4" s="77" t="s">
        <v>1656</v>
      </c>
    </row>
    <row r="5" spans="1:8" ht="16.5" customHeight="1">
      <c r="A5" s="61">
        <v>41078</v>
      </c>
      <c r="B5" s="62" t="s">
        <v>1641</v>
      </c>
      <c r="C5" s="62">
        <v>2091</v>
      </c>
      <c r="D5" s="62">
        <v>1</v>
      </c>
      <c r="E5" s="77" t="s">
        <v>199</v>
      </c>
      <c r="F5" s="62"/>
      <c r="G5" s="62"/>
      <c r="H5" s="77" t="s">
        <v>1656</v>
      </c>
    </row>
    <row r="6" spans="1:8" ht="16.5" customHeight="1">
      <c r="A6" s="61">
        <v>41078</v>
      </c>
      <c r="B6" s="77" t="s">
        <v>906</v>
      </c>
      <c r="C6" s="62">
        <v>1711</v>
      </c>
      <c r="D6" s="62">
        <v>1</v>
      </c>
      <c r="E6" s="77" t="s">
        <v>200</v>
      </c>
      <c r="F6" s="62"/>
      <c r="G6" s="62"/>
      <c r="H6" s="77" t="s">
        <v>1656</v>
      </c>
    </row>
    <row r="7" spans="1:8" ht="16.5" customHeight="1">
      <c r="A7" s="61">
        <v>41078</v>
      </c>
      <c r="B7" s="62" t="s">
        <v>1642</v>
      </c>
      <c r="C7" s="62">
        <v>12308</v>
      </c>
      <c r="D7" s="62">
        <v>1</v>
      </c>
      <c r="E7" s="77" t="s">
        <v>200</v>
      </c>
      <c r="F7" s="62"/>
      <c r="G7" s="62"/>
      <c r="H7" s="77" t="s">
        <v>1656</v>
      </c>
    </row>
    <row r="8" spans="1:8" ht="16.5" customHeight="1">
      <c r="A8" s="61">
        <v>41078</v>
      </c>
      <c r="B8" s="62" t="s">
        <v>206</v>
      </c>
      <c r="C8" s="77" t="s">
        <v>212</v>
      </c>
      <c r="D8" s="62">
        <v>1</v>
      </c>
      <c r="E8" s="77" t="s">
        <v>200</v>
      </c>
      <c r="F8" s="62"/>
      <c r="G8" s="62"/>
      <c r="H8" s="77" t="s">
        <v>1656</v>
      </c>
    </row>
    <row r="9" spans="1:8" ht="16.5" customHeight="1">
      <c r="A9" s="61">
        <v>41078</v>
      </c>
      <c r="B9" s="62" t="s">
        <v>1643</v>
      </c>
      <c r="C9" s="77" t="s">
        <v>884</v>
      </c>
      <c r="D9" s="62">
        <v>1</v>
      </c>
      <c r="E9" s="77" t="s">
        <v>200</v>
      </c>
      <c r="F9" s="62"/>
      <c r="G9" s="62"/>
      <c r="H9" s="77" t="s">
        <v>1656</v>
      </c>
    </row>
    <row r="10" spans="1:8" ht="16.5" customHeight="1">
      <c r="A10" s="61">
        <v>41078</v>
      </c>
      <c r="B10" s="77" t="s">
        <v>902</v>
      </c>
      <c r="C10" s="77" t="s">
        <v>885</v>
      </c>
      <c r="D10" s="62">
        <v>1</v>
      </c>
      <c r="E10" s="77" t="s">
        <v>886</v>
      </c>
      <c r="F10" s="62"/>
      <c r="G10" s="62"/>
      <c r="H10" s="77" t="s">
        <v>1656</v>
      </c>
    </row>
    <row r="11" spans="1:8" ht="16.5" customHeight="1">
      <c r="A11" s="61">
        <v>41078</v>
      </c>
      <c r="B11" s="77" t="s">
        <v>903</v>
      </c>
      <c r="C11" s="77" t="s">
        <v>887</v>
      </c>
      <c r="D11" s="62">
        <v>1</v>
      </c>
      <c r="E11" s="77" t="s">
        <v>886</v>
      </c>
      <c r="F11" s="62"/>
      <c r="G11" s="62"/>
      <c r="H11" s="77" t="s">
        <v>1656</v>
      </c>
    </row>
    <row r="12" spans="1:8" ht="16.5" customHeight="1">
      <c r="A12" s="61">
        <v>41078</v>
      </c>
      <c r="B12" s="62" t="s">
        <v>1644</v>
      </c>
      <c r="C12" s="62">
        <v>8247</v>
      </c>
      <c r="D12" s="62">
        <v>1</v>
      </c>
      <c r="E12" s="77" t="s">
        <v>202</v>
      </c>
      <c r="F12" s="62"/>
      <c r="G12" s="62"/>
      <c r="H12" s="77" t="s">
        <v>1656</v>
      </c>
    </row>
    <row r="13" spans="1:8" ht="16.5" customHeight="1">
      <c r="A13" s="61">
        <v>41078</v>
      </c>
      <c r="B13" s="62" t="s">
        <v>1645</v>
      </c>
      <c r="C13" s="62">
        <v>8246</v>
      </c>
      <c r="D13" s="62">
        <v>1</v>
      </c>
      <c r="E13" s="77" t="s">
        <v>202</v>
      </c>
      <c r="F13" s="62"/>
      <c r="G13" s="62"/>
      <c r="H13" s="77" t="s">
        <v>1656</v>
      </c>
    </row>
    <row r="14" spans="1:8" ht="16.5" customHeight="1">
      <c r="A14" s="61">
        <v>41078</v>
      </c>
      <c r="B14" s="62" t="s">
        <v>1646</v>
      </c>
      <c r="C14" s="77" t="s">
        <v>888</v>
      </c>
      <c r="D14" s="62">
        <v>6</v>
      </c>
      <c r="E14" s="77" t="s">
        <v>202</v>
      </c>
      <c r="F14" s="62"/>
      <c r="G14" s="62"/>
      <c r="H14" s="77" t="s">
        <v>1656</v>
      </c>
    </row>
    <row r="15" spans="1:8" ht="16.5" customHeight="1">
      <c r="A15" s="61">
        <v>41078</v>
      </c>
      <c r="B15" s="62" t="s">
        <v>205</v>
      </c>
      <c r="C15" s="77">
        <v>9032</v>
      </c>
      <c r="D15" s="62">
        <v>270</v>
      </c>
      <c r="E15" s="77" t="s">
        <v>199</v>
      </c>
      <c r="F15" s="62"/>
      <c r="G15" s="77" t="s">
        <v>1297</v>
      </c>
      <c r="H15" s="77" t="s">
        <v>1656</v>
      </c>
    </row>
    <row r="16" spans="1:8" ht="16.5" customHeight="1">
      <c r="A16" s="61">
        <v>41078</v>
      </c>
      <c r="B16" s="62" t="s">
        <v>1647</v>
      </c>
      <c r="C16" s="62">
        <v>8822</v>
      </c>
      <c r="D16" s="62">
        <v>1</v>
      </c>
      <c r="E16" s="77" t="s">
        <v>202</v>
      </c>
      <c r="F16" s="62"/>
      <c r="G16" s="62"/>
      <c r="H16" s="77" t="s">
        <v>1656</v>
      </c>
    </row>
    <row r="17" spans="1:8" ht="16.5" customHeight="1">
      <c r="A17" s="61">
        <v>41078</v>
      </c>
      <c r="B17" s="62" t="s">
        <v>1648</v>
      </c>
      <c r="C17" s="62">
        <v>8512</v>
      </c>
      <c r="D17" s="62">
        <v>1</v>
      </c>
      <c r="E17" s="77" t="s">
        <v>202</v>
      </c>
      <c r="F17" s="62"/>
      <c r="G17" s="62"/>
      <c r="H17" s="77" t="s">
        <v>1656</v>
      </c>
    </row>
    <row r="18" spans="1:8" ht="16.5" customHeight="1">
      <c r="A18" s="61">
        <v>41078</v>
      </c>
      <c r="B18" s="62" t="s">
        <v>1649</v>
      </c>
      <c r="C18" s="62">
        <v>9022</v>
      </c>
      <c r="D18" s="62">
        <v>1</v>
      </c>
      <c r="E18" s="77" t="s">
        <v>202</v>
      </c>
      <c r="F18" s="62"/>
      <c r="G18" s="62"/>
      <c r="H18" s="77" t="s">
        <v>1656</v>
      </c>
    </row>
    <row r="19" spans="1:8" ht="16.5" customHeight="1">
      <c r="A19" s="61">
        <v>41078</v>
      </c>
      <c r="B19" s="62" t="s">
        <v>1650</v>
      </c>
      <c r="C19" s="77" t="s">
        <v>889</v>
      </c>
      <c r="D19" s="62">
        <v>1</v>
      </c>
      <c r="E19" s="77" t="s">
        <v>202</v>
      </c>
      <c r="F19" s="62"/>
      <c r="G19" s="62"/>
      <c r="H19" s="77" t="s">
        <v>1656</v>
      </c>
    </row>
    <row r="20" spans="1:8" ht="16.5" customHeight="1">
      <c r="A20" s="61">
        <v>41078</v>
      </c>
      <c r="B20" s="77" t="s">
        <v>904</v>
      </c>
      <c r="C20" s="62">
        <v>8210</v>
      </c>
      <c r="D20" s="62">
        <v>1</v>
      </c>
      <c r="E20" s="77" t="s">
        <v>202</v>
      </c>
      <c r="F20" s="62"/>
      <c r="G20" s="62"/>
      <c r="H20" s="77" t="s">
        <v>1656</v>
      </c>
    </row>
    <row r="21" spans="1:8" ht="16.5" customHeight="1">
      <c r="A21" s="61">
        <v>41078</v>
      </c>
      <c r="B21" s="62" t="s">
        <v>1651</v>
      </c>
      <c r="C21" s="77" t="s">
        <v>890</v>
      </c>
      <c r="D21" s="62">
        <v>1</v>
      </c>
      <c r="E21" s="77" t="s">
        <v>202</v>
      </c>
      <c r="F21" s="62"/>
      <c r="G21" s="62"/>
      <c r="H21" s="77" t="s">
        <v>1656</v>
      </c>
    </row>
    <row r="22" spans="1:8" ht="15" customHeight="1">
      <c r="A22" s="61">
        <v>41078</v>
      </c>
      <c r="B22" s="77" t="s">
        <v>905</v>
      </c>
      <c r="C22" s="77" t="s">
        <v>891</v>
      </c>
      <c r="D22" s="62">
        <v>1</v>
      </c>
      <c r="E22" s="77" t="s">
        <v>907</v>
      </c>
      <c r="F22" s="62"/>
      <c r="G22" s="62"/>
      <c r="H22" s="77" t="s">
        <v>1656</v>
      </c>
    </row>
    <row r="23" spans="1:8" ht="16.5" customHeight="1">
      <c r="A23" s="61">
        <v>41151</v>
      </c>
      <c r="B23" s="62" t="s">
        <v>203</v>
      </c>
      <c r="C23" s="62" t="s">
        <v>201</v>
      </c>
      <c r="D23" s="62">
        <v>1</v>
      </c>
      <c r="E23" s="62" t="s">
        <v>198</v>
      </c>
      <c r="F23" s="62" t="s">
        <v>207</v>
      </c>
      <c r="G23" s="62" t="s">
        <v>209</v>
      </c>
      <c r="H23" s="77" t="s">
        <v>1656</v>
      </c>
    </row>
    <row r="24" spans="1:8" ht="16.5" customHeight="1">
      <c r="A24" s="61">
        <v>41151</v>
      </c>
      <c r="B24" s="62"/>
      <c r="C24" s="62">
        <v>9032</v>
      </c>
      <c r="D24" s="62">
        <v>100</v>
      </c>
      <c r="E24" s="62" t="s">
        <v>199</v>
      </c>
      <c r="F24" s="62" t="s">
        <v>207</v>
      </c>
      <c r="G24" s="62" t="s">
        <v>209</v>
      </c>
      <c r="H24" s="77" t="s">
        <v>1656</v>
      </c>
    </row>
    <row r="25" spans="1:8" ht="16.5" customHeight="1">
      <c r="A25" s="61">
        <v>41151</v>
      </c>
      <c r="B25" s="62" t="s">
        <v>206</v>
      </c>
      <c r="C25" s="62" t="s">
        <v>204</v>
      </c>
      <c r="D25" s="62">
        <v>1</v>
      </c>
      <c r="E25" s="62" t="s">
        <v>200</v>
      </c>
      <c r="F25" s="62" t="s">
        <v>207</v>
      </c>
      <c r="G25" s="62" t="s">
        <v>209</v>
      </c>
      <c r="H25" s="77" t="s">
        <v>1656</v>
      </c>
    </row>
    <row r="26" spans="1:8" ht="16.5" customHeight="1">
      <c r="A26" s="61">
        <v>41151</v>
      </c>
      <c r="B26" s="62" t="s">
        <v>203</v>
      </c>
      <c r="C26" s="62" t="s">
        <v>201</v>
      </c>
      <c r="D26" s="62">
        <v>10</v>
      </c>
      <c r="E26" s="62" t="s">
        <v>202</v>
      </c>
      <c r="F26" s="77" t="s">
        <v>1655</v>
      </c>
      <c r="G26" s="62" t="s">
        <v>209</v>
      </c>
      <c r="H26" s="77" t="s">
        <v>1656</v>
      </c>
    </row>
    <row r="27" spans="1:8" ht="16.5" customHeight="1">
      <c r="A27" s="61">
        <v>41157</v>
      </c>
      <c r="B27" s="67" t="s">
        <v>212</v>
      </c>
      <c r="C27" s="67" t="s">
        <v>212</v>
      </c>
      <c r="D27" s="62">
        <v>1</v>
      </c>
      <c r="E27" s="67" t="s">
        <v>202</v>
      </c>
      <c r="F27" s="62" t="s">
        <v>207</v>
      </c>
      <c r="G27" s="62" t="s">
        <v>209</v>
      </c>
      <c r="H27" s="77" t="s">
        <v>1656</v>
      </c>
    </row>
    <row r="28" spans="1:8" ht="16.5" customHeight="1">
      <c r="A28" s="61">
        <v>41157</v>
      </c>
      <c r="B28" s="67" t="s">
        <v>213</v>
      </c>
      <c r="C28" s="62"/>
      <c r="D28" s="62">
        <v>1</v>
      </c>
      <c r="E28" s="67" t="s">
        <v>198</v>
      </c>
      <c r="F28" s="62" t="s">
        <v>207</v>
      </c>
      <c r="G28" s="62" t="s">
        <v>209</v>
      </c>
      <c r="H28" s="77" t="s">
        <v>1656</v>
      </c>
    </row>
    <row r="29" spans="1:8" ht="16.5" customHeight="1">
      <c r="A29" s="61">
        <v>41157</v>
      </c>
      <c r="B29" s="67"/>
      <c r="C29" s="77" t="s">
        <v>1397</v>
      </c>
      <c r="D29" s="62"/>
      <c r="E29" s="67"/>
      <c r="F29" s="62"/>
      <c r="G29" s="62"/>
      <c r="H29" s="77" t="s">
        <v>1656</v>
      </c>
    </row>
    <row r="30" spans="1:8" ht="16.5" customHeight="1">
      <c r="A30" s="61">
        <v>41157</v>
      </c>
      <c r="B30" s="62" t="s">
        <v>1652</v>
      </c>
      <c r="C30" s="62">
        <v>10436</v>
      </c>
      <c r="D30" s="62">
        <v>1</v>
      </c>
      <c r="E30" s="67" t="s">
        <v>202</v>
      </c>
      <c r="F30" s="62" t="s">
        <v>207</v>
      </c>
      <c r="G30" s="62" t="s">
        <v>209</v>
      </c>
      <c r="H30" s="77" t="s">
        <v>1656</v>
      </c>
    </row>
    <row r="31" spans="1:8" ht="16.5" customHeight="1">
      <c r="A31" s="61">
        <v>41169</v>
      </c>
      <c r="B31" s="77" t="s">
        <v>900</v>
      </c>
      <c r="C31" s="62">
        <v>8210</v>
      </c>
      <c r="D31" s="62">
        <v>2</v>
      </c>
      <c r="E31" s="77" t="s">
        <v>202</v>
      </c>
      <c r="F31" s="77" t="s">
        <v>901</v>
      </c>
      <c r="G31" s="62"/>
      <c r="H31" s="77" t="s">
        <v>1656</v>
      </c>
    </row>
    <row r="32" spans="1:8" ht="16.5" customHeight="1">
      <c r="A32" s="61">
        <v>41169</v>
      </c>
      <c r="B32" s="62" t="s">
        <v>1652</v>
      </c>
      <c r="C32" s="62">
        <v>10434</v>
      </c>
      <c r="D32" s="62">
        <v>1</v>
      </c>
      <c r="E32" s="77" t="s">
        <v>202</v>
      </c>
      <c r="F32" s="77" t="s">
        <v>901</v>
      </c>
      <c r="G32" s="62"/>
      <c r="H32" s="77" t="s">
        <v>1656</v>
      </c>
    </row>
    <row r="33" spans="1:8" ht="15.75" customHeight="1">
      <c r="A33" s="61">
        <v>41235</v>
      </c>
      <c r="B33" s="62" t="s">
        <v>1648</v>
      </c>
      <c r="C33" s="62">
        <v>8512</v>
      </c>
      <c r="D33" s="62">
        <v>1</v>
      </c>
      <c r="E33" s="77" t="s">
        <v>202</v>
      </c>
      <c r="F33" s="62"/>
      <c r="G33" s="62"/>
      <c r="H33" s="77" t="s">
        <v>1656</v>
      </c>
    </row>
    <row r="34" spans="1:8" ht="15.75" customHeight="1">
      <c r="A34" s="61">
        <v>41235</v>
      </c>
      <c r="B34" s="62" t="s">
        <v>1651</v>
      </c>
      <c r="C34" s="77" t="s">
        <v>890</v>
      </c>
      <c r="D34" s="62">
        <v>2</v>
      </c>
      <c r="E34" s="77" t="s">
        <v>199</v>
      </c>
      <c r="F34" s="62"/>
      <c r="G34" s="62"/>
      <c r="H34" s="77" t="s">
        <v>1656</v>
      </c>
    </row>
    <row r="35" spans="1:8" ht="15.75" customHeight="1">
      <c r="A35" s="61">
        <v>41235</v>
      </c>
      <c r="B35" s="77" t="s">
        <v>1293</v>
      </c>
      <c r="C35" s="62">
        <v>1110</v>
      </c>
      <c r="D35" s="62">
        <v>200</v>
      </c>
      <c r="E35" s="77" t="s">
        <v>200</v>
      </c>
      <c r="F35" s="62"/>
      <c r="G35" s="77" t="s">
        <v>1297</v>
      </c>
      <c r="H35" s="77" t="s">
        <v>1656</v>
      </c>
    </row>
    <row r="36" spans="1:8" ht="15.75" customHeight="1">
      <c r="A36" s="61">
        <v>41235</v>
      </c>
      <c r="B36" s="62" t="s">
        <v>205</v>
      </c>
      <c r="C36" s="62">
        <v>9032</v>
      </c>
      <c r="D36" s="62">
        <v>50</v>
      </c>
      <c r="E36" s="77" t="s">
        <v>199</v>
      </c>
      <c r="F36" s="62"/>
      <c r="G36" s="62"/>
      <c r="H36" s="77" t="s">
        <v>1656</v>
      </c>
    </row>
    <row r="37" spans="1:8" ht="15.75" customHeight="1">
      <c r="A37" s="61">
        <v>41235</v>
      </c>
      <c r="B37" s="62" t="s">
        <v>1653</v>
      </c>
      <c r="C37" s="77" t="s">
        <v>888</v>
      </c>
      <c r="D37" s="62">
        <v>105</v>
      </c>
      <c r="E37" s="77" t="s">
        <v>199</v>
      </c>
      <c r="F37" s="62"/>
      <c r="G37" s="62"/>
      <c r="H37" s="77" t="s">
        <v>1656</v>
      </c>
    </row>
    <row r="38" spans="1:8" ht="15.75" customHeight="1">
      <c r="A38" s="61">
        <v>41235</v>
      </c>
      <c r="B38" s="77" t="s">
        <v>1294</v>
      </c>
      <c r="C38" s="77" t="s">
        <v>1291</v>
      </c>
      <c r="D38" s="62">
        <v>1</v>
      </c>
      <c r="E38" s="77" t="s">
        <v>1296</v>
      </c>
      <c r="F38" s="62"/>
      <c r="G38" s="62"/>
      <c r="H38" s="77" t="s">
        <v>1656</v>
      </c>
    </row>
    <row r="39" spans="1:8" ht="15.75" customHeight="1">
      <c r="A39" s="61">
        <v>41235</v>
      </c>
      <c r="B39" s="77" t="s">
        <v>1295</v>
      </c>
      <c r="C39" s="77" t="s">
        <v>1292</v>
      </c>
      <c r="D39" s="62">
        <v>1</v>
      </c>
      <c r="E39" s="77" t="s">
        <v>200</v>
      </c>
      <c r="F39" s="62"/>
      <c r="G39" s="77"/>
      <c r="H39" s="77" t="s">
        <v>1656</v>
      </c>
    </row>
    <row r="40" spans="1:8" ht="15.75" customHeight="1">
      <c r="A40" s="61">
        <v>41235</v>
      </c>
      <c r="B40" s="62" t="s">
        <v>205</v>
      </c>
      <c r="C40" s="62">
        <v>9031</v>
      </c>
      <c r="D40" s="62">
        <v>520</v>
      </c>
      <c r="E40" s="77" t="s">
        <v>199</v>
      </c>
      <c r="F40" s="62"/>
      <c r="G40" s="62"/>
      <c r="H40" s="77" t="s">
        <v>1656</v>
      </c>
    </row>
    <row r="41" spans="1:8" ht="14.25" customHeight="1">
      <c r="A41" s="61">
        <v>41257</v>
      </c>
      <c r="B41" s="62" t="s">
        <v>1654</v>
      </c>
      <c r="C41" s="62">
        <v>10197</v>
      </c>
      <c r="D41" s="62">
        <v>1</v>
      </c>
      <c r="E41" s="77" t="s">
        <v>200</v>
      </c>
      <c r="F41" s="62"/>
      <c r="G41" s="62"/>
      <c r="H41" s="77" t="s">
        <v>1656</v>
      </c>
    </row>
    <row r="42" spans="1:8" ht="15.75" customHeight="1">
      <c r="A42" s="61">
        <v>41279</v>
      </c>
      <c r="B42" s="62" t="s">
        <v>1737</v>
      </c>
      <c r="C42" s="77" t="s">
        <v>1664</v>
      </c>
      <c r="D42" s="62">
        <v>2</v>
      </c>
      <c r="E42" s="77" t="s">
        <v>1665</v>
      </c>
      <c r="F42" s="77" t="s">
        <v>1666</v>
      </c>
      <c r="G42" s="62"/>
      <c r="H42" s="77" t="s">
        <v>1667</v>
      </c>
    </row>
    <row r="43" spans="1:8" ht="15.75" customHeight="1">
      <c r="A43" s="61">
        <v>41283</v>
      </c>
      <c r="B43" s="62" t="s">
        <v>1738</v>
      </c>
      <c r="C43" s="62" t="s">
        <v>1736</v>
      </c>
      <c r="D43" s="62">
        <v>1</v>
      </c>
      <c r="E43" s="77" t="s">
        <v>1296</v>
      </c>
      <c r="F43" s="77" t="s">
        <v>901</v>
      </c>
      <c r="G43" s="62"/>
      <c r="H43" s="77" t="s">
        <v>1667</v>
      </c>
    </row>
    <row r="44" spans="1:8" ht="15.75" customHeight="1">
      <c r="A44" s="61">
        <v>41284</v>
      </c>
      <c r="B44" s="62" t="s">
        <v>1740</v>
      </c>
      <c r="C44" s="77">
        <v>9031</v>
      </c>
      <c r="D44" s="62">
        <v>25</v>
      </c>
      <c r="E44" s="77" t="s">
        <v>202</v>
      </c>
      <c r="F44" s="77" t="s">
        <v>901</v>
      </c>
      <c r="G44" s="62"/>
      <c r="H44" s="77" t="s">
        <v>1656</v>
      </c>
    </row>
    <row r="45" spans="1:8" ht="15.75" customHeight="1">
      <c r="A45" s="61">
        <v>41288</v>
      </c>
      <c r="B45" s="62" t="s">
        <v>1741</v>
      </c>
      <c r="C45" s="62" t="s">
        <v>1739</v>
      </c>
      <c r="D45" s="62">
        <v>1</v>
      </c>
      <c r="E45" s="77" t="s">
        <v>1296</v>
      </c>
      <c r="F45" s="77" t="s">
        <v>901</v>
      </c>
      <c r="G45" s="62"/>
      <c r="H45" s="77" t="s">
        <v>1656</v>
      </c>
    </row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A1:G45">
    <filterColumn colId="2"/>
  </autoFilter>
  <customSheetViews>
    <customSheetView guid="{E2EBE12A-2EEF-4ED6-A8ED-23574FF31B29}" topLeftCell="A6">
      <selection activeCell="L15" sqref="L15"/>
      <pageMargins left="0.7" right="0.7" top="0.75" bottom="0.75" header="0.3" footer="0.3"/>
    </customSheetView>
  </customSheetViews>
  <phoneticPr fontId="5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采购</vt:lpstr>
      <vt:lpstr>销售</vt:lpstr>
      <vt:lpstr>库存</vt:lpstr>
      <vt:lpstr>Ansell手套库存</vt:lpstr>
      <vt:lpstr>样品流向</vt:lpstr>
      <vt:lpstr>销售员取货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godlike</dc:creator>
  <cp:lastModifiedBy>godlike</cp:lastModifiedBy>
  <cp:revision/>
  <cp:lastPrinted>2012-09-27T08:06:33Z</cp:lastPrinted>
  <dcterms:created xsi:type="dcterms:W3CDTF">2006-09-13T11:21:51Z</dcterms:created>
  <dcterms:modified xsi:type="dcterms:W3CDTF">2013-06-02T11:47:28Z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2052-8.1.0.3163</vt:lpwstr>
  </property>
</Properties>
</file>